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<sst xmlns="http://schemas.openxmlformats.org/spreadsheetml/2006/main" count="44444" uniqueCount="11716">
  <si>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</si>
  <si>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</si>
  <si>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</si>
  <si>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</si>
  <si>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</si>
  <si>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</si>
  <si>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</si>
  <si>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</si>
  <si>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</si>
  <si>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</si>
  <si>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</si>
  <si>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</si>
  <si>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</si>
  <si>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</si>
  <si>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</si>
  <si>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</si>
  <si>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</si>
  <si>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</si>
  <si>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</si>
  <si>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</si>
  <si>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</si>
  <si>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</si>
  <si>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</si>
  <si>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</si>
  <si>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</si>
  <si>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</si>
  <si>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</si>
  <si>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</si>
  <si>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</si>
  <si>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</si>
  <si>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</si>
  <si>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</si>
  <si>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</si>
  <si>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</si>
  <si>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</si>
  <si>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</si>
  <si>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</si>
  <si>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</si>
  <si>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</si>
  <si>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</si>
  <si>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</si>
  <si>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</si>
  <si>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</si>
  <si>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</si>
  <si>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</si>
  <si>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</si>
  <si>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</si>
  <si>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</si>
  <si>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</si>
  <si>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</si>
  <si>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</si>
  <si>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</si>
  <si>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</si>
  <si>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</si>
  <si>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</si>
  <si>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</si>
  <si>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</si>
  <si>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</si>
  <si>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</si>
  <si>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</si>
  <si>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</si>
  <si>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</si>
  <si>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</si>
  <si>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</si>
  <si>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</si>
  <si>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</si>
  <si>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</si>
  <si>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</si>
  <si>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</si>
  <si>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</si>
  <si>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</si>
  <si>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</si>
  <si>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</si>
  <si>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</si>
  <si>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</si>
  <si>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</si>
  <si>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</si>
  <si>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</si>
  <si>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</si>
  <si>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</si>
  <si>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</si>
  <si>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</si>
  <si>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</si>
  <si>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</si>
  <si>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</si>
  <si>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</si>
  <si>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</si>
  <si>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</si>
  <si>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</si>
  <si>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</si>
  <si>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</si>
  <si>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</si>
  <si>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</si>
  <si>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</si>
  <si>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</si>
  <si>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</si>
  <si>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</si>
  <si>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</si>
  <si>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</si>
  <si>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</si>
  <si>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</si>
  <si>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</si>
  <si>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</si>
  <si>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</si>
  <si>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</si>
  <si>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</si>
  <si>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</si>
  <si>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</si>
  <si>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</si>
  <si>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</si>
  <si>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</si>
  <si>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</si>
  <si>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</si>
  <si>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</si>
  <si>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</si>
  <si>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</si>
  <si>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</si>
  <si>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</si>
  <si>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</si>
  <si>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</si>
  <si>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</si>
  <si>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</si>
  <si>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</si>
  <si>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</si>
  <si>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</si>
  <si>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</si>
  <si>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</si>
  <si>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</si>
  <si>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</si>
  <si>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</si>
  <si>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</si>
  <si>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</si>
  <si>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</si>
  <si>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</si>
  <si>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</si>
  <si>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</si>
  <si>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</si>
  <si>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</si>
  <si>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</si>
  <si>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</si>
  <si>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</si>
  <si>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</si>
  <si>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</si>
  <si>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</si>
  <si>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</si>
  <si>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</si>
  <si>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</si>
  <si>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</si>
  <si>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</si>
  <si>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</si>
  <si>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</si>
  <si>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</si>
  <si>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</si>
  <si>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</si>
  <si>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</si>
  <si>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</si>
  <si>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</si>
  <si>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</si>
  <si>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</si>
  <si>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</si>
  <si>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</si>
  <si>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</si>
  <si>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</si>
  <si>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</si>
  <si>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</si>
  <si>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</si>
  <si>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</si>
  <si>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</si>
  <si>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</si>
  <si>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</si>
  <si>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</si>
  <si>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</si>
  <si>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</si>
  <si>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</si>
  <si>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</si>
  <si>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</si>
  <si>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</si>
  <si>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</si>
  <si>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</si>
  <si>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</si>
  <si>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</si>
  <si>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</si>
  <si>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</si>
  <si>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</si>
  <si>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</si>
  <si>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</si>
  <si>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</si>
  <si>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</si>
  <si>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</si>
  <si>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</si>
  <si>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</si>
  <si>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</si>
  <si>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</si>
  <si>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</si>
  <si>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</si>
  <si>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</si>
  <si>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</si>
  <si>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</si>
  <si>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</si>
  <si>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</si>
  <si>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</si>
  <si>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</si>
  <si>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</si>
  <si>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</si>
  <si>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</si>
  <si>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</si>
  <si>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</si>
  <si>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</si>
  <si>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</si>
  <si>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</si>
  <si>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</si>
  <si>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</si>
  <si>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</si>
  <si>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</si>
  <si>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</si>
  <si>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</si>
  <si>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</si>
  <si>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</si>
  <si>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</si>
  <si>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</si>
  <si>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</si>
  <si>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</si>
  <si>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</si>
  <si>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freylev</t>
  </si>
  <si>
    <t>michbsd</t>
  </si>
  <si>
    <t>anttigronow</t>
  </si>
  <si>
    <t>nassimretiere</t>
  </si>
  <si>
    <t>charpy73</t>
  </si>
  <si>
    <t>nodexl</t>
  </si>
  <si>
    <t>mihkal</t>
  </si>
  <si>
    <t>dfwplay</t>
  </si>
  <si>
    <t>smart_lab_ru</t>
  </si>
  <si>
    <t>diiityaardhi</t>
  </si>
  <si>
    <t>fromalias</t>
  </si>
  <si>
    <t>aejmc</t>
  </si>
  <si>
    <t>jeremyhl</t>
  </si>
  <si>
    <t>haokun_guo</t>
  </si>
  <si>
    <t>yatebyalublyu</t>
  </si>
  <si>
    <t>smr_foundation</t>
  </si>
  <si>
    <t>hashtagmarketi7</t>
  </si>
  <si>
    <t>shaziaiqbal2023</t>
  </si>
  <si>
    <t>littletoright</t>
  </si>
  <si>
    <t>ainafer</t>
  </si>
  <si>
    <t>edkrassen</t>
  </si>
  <si>
    <t>pilotbeac0n</t>
  </si>
  <si>
    <t>coasttocoastam</t>
  </si>
  <si>
    <t>dwighttyree</t>
  </si>
  <si>
    <t>541lcbt</t>
  </si>
  <si>
    <t>connectedaction</t>
  </si>
  <si>
    <t>dataengineer23</t>
  </si>
  <si>
    <t>ifeanyidiaye</t>
  </si>
  <si>
    <t>himesaka__</t>
  </si>
  <si>
    <t>samisyrjamaki</t>
  </si>
  <si>
    <t>jnkka</t>
  </si>
  <si>
    <t>heortyw</t>
  </si>
  <si>
    <t>elonmusk</t>
  </si>
  <si>
    <t>anningyeye</t>
  </si>
  <si>
    <t>pinakilaskar</t>
  </si>
  <si>
    <t>fisheyebox</t>
  </si>
  <si>
    <t>michaelbathurst</t>
  </si>
  <si>
    <t>sunflwrgirl2</t>
  </si>
  <si>
    <t>chrisgalesmusic</t>
  </si>
  <si>
    <t>chrismontmusic</t>
  </si>
  <si>
    <t>hanssars8</t>
  </si>
  <si>
    <t>aniabello_r</t>
  </si>
  <si>
    <t>aejmc_bamj</t>
  </si>
  <si>
    <t>aejmc_comsher</t>
  </si>
  <si>
    <t>aejmc_prd</t>
  </si>
  <si>
    <t>aejmc_lawp</t>
  </si>
  <si>
    <t>mollyyanity</t>
  </si>
  <si>
    <t>bradleywilson09</t>
  </si>
  <si>
    <t>aejmcs</t>
  </si>
  <si>
    <t>csw_aejmc</t>
  </si>
  <si>
    <t>aejmc_nond</t>
  </si>
  <si>
    <t>usnavy</t>
  </si>
  <si>
    <t>hatewatch</t>
  </si>
  <si>
    <t>adl</t>
  </si>
  <si>
    <t>tucows</t>
  </si>
  <si>
    <t>twitter</t>
  </si>
  <si>
    <t>michaeljknowles</t>
  </si>
  <si>
    <t>beyonce</t>
  </si>
  <si>
    <t>librarycongress</t>
  </si>
  <si>
    <t>ibmresearch</t>
  </si>
  <si>
    <t>mitocw</t>
  </si>
  <si>
    <t>unicode</t>
  </si>
  <si>
    <t>wikipedia</t>
  </si>
  <si>
    <t>hulivar1</t>
  </si>
  <si>
    <t>hulivar2</t>
  </si>
  <si>
    <t>hulivarri</t>
  </si>
  <si>
    <t>hulivar6</t>
  </si>
  <si>
    <t>hulivar</t>
  </si>
  <si>
    <t>stillgrays65149</t>
  </si>
  <si>
    <t>stillgray3</t>
  </si>
  <si>
    <t>stillgray</t>
  </si>
  <si>
    <t>jackposobiec1</t>
  </si>
  <si>
    <t>jackposobiec456</t>
  </si>
  <si>
    <t>jackposobiec60</t>
  </si>
  <si>
    <t>jackposobiec__</t>
  </si>
  <si>
    <t>jackposobiec</t>
  </si>
  <si>
    <t>blklivesmatter</t>
  </si>
  <si>
    <t>mrandyngo</t>
  </si>
  <si>
    <t>xsecurity</t>
  </si>
  <si>
    <t>lindayax</t>
  </si>
  <si>
    <t>youtube</t>
  </si>
  <si>
    <t>willthewordguy</t>
  </si>
  <si>
    <t>icd_aejmc</t>
  </si>
  <si>
    <t>kg_suresh</t>
  </si>
  <si>
    <t>politics_2022_</t>
  </si>
  <si>
    <t>rishibagree</t>
  </si>
  <si>
    <t>worldranking_</t>
  </si>
  <si>
    <t>ani</t>
  </si>
  <si>
    <t>boltahindustan</t>
  </si>
  <si>
    <t>incindia</t>
  </si>
  <si>
    <t>rashtrapatibhvn</t>
  </si>
  <si>
    <t>indiahistorypic</t>
  </si>
  <si>
    <t>memingphd</t>
  </si>
  <si>
    <t>imilindsolanki</t>
  </si>
  <si>
    <t>hgupta84</t>
  </si>
  <si>
    <t>popcultureune</t>
  </si>
  <si>
    <t>phdvoice</t>
  </si>
  <si>
    <t>tandfonline</t>
  </si>
  <si>
    <t>davaku</t>
  </si>
  <si>
    <t>seguracardio</t>
  </si>
  <si>
    <t>academicchatter</t>
  </si>
  <si>
    <t>drasmajabeen1</t>
  </si>
  <si>
    <t>koneensaatio</t>
  </si>
  <si>
    <t>uniofjyvaskyla</t>
  </si>
  <si>
    <t>unioulu</t>
  </si>
  <si>
    <t>tampereuni</t>
  </si>
  <si>
    <t>uniturku</t>
  </si>
  <si>
    <t>unieastfinland</t>
  </si>
  <si>
    <t>suomenakatemia</t>
  </si>
  <si>
    <t>tapiomaatta</t>
  </si>
  <si>
    <t>helsinkiuni</t>
  </si>
  <si>
    <t>kasvismafioso</t>
  </si>
  <si>
    <t>nasimarazmyar</t>
  </si>
  <si>
    <t>mluonuansuu</t>
  </si>
  <si>
    <t>annepauna</t>
  </si>
  <si>
    <t>jacquesboissons</t>
  </si>
  <si>
    <t>mika_salminen</t>
  </si>
  <si>
    <t>demarit</t>
  </si>
  <si>
    <t>annikasaarikko</t>
  </si>
  <si>
    <t>karnamikko</t>
  </si>
  <si>
    <t>petralaiti</t>
  </si>
  <si>
    <t>inkamusta</t>
  </si>
  <si>
    <t>biret</t>
  </si>
  <si>
    <t>keskusta</t>
  </si>
  <si>
    <t>hersportdotie</t>
  </si>
  <si>
    <t>bamulanzeki</t>
  </si>
  <si>
    <t>johnsonthompson</t>
  </si>
  <si>
    <t>ferdiomanyala</t>
  </si>
  <si>
    <t>alvaroatletismo</t>
  </si>
  <si>
    <t>cinguetterai</t>
  </si>
  <si>
    <t>brett_nineone</t>
  </si>
  <si>
    <t>worldathletics</t>
  </si>
  <si>
    <t>joshuacheptege1</t>
  </si>
  <si>
    <t>dejiadesogan</t>
  </si>
  <si>
    <t>ljaakonsaari</t>
  </si>
  <si>
    <t>virtasofia</t>
  </si>
  <si>
    <t>joakimvigelius</t>
  </si>
  <si>
    <t>leena_meri</t>
  </si>
  <si>
    <t>kokkoismo</t>
  </si>
  <si>
    <t>anna_maja</t>
  </si>
  <si>
    <t>mauripeltokang2</t>
  </si>
  <si>
    <t>kokoomus</t>
  </si>
  <si>
    <t>ir_rkp</t>
  </si>
  <si>
    <t>sfprkp</t>
  </si>
  <si>
    <t>halla_aho</t>
  </si>
  <si>
    <t>persut</t>
  </si>
  <si>
    <t>nicolasbchb</t>
  </si>
  <si>
    <t>bendobrown</t>
  </si>
  <si>
    <t>seinecle</t>
  </si>
  <si>
    <t>jacomyma</t>
  </si>
  <si>
    <t>mergebcdg</t>
  </si>
  <si>
    <t>rocketbotpro</t>
  </si>
  <si>
    <t>theprojectmerge</t>
  </si>
  <si>
    <t>gephi</t>
  </si>
  <si>
    <t>tuulimukka2</t>
  </si>
  <si>
    <t>petteriorpo</t>
  </si>
  <si>
    <t>meemmevaikene</t>
  </si>
  <si>
    <t>ullakaukola</t>
  </si>
  <si>
    <t>mustapipa</t>
  </si>
  <si>
    <t>marinsanna</t>
  </si>
  <si>
    <t>liandersson</t>
  </si>
  <si>
    <t>matiasmakynen</t>
  </si>
  <si>
    <t>mariholopainen</t>
  </si>
  <si>
    <t>tem_uutiset</t>
  </si>
  <si>
    <t>gtk_fi</t>
  </si>
  <si>
    <t>sipimikko</t>
  </si>
  <si>
    <t>tapaniveistola</t>
  </si>
  <si>
    <t>riikkarppinen</t>
  </si>
  <si>
    <t>pro_heinavesi</t>
  </si>
  <si>
    <t>hannahalmeenpaa</t>
  </si>
  <si>
    <t>luonnonsuojelu</t>
  </si>
  <si>
    <t>maastul</t>
  </si>
  <si>
    <t>mariaohisalo</t>
  </si>
  <si>
    <t>metsahallitus</t>
  </si>
  <si>
    <t>metsakeskus</t>
  </si>
  <si>
    <t>greenpeacesuomi</t>
  </si>
  <si>
    <t>lukefinland</t>
  </si>
  <si>
    <t>harriholtta</t>
  </si>
  <si>
    <t>luonnonperinto</t>
  </si>
  <si>
    <t>awi_de</t>
  </si>
  <si>
    <t>awi_media</t>
  </si>
  <si>
    <t>reuters</t>
  </si>
  <si>
    <t>lfdcesmas</t>
  </si>
  <si>
    <t>siberian_times</t>
  </si>
  <si>
    <t>alejandrosanz</t>
  </si>
  <si>
    <t>greenpeace_esp</t>
  </si>
  <si>
    <t>pcarterclimate</t>
  </si>
  <si>
    <t>queenofpeat</t>
  </si>
  <si>
    <t>charlyjsp</t>
  </si>
  <si>
    <t>eerolasami</t>
  </si>
  <si>
    <t>dwnews</t>
  </si>
  <si>
    <t>hsfi</t>
  </si>
  <si>
    <t>lauri_linden</t>
  </si>
  <si>
    <t>dimmu141</t>
  </si>
  <si>
    <t>yleuutiset</t>
  </si>
  <si>
    <t>minna_alander</t>
  </si>
  <si>
    <t>teivoteivainen</t>
  </si>
  <si>
    <t>unosmlre</t>
  </si>
  <si>
    <t>truescope_na</t>
  </si>
  <si>
    <t>sprinklr</t>
  </si>
  <si>
    <t>lldesimone</t>
  </si>
  <si>
    <t>raulpacheco</t>
  </si>
  <si>
    <t>magdamraza</t>
  </si>
  <si>
    <t>georgette_eaton</t>
  </si>
  <si>
    <t>aleksejheinze</t>
  </si>
  <si>
    <t>kozinets</t>
  </si>
  <si>
    <t>cristinavas</t>
  </si>
  <si>
    <t>alexfenton</t>
  </si>
  <si>
    <t>netnocon</t>
  </si>
  <si>
    <t>nodexlacademy</t>
  </si>
  <si>
    <t>nedasoc</t>
  </si>
  <si>
    <t>michaelrosino</t>
  </si>
  <si>
    <t>timr100</t>
  </si>
  <si>
    <t>ericklinenberg</t>
  </si>
  <si>
    <t>prudencelcarter</t>
  </si>
  <si>
    <t>ucpress</t>
  </si>
  <si>
    <t>victorerikray</t>
  </si>
  <si>
    <t>emancipatorylab</t>
  </si>
  <si>
    <t>prof_kennedy</t>
  </si>
  <si>
    <t>asanews</t>
  </si>
  <si>
    <t>narendramodi</t>
  </si>
  <si>
    <t>rvcj_fb</t>
  </si>
  <si>
    <t>hsajwanization</t>
  </si>
  <si>
    <t>vlkas_pr0nam0</t>
  </si>
  <si>
    <t>meghupdates</t>
  </si>
  <si>
    <t>roshankrraii</t>
  </si>
  <si>
    <t>latestinspace</t>
  </si>
  <si>
    <t>rajinikanth</t>
  </si>
  <si>
    <t>erbmjha</t>
  </si>
  <si>
    <t>isro</t>
  </si>
  <si>
    <t>christinadstone</t>
  </si>
  <si>
    <t>michael_r_levy</t>
  </si>
  <si>
    <t>g2dotcom</t>
  </si>
  <si>
    <t>trustradius</t>
  </si>
  <si>
    <t>zoominfo</t>
  </si>
  <si>
    <t>dg_report</t>
  </si>
  <si>
    <t>techtarget</t>
  </si>
  <si>
    <t>intentsify</t>
  </si>
  <si>
    <t>bomboradata</t>
  </si>
  <si>
    <t>forrester</t>
  </si>
  <si>
    <t>reutsmichael1</t>
  </si>
  <si>
    <t>matt_prince</t>
  </si>
  <si>
    <t>spj_tweets</t>
  </si>
  <si>
    <t>this0499154500</t>
  </si>
  <si>
    <t>mimspr</t>
  </si>
  <si>
    <t>shoutmgb</t>
  </si>
  <si>
    <t>kimfoxwosu</t>
  </si>
  <si>
    <t>kfreberg</t>
  </si>
  <si>
    <t>marc_smith</t>
  </si>
  <si>
    <t>btc_for_freedom</t>
  </si>
  <si>
    <t>saylor</t>
  </si>
  <si>
    <t>thebtctherapist</t>
  </si>
  <si>
    <t>_jen_net_</t>
  </si>
  <si>
    <t>freebycrypto</t>
  </si>
  <si>
    <t>bitcoinnewscom</t>
  </si>
  <si>
    <t>piergiorgio223</t>
  </si>
  <si>
    <t>btcyn</t>
  </si>
  <si>
    <t>watcherguru</t>
  </si>
  <si>
    <t>bitcoinmagazine</t>
  </si>
  <si>
    <t>tripplepunkt</t>
  </si>
  <si>
    <t>301andi</t>
  </si>
  <si>
    <t>algoworks</t>
  </si>
  <si>
    <t>whizz_ai</t>
  </si>
  <si>
    <t>sivamurugappan</t>
  </si>
  <si>
    <t>therainbownavy2</t>
  </si>
  <si>
    <t>linkedinhelp</t>
  </si>
  <si>
    <t>tinopfaff</t>
  </si>
  <si>
    <t>linkedin</t>
  </si>
  <si>
    <t>ltbeposters</t>
  </si>
  <si>
    <t>simplytimtv</t>
  </si>
  <si>
    <t>markbird17</t>
  </si>
  <si>
    <t>hanseckman</t>
  </si>
  <si>
    <t>optiongirl</t>
  </si>
  <si>
    <t>hrcurator</t>
  </si>
  <si>
    <t>ginabella</t>
  </si>
  <si>
    <t>hiqutipie</t>
  </si>
  <si>
    <t>kitchenerblues</t>
  </si>
  <si>
    <t>davidgogoblues</t>
  </si>
  <si>
    <t>2cshadowfox</t>
  </si>
  <si>
    <t>alexarabat</t>
  </si>
  <si>
    <t>davidgraell</t>
  </si>
  <si>
    <t>mikepompeo</t>
  </si>
  <si>
    <t>gabrielshipton</t>
  </si>
  <si>
    <t>defendassange</t>
  </si>
  <si>
    <t>stella_assange</t>
  </si>
  <si>
    <t>donaldjtrumpjr</t>
  </si>
  <si>
    <t>realdonaldtrump</t>
  </si>
  <si>
    <t>ft</t>
  </si>
  <si>
    <t>investeuropeeu</t>
  </si>
  <si>
    <t>gopoversight</t>
  </si>
  <si>
    <t>nostatusquono</t>
  </si>
  <si>
    <t>medicalquack</t>
  </si>
  <si>
    <t>ttfacer</t>
  </si>
  <si>
    <t>jacksonhinklle</t>
  </si>
  <si>
    <t>wsj</t>
  </si>
  <si>
    <t>champprivate</t>
  </si>
  <si>
    <t>sbmccallister</t>
  </si>
  <si>
    <t>connected_data</t>
  </si>
  <si>
    <t>openalex_org</t>
  </si>
  <si>
    <t>prabowo</t>
  </si>
  <si>
    <t>ganjarpranowo</t>
  </si>
  <si>
    <t>aniesbaswedan</t>
  </si>
  <si>
    <t>irwan_dwi_a</t>
  </si>
  <si>
    <t>_thinkbot</t>
  </si>
  <si>
    <t>deeplearningai_</t>
  </si>
  <si>
    <t>pecb</t>
  </si>
  <si>
    <t>kcore_analytics</t>
  </si>
  <si>
    <t>mkai_org</t>
  </si>
  <si>
    <t>automotive_news</t>
  </si>
  <si>
    <t>towards_ai</t>
  </si>
  <si>
    <t>onalytica</t>
  </si>
  <si>
    <t>officialindiaai</t>
  </si>
  <si>
    <t>thinkers360</t>
  </si>
  <si>
    <t>vivatech</t>
  </si>
  <si>
    <t>iotcommunity</t>
  </si>
  <si>
    <t>guidaautonoma</t>
  </si>
  <si>
    <t>Mentions</t>
  </si>
  <si>
    <t>Replies to</t>
  </si>
  <si>
    <t>MentionsInQuoteReply</t>
  </si>
  <si>
    <t>Quote</t>
  </si>
  <si>
    <t>MentionsInReplyTo</t>
  </si>
  <si>
    <t>MentionsInQuote</t>
  </si>
  <si>
    <t>@ANIABELLO_R para los que preguntaron si hicieron eso manualmente , ellos usan  NodeXL es el el programa automatizado para espurgar las redes sociales y los vínculos entre personas. Lo terrible es no saber verificar bien lo que hace el extractor de información, irónicamente.</t>
  </si>
  <si>
    <t>Looking to map and understand social media networks? NodeXL is a free and open-source template that empowers you to explore. A must-have in your OSINT toolkit! Find it here: [https://t.co/ZVqVOw2hOt] #SocialMediaAnalysis"</t>
  </si>
  <si>
    <t>@mihkal NodeXL pystyy vielä imuroimaan ilmaiseksi twiittejä? Ja maksimina 20 000 kpl?</t>
  </si>
  <si>
    <t>#8èmeValeurRépublicaine 
#Sporet vient de #Spore &amp;amp; #Sport 
elle se veut présentant deux projets sociaux d'ampleurs :
 - un sport mixte #Globall se pratiquant sur #Vallon ou #Boussole 
 - raccorder des technologies existantes pour en développer qui permettrons de guérir l'arctique</t>
  </si>
  <si>
    <t>@nodexl @AEJMC @aejmc_nond @CSW_AEJMC @AejmcS @bradleywilson09 @mollyyanity @AEJMC_LAWP @AEJMC_PRD @AEJMC_ComSHER @AEJMC_BAMJ https://t.co/iuIb2y0UIi are we realy safe on earth ?</t>
  </si>
  <si>
    <t>@MrAndyNgo @michaeljknowles You’re unable to view @JackPosobiec's @Twitter cuz he's a lying #altReich #ϘAnon #WhiteSupremacist #Antisemitic  piece of sh** https://t.co/QLNNU14gNW @Wikipedia
 https://t.co/umaRhUmLN3 @tucows 
 #MAGA https://t.co/tLB1MmIoVk https://t.co/CLYfk8zedn @ADL  @Hatewatch @USNavy https://t.co/OrTXNZwLxa</t>
  </si>
  <si>
    <t>@lindayaX @elonmusk @XSecurity @MrAndyNgo @nodexl @Blklivesmatter @JackPosobiec @JackPosobiec__ @jackposobiec60 @jackposobiec456 @JackPosobiecc1 @Jackposobiec1 @stillgray @stillgray3 @StillgrayS65149 @hulivar @hulivaR6 @HUlivarri @hulivar2 @hulivar1 @Wikipedia @unicode @MITOCW @IBMResearch @librarycongress if you’re down with that ba don’t tell @Beyonce https://t.co/IElqtQDB1N</t>
  </si>
  <si>
    <t>@lindayaX @elonmusk @XSecurity @MrAndyNgo @nodexl @Blklivesmatter @JackPosobiec @JackPosobiec__ @jackposobiec60 @jackposobiec456 @JackPosobiecc1 @Jackposobiec1 @stillgray @stillgray3 @StillgrayS65149 @hulivar @hulivaR6 @HUlivarri @hulivar2 @hulivar1 #ϘaNoN the altRight /pol/ Conspiracy $ Greed https://t.co/sJIdJ6wNvt note https://t.co/JlNWrnpEzX https://t.co/OuuhexkcVN   Graeco-Aryan-Koppa-#Symbol
@Wikipedia
@unicode
@MITOCW
@IBMResearch
@librarycongress
https://t.co/9KYtjM5R8J Quote Tweet</t>
  </si>
  <si>
    <t>@lindayaX @elonmusk @XSecurity @MrAndyNgo @nodexl @Blklivesmatter @nodexl @mrandyngo
@jackposobiec
@JackPosobiec__
@jackposobiec60
@jackposobiec456
@JackPosobiecc1
@Jackposobiec1
@stillgray
@stillgray3
@StillgrayS65149
@jayehmell
 @hulivar
@hulivaR6
@hulivar
@HUlivarri
@hulivar2
@hulivar1 
https://t.co/LCPYg8UWny</t>
  </si>
  <si>
    <t>@lindayaX @elonmusk @XSecurity @MrAndyNgo @nodexl @Blklivesmatter @JackPosobiec @JackPosobiec__ @jackposobiec60 @jackposobiec456 @JackPosobiecc1 @Jackposobiec1 @stillgray @stillgray3 @StillgrayS65149 @hulivar @hulivaR6 @HUlivarri @hulivar2 @hulivar1 https://t.co/mHWujVIH2N</t>
  </si>
  <si>
    <t>@lindayaX @elonmusk @XSecurity @MrAndyNgo @nodexl @Blklivesmatter @JackPosobiec @JackPosobiec__ @jackposobiec60 @jackposobiec456 @JackPosobiecc1 @Jackposobiec1 @stillgray @stillgray3 @StillgrayS65149 @hulivar @hulivaR6 @HUlivarri @hulivar2 @hulivar1 https://t.co/nkAGeo8W7c</t>
  </si>
  <si>
    <t>@lindayaX @elonmusk @XSecurity @MrAndyNgo https://t.co/9BKaVfXaQe https://t.co/7NJclvUfO3 @nodexl  lgraphgallery</t>
  </si>
  <si>
    <t>Michaelmas https://t.co/V5XmE9tG5G r/ https://t.co/476gaSu0L1
American NEO-NAZI Richard Spencer r/ (https://t.co/4Wz9ZmYg8x)
..."Judge not, and ye shall not be judged:" Luke 6:37:https://t.co/We2XVnhCON
r/ https://t.co/DUzJwLi3sG
The Parable of Heather r/ https://t.co/OuOLyahNgm https://t.co/YJ08Rh7DJt</t>
  </si>
  <si>
    <t>What is a λίθος σαρκοφάγος? https://t.co/IuTvt9iKi2 ?
#Q the GREAT "flesh-eating stone". https://t.co/goZuAOnVaj</t>
  </si>
  <si>
    <t>@LadyKnightFury @RobertPLewis @YouTube #Ϙ&amp;lt;/a&amp;gt; #ModernNumeralSign&amp;lt;/a&amp;gt;#GREEK&amp;lt;/a&amp;gt;#LETTER&amp;lt;/a&amp;gt;#KOPPA&amp;lt;/a&amp;gt; - /   / #QAnon&amp;lt;/a&amp;gt;  - .../&amp;lt;a href="https://t.co/PGsI53zkky"&amp;gt;
#AltRight&amp;lt;/a&amp;gt; "&amp;gt;https://t.co/6PTs8qg3Pz&amp;lt;/a&amp;gt;</t>
  </si>
  <si>
    <t>aejmc via NodeXL https://t.co/d0ll4QpWrY
@aejmc
@csw_aejmc
@aejmc_prd
@aejmc_comsher
@aejmc_nond
@jeremyhl
@kg_suresh
@icd_aejmc
@aejmc_lawp
@willthewordguy
Top hashtags:
#AEJMC22
#AEJMC23
#aejmc22
#aejmc
#AEJMC
#PRProfs
#smprofs
#prprofs
#smle2022
#aejmc23</t>
  </si>
  <si>
    <t>isro via NodeXL https://t.co/21rsgOU5E7
@isro
@narendramodi
@indiahistorypic
@rashtrapatibhvn
@incindia
@boltahindustan
@ani
@worldranking_
@rishibagree
@politics_2022_
Top hashtags:
#Chandrayaan3
#ISRO
#Chandrayaan3Landing
#IndiaOnTheMoon
#VikramLander
#India</t>
  </si>
  <si>
    <t>aejmc via NodeXL https://t.co/18pwMBXazU
@aejmc
@aejmc_nond
@csw_aejmc
@aejmcs
@bradleywilson09
@mollyyanity
@aejmc_lawp
@aejmc_prd
@aejmc_comsher
@aejmc_bamj
Top hashtags:
#AEJMC23
#aejmc23
#AEJMC
#NOND
#Happy50thCSW
#AEJMC2023
#aejmc
#PLCD
#PRProfs
#AI</t>
  </si>
  <si>
    <t>#AcademicTwitter via NodeXL https://t.co/fuutxLYMQl
@drasmajabeen1
@academicchatter
@seguracardio
@davaku
@tandfonline
@phdvoice
@popcultureune
@hgupta84
@imilindsolanki
@memingphd
Top hashtags:
#AcademicTwitter
#phd
#academia
#research
#AcademicChatter
#phdchat</t>
  </si>
  <si>
    <t>#minaetutkin via NodeXL https://t.co/T8ZD4w2cRx
@helsinkiuni
@tapiomaatta
@suomenakatemia
@unieastfinland
@uniturku
@tampereuni
@unioulu
@samisyrjamaki
@uniofjyvaskyla
@koneensaatio
Top hashtags:
#minätutkin
#MinäTutkin
#Minätutkin
#tutkimus
#PuhettaTaiteesta /</t>
  </si>
  <si>
    <t>rasismi via NodeXL https://t.co/kZ6kWrkRmW
@meemmevaikene
@mika_salminen
@jacquesboissons
@annepauna
@petteriorpo
@mluonuansuu
@nasimarazmyar
@tuulimukka2
@kasvismafioso
@sfprkp
Top hashtags:
#rasismi
#persut
#perussuomalaiset
#Rasismi
#hallituskriisi
#hallitus /</t>
  </si>
  <si>
    <t>#saamelaiskaeraejaelaki via NodeXL https://t.co/xZgDkxgwBF
@keskusta
@marinsanna
@anna_maja
@biret
@kokoomus
@inkamusta
@petralaiti
@karnamikko
@annikasaarikko
@demarit
Top hashtags:
#saamelaiskäräjälaki
#saamelaiset
#Saamelaiskäräjälaki
#ihmisoikeudet /</t>
  </si>
  <si>
    <t>#WorldAthleticsChampionships via NodeXL https://t.co/95kDZyHj6E
@dejiadesogan
@joshuacheptege1
@worldathletics
@brett_nineone
@cinguetterai
@alvaroatletismo
@ferdiomanyala
@johnsonthompson
@bamulanzeki
@hersportdotie
Top hashtags:
#WorldAthleticsChampionships /</t>
  </si>
  <si>
    <t>rasismi via NodeXL https://t.co/f7hbbkRuuO
@joakimvigelius
@virtasofia
@anna_maja
@sfprkp
@persut
@yleuutiset
@hsfi
@ullakaukola
@ljaakonsaari
@dimmu141
Top hashtags:
#rasismi
#persut
#hallituskriisi
#hallitus
#äärioikeisto
#Rasismi
#kokoomus
#perussuomalaiset
#RKP /</t>
  </si>
  <si>
    <t>@persut via NodeXL https://t.co/4739tDPZm4
@persut
@halla_aho
@sfprkp
@ir_rkp
@kokoomus
@mauripeltokang2
@anna_maja
@kokkoismo
@leena_meri
@hsfi
Top hashtags:
#rasismi
#persut
#hallitus
#puoluekokous
#perussuomalaiset
#politiikka
#Auschwitz
#vieraslajit /</t>
  </si>
  <si>
    <t>@mihkal @Gephi @TheProjectMerge @rocketbotpro @MergeBCDG @jacomyma @nodexl @seinecle @BenDoBrown @nicolasbchb Total data science geek fest... Worked with Gephi for a week and spent way to much time. Like ChatGPT so powerful but hard to apply &amp;amp; monetize. Life is too short</t>
  </si>
  <si>
    <t>@mihkal @Gephi @TheProjectMerge @rocketbotpro @MergeBCDG @jacomyma @nodexl @seinecle @BenDoBrown @nicolasbchb @elonmusk put the kabobs on https://t.co/chyoM6kJZc API access</t>
  </si>
  <si>
    <t>Gephi via NodeXL https://t.co/Is1u6p5sv1
@gephi
@theprojectmerge
@rocketbotpro
@dfwplay
@mergebcdg
@jacomyma
@nodexl
@seinecle
@bendobrown
@nicolasbchb
Top hashtags:
#Gephi
#gephi
#DataScience
#nodexl
#TwitterResearchProject
#MachineLearning
#OpenScience /</t>
  </si>
  <si>
    <t>@Dfwplay @Gephi @TheProjectMerge @rocketbotpro @MergeBCDG @jacomyma @nodexl @seinecle @BenDoBrown @nicolasbchb Well...
Use @nodexl and @Gephi to learn the expertize.
Then use that with business specific data
-&amp;gt; monetizing almost guaranteed.</t>
  </si>
  <si>
    <t>hallitus via NodeXL https://t.co/oNddRKycZ5
@matiasmakynen
@liandersson
@marinsanna
@mustapipa
@ullakaukola
@meemmevaikene
@petteriorpo
@yleuutiset
@tuulimukka2
@hsfi
Top hashtags:
#hallitus
#Hallitus
#rasismi
#persut
#kokoomus
#hallitusohjelma
#politiikka
#eduskunta /</t>
  </si>
  <si>
    <t>#kaivos OR #kaivokset via NodeXL https://t.co/Xt3E5rtfNa
@luonnonsuojelu
@hannahalmeenpaa
@pro_heinavesi
@riikkarppinen
@tapaniveistola
@sipimikko
@gtk_fi
@tem_uutiset
@mariholopainen
@hsfi
Top hashtags:
#kaivokset
#kaivos
#kaivoslaki
#ympäristö
#kaivoshankelähelläsi /</t>
  </si>
  <si>
    <t>#metsae via NodeXL https://t.co/KMIMT1OHoL
@luonnonperinto
@harriholtta
@lukefinland
@greenpeacesuomi
@metsakeskus
@metsahallitus
@hsfi
@mariaohisalo
@maastul
@yleuutiset
Top hashtags:
#metsä
#luonto
#forest
#Finland
#Suomi
#nature
#luontokato
#photography /</t>
  </si>
  <si>
    <t>#permafrost via NodeXL https://t.co/r2SssIFXXT
@queenofpeat
@pcarterclimate
@greenpeace_esp
@alejandrosanz
@youtube
@siberian_times
@lfdcesmas
@reuters
@awi_media
@awi_de
Top hashtags:
#permafrost
#Permafrost
#Arctic
#climatechange
#ClimateChange
#climate /</t>
  </si>
  <si>
    <t>hakaristi via NodeXL https://t.co/ayNr07SAjZ
@teivoteivainen
@minna_alander
@yleuutiset
@dimmu141
@lauri_linden
@hsfi
@dwnews
@eerolasami
@charlyjsp
@tapiokuusitapio
Top hashtags:
#hakaristi
#erillishakaristi
#Hakaristi
#ilmavoimat
#swastika
#turpo
#natsit /</t>
  </si>
  <si>
    <t>_xD83D__xDCDA_ New semester, new horizons! Welcome back to an exciting SMART semester. From research design to powerful tools like Tableau, Meltwater, and NodeXL, we're here to fuel your academic journey. Let's achieve excellence together! #NewSemester #SMARTLab https://t.co/omvEK6VOB3</t>
  </si>
  <si>
    <t>I am using NodeXL to get insights into networks! You can too!  https://t.co/cdAl7MqX9C</t>
  </si>
  <si>
    <t>APG IV #apgiv  
(prove) 
#nodexl https://t.co/pZNQRgKuKF</t>
  </si>
  <si>
    <t>#villatorlonia 
_xD83D__xDD34_ https://t.co/K5XDdqgcw2  
ben fatto!
#flora #botanica #sankey #nodexl https://t.co/GNJJ3njSKj</t>
  </si>
  <si>
    <t>@JeremyHL @Sprinklr @Truescope_NA @nodexl @unosmlre Thank you! We love all of this data!</t>
  </si>
  <si>
    <t>It’s an #AEJMC23 wrap. We’ll again be exploring @AEJMC conference Twitter X data using @Sprinklr @Truescope_NA and @nodexl .
#SMProfs #PRProfs #research #data #smmm2025 @unosmlre</t>
  </si>
  <si>
    <t>A big thank you to all of our gracious #AEJMC23 Conference sponsors! We appreciate each of you! Without you, this successful conference would not have been possible. Thank you!
https://t.co/JU0rFBLsNi https://t.co/CeoYoT3xO6</t>
  </si>
  <si>
    <t>Thank you @marc_smith for the AEJMC @nodexl PowerBI dashboard. #AEJMC23 @AEJMC 
#smc2024 #SMProfs #PRProfs 
https://t.co/SrwLrAHWy1 https://t.co/fe1crky3qg</t>
  </si>
  <si>
    <t>This paper uses NodeXL analysis to obtain data, and then uses Clauset-Newman-Moore (CNM) algorithm and sentiment analysis to get the conclusion that there is almost no connection between each cluster, and the stickiness between users and clusters is insufficient.#phd</t>
  </si>
  <si>
    <t>@NodeXLAcademy @nodexl @netnocon @alexfenton @cristinavas @Kozinets @AleksejHeinze @georgette_eaton @MagdaMRaza @raulpacheco @lldesimone Thank you very much.</t>
  </si>
  <si>
    <t>ASA2023 via NodeXL https://t.co/QuOXc7qxL1
@asanews
@prof_kennedy
@emancipatorylab
@victorerikray
@ucpress
@prudencelcarter
@ericklinenberg
@timr100
@michaelrosino
@nedasoc
Top hashtags:
#ASA2023
#SSSP2023
#ABSoc2023
#sociology
#EMCA
#ABS2023
#ASA</t>
  </si>
  <si>
    <t>Chandrayaan3 via NodeXL https://t.co/L3J00IcwJ5
@isro
@erbmjha
@rajinikanth
@latestinspace
@roshankrraii
@meghupdates
@vlkas_pr0nam0
@hsajwanization
@rvcj_fb
@narendramodi
Top hashtags:
#Chandrayaan3
#Chandrayaan3Landing
#IndiaOnTheMoon
#ISRO
#VikramLander
#India</t>
  </si>
  <si>
    <t>Intentdata via NodeXL https://t.co/Unl8G7FruR
@forrester
@bomboradata
@intentsify
@techtarget
@dg_report
@zoominfo
@trustradius
@g2dotcom
@michael_r_levy
@christinadstone
Top hashtags:
#intentdata
#IntentData
#ABM
#Intentdata
#B2B
#B2BMarketing
#INTENTIVE
#marketing</t>
  </si>
  <si>
    <t>@JeremyHL @kfreberg @KimFoxWOSU @michaelbathurst @ShoutMGB @mimsPR @this0499154500 @spj_tweets @Matt_Prince @ReutsMichael1 #SMProfs via NodeXL https://t.co/VjYyEtO0o8 https://t.co/0M5h6dZU1p</t>
  </si>
  <si>
    <t>#SMProfs via NodeXL https://t.co/VjYyEtO0o8
@jeremyhl
@kfreberg
@kimfoxwosu
@michaelbathurst
@shoutmgb
@mimspr
@this0499154500
@spj_tweets
@matt_prince
@reutsmichael1
Top hashtags:
#SMProfs
#smc2024
#PRProfs
#SMprofs
#smpc2023
#smprofs
#smle2022
#prprofs
#ff
#aejmc22</t>
  </si>
  <si>
    <t>The @nodexl X/Twitter data are looking good …</t>
  </si>
  <si>
    <t>@jnkka Purske 7 päivän sisää, jotta saadaan aineisto kasaan rajapinnan rajoitusten mukaisesti.
mukaan
oma tunnus @mihkal
yliopiston tai osaston tunnus @nodexl @smr_foundation 
mitä tutkii häsä #verkostoanalyysi #networkanalytics
joku kuva/graafi
Tägää ehkä joku idoli? @marc_smith</t>
  </si>
  <si>
    <t>@jnkka @nodexl @smr_foundation @marc_smith ai niin ja tietenkin se #minätutkin ensimmäisenä :)</t>
  </si>
  <si>
    <t>@jnkka @nodexl @smr_foundation @marc_smith Teen myös näistä kuvia @Gephi llä kuten tässä #minätutkin aiemmalta kerralta
https://t.co/VoH3EW1Pmk</t>
  </si>
  <si>
    <t>@jnkka @nodexl @smr_foundation @marc_smith #minätutkin #verkostoanalyysi'ä @smr_foundation 'ssa työkalunani on @nodexl 
Olen oppinut aiheesta paljon @marc_smith 'ltä
https://t.co/Pc0DT8HPbV</t>
  </si>
  <si>
    <t>ASA2023 via NodeXL Pro INSIGHTS
https://t.co/MWdhBdKgJ4 https://t.co/QOiE7qLaYP</t>
  </si>
  <si>
    <t>Audiences of #bitcoin via @nodexl by #SEOhashtag https://t.co/z3yZOS3MUN
@bitcoinmagazine
@watcherguru
@btcyn
@piergiorgio223
@bitcoinnewscom
@freebycrypto
@_jen_net_
@thebtctherapist
@saylor
@btc_for_freedom
Top hashtags:
#Bitcoin
#bitcoin
#BTC
#btc
#Airdrop
#Crypto
#BITCOIN…</t>
  </si>
  <si>
    <t>Audiences #linkedin via @nodexl  https://t.co/4YyLaFeHts by #SEOhashtag 
@linkedin
@tinopfaff
@linkedinhelp
@elonmusk
@therainbownavy2
@sivamurugappan
@whizz_ai
@algoworks
@301andi
@tripplepunkt
Top hashtags:
#LinkedIn
#linkedin
#Linkedin
#Twitter
#socialmedia
#Facebook
#X…</t>
  </si>
  <si>
    <t>Do Join me at AMEE 2023 Glasgow. buzzing to attend the event with lot of net working.
#AMEE2023
#medicaleducation
#NODEXL
#socailmediamarketing
#bigdatanalytics
Check out this great ePoster! https://t.co/zCkkrFp3Cc #eposters #amee2023 via @LTBePosters</t>
  </si>
  <si>
    <t>@Sunflwrgirl2 @michaelbathurst @2cshadowfox @DavidGogoBlues @kitchenerblues @Hiqutipie @ginabella @HRCurator @Optiongirl @nodexl @hanseckman @MarkBird17 @ChrisMontMusic @chrisgalesmusic @SimplyTimTV Reported. https://t.co/xl7LWuXgCT</t>
  </si>
  <si>
    <t>Quin agost, a la xarxa abans coneguda com a Twitter. I quina pena que l'API estigui tancada... #nodeXL @DavidGraell @alexarabat</t>
  </si>
  <si>
    <t>WOW!
After Donald Trump posted on Truth Social, "IF YOU GO AFTER ME, I'M COMING AFTER YOU!" Jack Smith filed a Motion for Protective Order.
Smith is claiming that the prosecution can not safely turn over all the requested discovery evidence until they know that Trump can't make… https://t.co/UswXt8h4Oi</t>
  </si>
  <si>
    <t>same surname @marc_smith from all the graphs you mined under your own name search @nodexl 
eddie-- there was no election result</t>
  </si>
  <si>
    <t>See if you can remember exactly what happened on May 13, 2016 @Stella_Assange @DefendAssange @GabrielShipton @realDonaldTrump @mikepompeo</t>
  </si>
  <si>
    <t>British Woman Tormented by 'Haunted' Cell Phone https://t.co/eISeyVj5fF</t>
  </si>
  <si>
    <t>just more proof the mobile system is flawed, invasive and harmful. diversions of texts to wrong numbers but that which match the internal hijack of nodexl.
&amp;gt; https://t.co/4cDnozosbv &amp;lt;</t>
  </si>
  <si>
    <t>"deep state"-- tweet brought forward in time and placed in the same cluster as the election day clusters mined by nodeXL and connected action with backdoor access to twitter -- @realDonaldTrump @DonaldJTrumpJr 
data analysis-- interference in quantum.
&amp;gt; https://t.co/TwhlTJhi2I</t>
  </si>
  <si>
    <t>I want your shit packed tonight @realDonaldTrump</t>
  </si>
  <si>
    <t>@pilotbeaconX @WhiteHouse https://t.co/TuUuc26LoR</t>
  </si>
  <si>
    <t>This coward didn't get the memo &amp;gt; @marc_smith @nodexl  Come after me, I come for you.</t>
  </si>
  <si>
    <t>I remember what happened at my end very clearly @marc_smith @nodexl</t>
  </si>
  <si>
    <t>if you @marc_smith use @nodexl to come after me or anyone else-- we're coming after you.</t>
  </si>
  <si>
    <t>aimed at my postcode @nodexl</t>
  </si>
  <si>
    <t>fckoff from people on this network @nodexl what right do you have? to profit from it?</t>
  </si>
  <si>
    <t>any issues? @nodexl or does your algorithm turn normal people into feral dogs--</t>
  </si>
  <si>
    <t>analysis complete:
"non-human" = inhuman artificially intelligent insectoid intelligence cut off from source-- grey intelligence/ dulce base stories / re-analysing/compiling human intel for disruption of genetic codes to serve mammon/satan/ flesh on holographic earth.
nodexl</t>
  </si>
  <si>
    <t>&amp;gt; the original flawed code
&amp;gt; facebook hijacked the internet
&amp;gt; twitter hijacked facebook
&amp;gt; instagram and youtube overwrote optics
&amp;gt; nodexl launched an internal terrorism grid
&amp;gt; jobs put the internet in mobile phones
&amp;gt; NASA, Starlink and others transmit it via satellite
everything</t>
  </si>
  <si>
    <t>too late-- jack and nodexl have already killed millions</t>
  </si>
  <si>
    <t>Driessen. and yes it is Dutch, but I am not. 
Thanks again @nodexl for data-mining me and my life so horrifically.
Now get the fck off me. https://t.co/6tv77BvvmW</t>
  </si>
  <si>
    <t>Twitter back end/ nodexl/ cluster algorithm.</t>
  </si>
  <si>
    <t>they caused the war: nodexl.</t>
  </si>
  <si>
    <t>Those NodeXL (unlawful) graph clusters mined some news outlets over others-- on Election Day 2020.</t>
  </si>
  <si>
    <t>Twitter election interference by NodeXL and censors--</t>
  </si>
  <si>
    <t>Or is it #Smith and his disregard for human life at #nodexl while he feeds on our brains and automates the entire grid, just to feel important?</t>
  </si>
  <si>
    <t>private equity via NodeXL https://t.co/txjCwNpW5L
@sbmccallister
@champprivate
@wsj
@jacksonhinklle
@ttfacer
@medicalquack
@nostatusquono
@gopoversight
@investeuropeeu
@ft
Top hashtags:
#PrivateEquity
#privateequity
#venturecapital
#finance
#VentureCapital
#investment</t>
  </si>
  <si>
    <t>@Ifeanyidiaye @nodexl @OpenAlex_org @Gephi @Connected_Data @ConnectedAction Thanks, bro... sure_xD83D__xDE04__xD83D__xDE4F__xD83C__xDFFC_❤️</t>
  </si>
  <si>
    <t>@dataengineer23 @OpenAlex_org @Gephi @Connected_Data @ConnectedAction I think @nodexl is a graphing tool that imports matrixes and turns them into graphs. You can give it a try.</t>
  </si>
  <si>
    <t>@irwan_dwi_a @aniesbaswedan @ganjarpranowo @prabowo pak, ini scrapingnya pakai nodexl atau bagaimana pak ?</t>
  </si>
  <si>
    <t>as SNA is back on fire, thanks to NodeXL JSON scraper.. let's see the battle of Yurimanga popularity
this is the top 3 of Yuri manga title according to yurimanga keyword (keyword are 百合漫画 lang:ja) 
- Citrus (Yuzu and Mei) 
- Yagakimi (Koito and Yuu)
- KTKW (Airi and Hinako) https://t.co/joWpsj76Jn</t>
  </si>
  <si>
    <t>@mihkal @nodexl Tottakai on! 5.9. taitaa olla virallinen syntymäpäivä, joten siitä sitten.</t>
  </si>
  <si>
    <t>@mihkal @nodexl Kiitos, Mika!</t>
  </si>
  <si>
    <t>@mihkal @jnkka @nodexl Ehdottelen, että 5. päivä, niin pysytään traditiossa. Ennakkoon voi toki laittaa viestiä.</t>
  </si>
  <si>
    <t>@jnkka @SamiSyrjamaki @nodexl vaikea päätös. edeltävällä viikolla. sopia ennalta muutaman ison seuraajamäärän omaavan kanssa ja ehkö yhteistyössä yliopistojen kanssa että tuo 5 päivä viikko olisi 'somemyrsky'
rummutus ennakkoon x kpl hengen kanssa het oitis, viestillä hold your horses</t>
  </si>
  <si>
    <t>@SamiSyrjamaki @nodexl Yritän saada myös tämän aikaiseksi
https://t.co/L4I4nlfeTi</t>
  </si>
  <si>
    <t>Hello #tiede twitter
Oisiko aika taas #minätutkin #jagforskar #iresearch ketjuille?
Voisin käyttää @nodexl ja raapustaa siitä verkostoja kuten edellisellä kerralla
https://t.co/VoH3EW1Pmk</t>
  </si>
  <si>
    <t>Uusi @nodexl rajapinta 
Huomatkaa...
"tweeted between 1.1.2020 13.36.25 and 24.8.2023 13.36.25"
#verkostoanalyysi #minätutkin</t>
  </si>
  <si>
    <t>@SamiSyrjamaki @nodexl Tässä data viime vuodelta
https://t.co/oCQva9QpJe</t>
  </si>
  <si>
    <t>@SamiSyrjamaki @mihkal @nodexl Eli rummutus aloitetaan ASAP vai 5. syyskuuta?</t>
  </si>
  <si>
    <t>This article main of study method is applied #NodeXL and MeaningCloud to analyse 17,147 English Tweets and 16,618 French Tweets about “occupational safety” in witter.also,used #sentimentanalysis via machine learning algorithms.
articlelink:https://t.co/yYUOmz3Qar?</t>
  </si>
  <si>
    <t>@liuyuxxd We are working on semantic (AI) search. Will show posts of X that match the meaning of your search, not just the text.</t>
  </si>
  <si>
    <t>"Using Social Network Analysis (SNA), Sentiment Analysis, NodeXL, clustering algorithms, and Harel-Koren layout, we uncover opinion leaders and knowledge sharing patterns related to construction safety on Twitter. #SNAnalysis #SentimentAnalysis #DataVisualization #OpinionLeader</t>
  </si>
  <si>
    <t>Perfect analogy.
@Fisheyebox
@guidaautonoma @IoTCommunity @VivaTech @thinkers360 @officialindiaai @onalytica @towards_AI @automotive_news @mkai_org @kcore_analytics @pecb @nodexl @deeplearningai_ @_thinkbot 
#AI #CX #SelfDrivingCars #DataScience #AutonomousVehicles #Metaverse https://t.co/hlXuiP2TbY</t>
  </si>
  <si>
    <t>Why the geopolitics of #AIchips could define the future of #AI?
#futureAI @guidaautonoma @IoTCommunity @VivaTech @thinkers360 @officialindiaai @onalytica @towards_AI @automotive_news @mkai_org @kcore_analytics @pecb @nodexl @deeplearningai_ @_thinkbot
https://t.co/RkIWTGuhAS</t>
  </si>
  <si>
    <t>What you need for Machine Intelligence is Machine Metaphysics?
#MachineMetaphysics #MachineIntelligence #MachineLearning #GeneralAI #FutureAI 
@guidaautonoma  @thinkers360 @onalytica @towards_AI @automotive_news @officialindiaai @kcore_analytics @nodexl
https://t.co/pPF9tcYUsf</t>
  </si>
  <si>
    <t>FAILURE IS TEMPORARY.
REGRET IS PERMANENT.
@guidaautonoma @IoTCommunity @VivaTech @thinkers360 @officialindiaai @onalytica @towards_AI @automotive_news @mkai_org @kcore_analytics @pecb @nodexl @deeplearningai_ @_thinkbot @Fisheyebox https://t.co/gpJUMfmQC3</t>
  </si>
  <si>
    <t>#Electriccars are not invented to save the earth.
#AutonomousVehicles #environment #business #Sustainability #climatechange #ESG
@guidaautonoma @IoTCommunity @thinkers360 @officialindiaai @onalytica @towards_AI @automotive_news @mkai_org @kcore_analytics @pecb @nodexl @_ThinkBot https://t.co/kadSga4pte</t>
  </si>
  <si>
    <t>How #AI technology oligopolies are shaping the social, economic, and political reality?
#AIcommandments #aiforbusiness #AIcompanies #AIoligopolies
@Fisheyebox @guidaautonoma @thinkers360 @onalytica
@kcore_analytics @nodexl
@towards_AI 
https://t.co/MV1DCNpSh2</t>
  </si>
  <si>
    <t>Today 'truth isn't truth’ and "facts are not facts", without universal #AI Literacy, AI will fail us.
#AILiteracy #thinkingmachines #artificialintelligence #machinelearning
@guidaautonoma @thinkers360 @onalytica @towards_AI @kcore_analytics @nodexl
https://t.co/jFW06hdgPT</t>
  </si>
  <si>
    <t>AI singularity might not be depended upon AGI,it might take off before AGI
#AISingularity #MachineConsciousness #GeneralAI #FutureAI 
@guidaautonoma @IoTCommunity @thinkers360 @officialindiaai @onalytica @towards_AI @mkai_org @kcore_analytics @pecb @nodexl
https://t.co/c1HLmfmBZB</t>
  </si>
  <si>
    <t>When Machine Learning Goes Wrong
Leaky variables
Concept drift
Feedback loops
#artificialintelligence #machinelearning #datagovernance #statisticallearning
@guidaautonoma @IoTCommunity @thinkers360 @onalytica @towards_AI @automotive_news @mkai_org @kcore_analytics @pecb @nodexl https://t.co/sBGDIQBv8Q</t>
  </si>
  <si>
    <t>How can Organisation manage generative AI tools?
#ConfidentialComputing #GenerativeAI #dataleakage #dataauthenticity
@guidaautonoma @IoTCommunity @thinkers360 @officialindiaai @onalytica @towards_AI @mkai_org @kcore_analytics @pecb @nodexl
https://t.co/fub2svf7Dy</t>
  </si>
  <si>
    <t>Is #AI a learning rational system? #knowledgerepresentation #knowledgereasoning #machinelearning #neuralnetworks #deeplearning
@guidaautonoma @IoTCommunity @VivaTech @thinkers360 @onalytica @towards_AI @automotive_news @mkai_org @kcore_analytics @nodexl
https://t.co/4a7cBSuz1D</t>
  </si>
  <si>
    <t>Did you get it right?
#ai #generativeai #AIHallucination 
@guidaautonoma @IoTCommunity @VivaTech @thinkers360 @officialindiaai @onalytica @towards_AI @automotive_news @mkai_org @kcore_analytics @pecb @nodexl @deeplearningai_ @_thinkbot @Fisheyebox https://t.co/GBTWzabt24</t>
  </si>
  <si>
    <t>The V-model from ISO 26262, Road vehicles -Functional safety. PAS 8800, a new ISO standard specifically designed for Road Vehicles –Safety and #AI
@guidaautonoma @IoTCommunity @thinkers360 @officialindiaai @onalytica @towards_AI @automotive_news @mkai_org @kcore_analytics @nodexl https://t.co/14LqJE7Bzm</t>
  </si>
  <si>
    <t>More fiction has been written in Excel than in Word.
#startups #unicorn #entrepreneurship
@guidaautonoma @IoTCommunity @VivaTech @thinkers360 @onalytica @towards_AI @automotive_news @mkai_org @kcore_analytics @pecb @nodexl @deeplearningai_ @_thinkbot https://t.co/cMwG9ZvjBo</t>
  </si>
  <si>
    <t>AI Law
@guidaautonoma @IoTCommunity @VivaTech @thinkers360 @officialindiaai @onalytica @towards_AI @automotive_news @mkai_org @kcore_analytics @pecb @nodexl @deeplearningai_ @_thinkbot
#AI #GenerativeAI
#Copyright #intellectualproperty 
 https://t.co/0DhERSAvKp</t>
  </si>
  <si>
    <t>Tuesday Treasures Worth Following _xD83C__xDF1E_☀️_xD83C__xDF3B_
#tuesdayvibe #socialmedia 
@2cshadowfox 
@DavidGogoBlues 
@kitchenerblues 
@Hiqutipie 
@ginabella 
@Sunflwrgirl2 
@HRCurator 
@Optiongirl 
@nodexl 
@hanseckman 
@MarkBird17 #music 
@ChrisMontMusic 
@chrisgalesmusic 
@SimplyTimTV https://t.co/DQvec85PFh</t>
  </si>
  <si>
    <t>@michaelbathurst @2cshadowfox @DavidGogoBlues @kitchenerblues @Hiqutipie @ginabella @HRCurator @Optiongirl @nodexl @hanseckman @MarkBird17 @ChrisMontMusic @chrisgalesmusic @SimplyTimTV thank you very much https://t.co/kiWuvx7E2P</t>
  </si>
  <si>
    <t>@michaelbathurst @2cshadowfox @DavidGogoBlues @kitchenerblues @Hiqutipie @ginabella @Sunflwrgirl2 @HRCurator @Optiongirl @nodexl @hanseckman @MarkBird17 @ChrisMontMusic @SimplyTimTV Thank you so much @michaelbathurst .</t>
  </si>
  <si>
    <t>@michaelbathurst @2cshadowfox @DavidGogoBlues @kitchenerblues @Hiqutipie @ginabella @Sunflwrgirl2 @HRCurator @Optiongirl @nodexl @hanseckman @MarkBird17 @chrisgalesmusic @SimplyTimTV Thank you!</t>
  </si>
  <si>
    <t>INSIGHTS report for that data set:
https://t.co/5gosYhR0CY</t>
  </si>
  <si>
    <t>NodeXL Pro has updated.  Please check the data import menu for most recent data importers.</t>
  </si>
  <si>
    <t>@hanssars8 rootbrian_ sars #NodeXL https://t.co/OUN0G6fH25 /</t>
  </si>
  <si>
    <t>socialmediaanalysis</t>
  </si>
  <si>
    <t>8èmevaleurrépublicaine sporet spore sport globall vallon boussole</t>
  </si>
  <si>
    <t>altreich ϙanon whitesupremacist antisemitic maga</t>
  </si>
  <si>
    <t>ϙanon symbol</t>
  </si>
  <si>
    <t>q</t>
  </si>
  <si>
    <t>ϙ modernnumeralsign greek letter koppa qanon altright</t>
  </si>
  <si>
    <t>aejmc22 aejmc23 aejmc22 aejmc aejmc prprofs smprofs prprofs smle2022 aejmc23</t>
  </si>
  <si>
    <t>chandrayaan3 isro chandrayaan3landing indiaonthemoon vikramlander india</t>
  </si>
  <si>
    <t>aejmc23 aejmc23 aejmc nond happy50thcsw aejmc2023 aejmc plcd prprofs ai</t>
  </si>
  <si>
    <t>academictwitter academictwitter phd academia research academicchatter phdchat</t>
  </si>
  <si>
    <t>minaetutkin minätutkin minätutkin minätutkin tutkimus puhettataiteesta</t>
  </si>
  <si>
    <t>rasismi persut perussuomalaiset rasismi hallituskriisi hallitus</t>
  </si>
  <si>
    <t>saamelaiskaeraejaelaki saamelaiskäräjälaki saamelaiset saamelaiskäräjälaki ihmisoikeudet</t>
  </si>
  <si>
    <t>worldathleticschampionships worldathleticschampionships</t>
  </si>
  <si>
    <t>rasismi persut hallituskriisi hallitus äärioikeisto rasismi kokoomus perussuomalaiset rkp</t>
  </si>
  <si>
    <t>rasismi persut hallitus puoluekokous perussuomalaiset politiikka auschwitz vieraslajit</t>
  </si>
  <si>
    <t>gephi gephi datascience nodexl twitterresearchproject machinelearning openscience</t>
  </si>
  <si>
    <t>hallitus hallitus rasismi persut kokoomus hallitusohjelma politiikka eduskunta</t>
  </si>
  <si>
    <t>kaivos kaivokset kaivokset kaivos kaivoslaki ympäristö kaivoshankelähelläsi</t>
  </si>
  <si>
    <t>metsae metsä luonto forest finland suomi nature luontokato photography</t>
  </si>
  <si>
    <t>permafrost permafrost permafrost arctic climatechange climatechange climate</t>
  </si>
  <si>
    <t>hakaristi erillishakaristi hakaristi ilmavoimat swastika turpo natsit</t>
  </si>
  <si>
    <t>newsemester smartlab</t>
  </si>
  <si>
    <t>apgiv nodexl</t>
  </si>
  <si>
    <t>villatorlonia flora botanica sankey nodexl</t>
  </si>
  <si>
    <t>aejmc23 smprofs prprofs research data smmm2025</t>
  </si>
  <si>
    <t>aejmc23</t>
  </si>
  <si>
    <t>aejmc23 smc2024 smprofs prprofs</t>
  </si>
  <si>
    <t>phd</t>
  </si>
  <si>
    <t>asa2023 sssp2023 absoc2023 sociology emca abs2023 asa</t>
  </si>
  <si>
    <t>chandrayaan3 chandrayaan3landing indiaonthemoon isro vikramlander india</t>
  </si>
  <si>
    <t>intentdata intentdata abm intentdata b2b b2bmarketing intentive marketing</t>
  </si>
  <si>
    <t>smprofs</t>
  </si>
  <si>
    <t>smprofs smprofs smc2024 prprofs smprofs smpc2023 smprofs smle2022 prprofs ff aejmc22</t>
  </si>
  <si>
    <t>verkostoanalyysi networkanalytics</t>
  </si>
  <si>
    <t>minätutkin</t>
  </si>
  <si>
    <t>minätutkin verkostoanalyysi</t>
  </si>
  <si>
    <t>bitcoin seohashtag bitcoin bitcoin btc btc airdrop crypto bitcoin</t>
  </si>
  <si>
    <t>linkedin seohashtag linkedin linkedin linkedin twitter socialmedia facebook x</t>
  </si>
  <si>
    <t>amee2023 medicaleducation nodexl socailmediamarketing bigdatanalytics eposters amee2023</t>
  </si>
  <si>
    <t>smith nodexl</t>
  </si>
  <si>
    <t>privateequity privateequity venturecapital finance venturecapital investment</t>
  </si>
  <si>
    <t>tiede minätutkin jagforskar iresearch</t>
  </si>
  <si>
    <t>verkostoanalyysi minätutkin</t>
  </si>
  <si>
    <t>nodexl sentimentanalysis</t>
  </si>
  <si>
    <t>snanalysis sentimentanalysis datavisualization opinionleader</t>
  </si>
  <si>
    <t>ai cx selfdrivingcars datascience autonomousvehicles metaverse</t>
  </si>
  <si>
    <t>aichips ai futureai</t>
  </si>
  <si>
    <t>machinemetaphysics machineintelligence machinelearning generalai futureai</t>
  </si>
  <si>
    <t>electriccars autonomousvehicles environment business sustainability climatechange esg</t>
  </si>
  <si>
    <t>ai aicommandments aiforbusiness aicompanies aioligopolies</t>
  </si>
  <si>
    <t>ai ailiteracy thinkingmachines artificialintelligence machinelearning</t>
  </si>
  <si>
    <t>aisingularity machineconsciousness generalai futureai</t>
  </si>
  <si>
    <t>artificialintelligence machinelearning datagovernance statisticallearning</t>
  </si>
  <si>
    <t>confidentialcomputing generativeai dataleakage dataauthenticity</t>
  </si>
  <si>
    <t>ai knowledgerepresentation knowledgereasoning machinelearning neuralnetworks deeplearning</t>
  </si>
  <si>
    <t>ai generativeai aihallucination</t>
  </si>
  <si>
    <t>ai</t>
  </si>
  <si>
    <t>startups unicorn entrepreneurship</t>
  </si>
  <si>
    <t>ai generativeai copyright intellectualproperty</t>
  </si>
  <si>
    <t>tuesdayvibe socialmedia music</t>
  </si>
  <si>
    <t>http://wikipedia.org/wiki/Jack_Posobiec https://whois.com/whois/truthsocial.com https://twitter.com/JackPosobiec/status/1397286625923715077?s=20 https://twitter.com/Charpy73/status/1677863194839089152?s=20</t>
  </si>
  <si>
    <t>https://g.co/kgs/cMkjHR https://en.wikipedia.org/wiki/Koppa_(letter) https://en.wikipedia.org/wiki/Graeco-Aryan https://twitter.com/Charpy73/status/1072570061603377154?s=20</t>
  </si>
  <si>
    <t>https://www.nodexlgraphgallery.org/Pages/Default.aspx?search=MrAndyNgo https://www.nodexlgraphgallery.org/Pages/Graph.aspx?graphID=288305</t>
  </si>
  <si>
    <t>http://g.co/kgs/R5Ao5j http://plus.google.com/+ChristopherLeeHarper/posts/NiQGXc5DubT http://g.co/kgs/fwsk6y http://g.co/kgs/uQpGE9 http://plus.google.com/+ChristopherLeeHarper/posts/1M8kKg7AHMf http://plus.google.com/+ChristopherLeeHarper/posts/ZHjAT5UXHMh</t>
  </si>
  <si>
    <t>nodexlgraphgallery.org</t>
  </si>
  <si>
    <t>twitter.com</t>
  </si>
  <si>
    <t>wikipedia.org whois.com twitter.com twitter.com</t>
  </si>
  <si>
    <t>g.co wikipedia.org wikipedia.org twitter.com</t>
  </si>
  <si>
    <t>nodexlgraphgallery.org nodexlgraphgallery.org</t>
  </si>
  <si>
    <t>g.co google.com g.co g.co google.com google.com</t>
  </si>
  <si>
    <t>g.co</t>
  </si>
  <si>
    <t>google.com</t>
  </si>
  <si>
    <t>bit.ly</t>
  </si>
  <si>
    <t>smrfoundation.org</t>
  </si>
  <si>
    <t>units.it</t>
  </si>
  <si>
    <t>aejmc.org</t>
  </si>
  <si>
    <t>powerbi.com</t>
  </si>
  <si>
    <t>ltb.io</t>
  </si>
  <si>
    <t>coasttocoastam.com</t>
  </si>
  <si>
    <t>nodexgraphgallery.org</t>
  </si>
  <si>
    <t>qq.com</t>
  </si>
  <si>
    <t>linkedin.com</t>
  </si>
  <si>
    <t>nodexl aejmc aejmc_nond csw_aejmc aejmcs bradleywilson09 mollyyanity aejmc_lawp aejmc_prd aejmc_comsher aejmc_bamj</t>
  </si>
  <si>
    <t>mrandyngo michaeljknowles jackposobiec twitter wikipedia tucows adl hatewatch usnavy</t>
  </si>
  <si>
    <t>lindayax elonmusk xsecurity mrandyngo nodexl blklivesmatter jackposobiec jackposobiec__ jackposobiec60 jackposobiec456 jackposobiec1 stillgray stillgray3 stillgrays65149 hulivar hulivar6 hulivarri hulivar2 hulivar1 wikipedia unicode mitocw ibmresearch librarycongress beyonce</t>
  </si>
  <si>
    <t>lindayax elonmusk xsecurity mrandyngo nodexl blklivesmatter jackposobiec jackposobiec__ jackposobiec60 jackposobiec456 jackposobiec1 stillgray stillgray3 stillgrays65149 hulivar hulivar6 hulivarri hulivar2 hulivar1 wikipedia unicode mitocw ibmresearch librarycongress</t>
  </si>
  <si>
    <t>lindayax elonmusk xsecurity mrandyngo nodexl blklivesmatter nodexl mrandyngo jackposobiec jackposobiec__ jackposobiec60 jackposobiec456 jackposobiec1 stillgray stillgray3 stillgrays65149 hulivar hulivar6 hulivar hulivarri hulivar2 hulivar1</t>
  </si>
  <si>
    <t>lindayax elonmusk xsecurity mrandyngo nodexl blklivesmatter jackposobiec jackposobiec__ jackposobiec60 jackposobiec456 jackposobiec1 stillgray stillgray3 stillgrays65149 hulivar hulivar6 hulivarri hulivar2 hulivar1</t>
  </si>
  <si>
    <t>lindayax elonmusk xsecurity mrandyngo nodexl</t>
  </si>
  <si>
    <t>robertplewis youtube</t>
  </si>
  <si>
    <t>aejmc csw_aejmc aejmc_prd aejmc_comsher aejmc_nond jeremyhl kg_suresh icd_aejmc aejmc_lawp willthewordguy</t>
  </si>
  <si>
    <t>isro narendramodi indiahistorypic rashtrapatibhvn incindia boltahindustan ani worldranking_ rishibagree politics_2022_</t>
  </si>
  <si>
    <t>aejmc aejmc_nond csw_aejmc aejmcs bradleywilson09 mollyyanity aejmc_lawp aejmc_prd aejmc_comsher aejmc_bamj</t>
  </si>
  <si>
    <t>drasmajabeen1 academicchatter seguracardio davaku tandfonline phdvoice popcultureune hgupta84 imilindsolanki memingphd</t>
  </si>
  <si>
    <t>helsinkiuni tapiomaatta suomenakatemia unieastfinland uniturku tampereuni unioulu samisyrjamaki uniofjyvaskyla koneensaatio</t>
  </si>
  <si>
    <t>meemmevaikene mika_salminen jacquesboissons annepauna petteriorpo mluonuansuu nasimarazmyar tuulimukka2 kasvismafioso sfprkp</t>
  </si>
  <si>
    <t>keskusta marinsanna anna_maja biret kokoomus inkamusta petralaiti karnamikko annikasaarikko demarit</t>
  </si>
  <si>
    <t>dejiadesogan joshuacheptege1 worldathletics brett_nineone cinguetterai alvaroatletismo ferdiomanyala johnsonthompson bamulanzeki hersportdotie</t>
  </si>
  <si>
    <t>joakimvigelius virtasofia anna_maja sfprkp persut yleuutiset hsfi ullakaukola ljaakonsaari dimmu141</t>
  </si>
  <si>
    <t>persut persut halla_aho sfprkp ir_rkp kokoomus mauripeltokang2 anna_maja kokkoismo leena_meri hsfi</t>
  </si>
  <si>
    <t>mihkal gephi theprojectmerge rocketbotpro mergebcdg jacomyma nodexl seinecle bendobrown nicolasbchb</t>
  </si>
  <si>
    <t>mihkal gephi theprojectmerge rocketbotpro mergebcdg jacomyma nodexl seinecle bendobrown nicolasbchb elonmusk</t>
  </si>
  <si>
    <t>gephi theprojectmerge rocketbotpro dfwplay mergebcdg jacomyma nodexl seinecle bendobrown nicolasbchb</t>
  </si>
  <si>
    <t>dfwplay gephi theprojectmerge rocketbotpro mergebcdg jacomyma nodexl seinecle bendobrown nicolasbchb nodexl gephi</t>
  </si>
  <si>
    <t>matiasmakynen liandersson marinsanna mustapipa ullakaukola meemmevaikene petteriorpo yleuutiset tuulimukka2 hsfi</t>
  </si>
  <si>
    <t>luonnonsuojelu hannahalmeenpaa pro_heinavesi riikkarppinen tapaniveistola sipimikko gtk_fi tem_uutiset mariholopainen hsfi</t>
  </si>
  <si>
    <t>luonnonperinto harriholtta lukefinland greenpeacesuomi metsakeskus metsahallitus hsfi mariaohisalo maastul yleuutiset</t>
  </si>
  <si>
    <t>queenofpeat pcarterclimate greenpeace_esp alejandrosanz youtube siberian_times lfdcesmas reuters awi_media awi_de</t>
  </si>
  <si>
    <t>teivoteivainen minna_alander yleuutiset dimmu141 lauri_linden hsfi dwnews eerolasami charlyjsp tapiokuusitapio</t>
  </si>
  <si>
    <t>jeremyhl sprinklr truescope_na nodexl unosmlre</t>
  </si>
  <si>
    <t>aejmc sprinklr truescope_na nodexl unosmlre</t>
  </si>
  <si>
    <t>marc_smith nodexl aejmc</t>
  </si>
  <si>
    <t>nodexlacademy nodexl netnocon alexfenton cristinavas kozinets aleksejheinze georgette_eaton magdamraza raulpacheco lldesimone</t>
  </si>
  <si>
    <t>asanews prof_kennedy emancipatorylab victorerikray ucpress prudencelcarter ericklinenberg timr100 michaelrosino nedasoc</t>
  </si>
  <si>
    <t>isro erbmjha rajinikanth latestinspace roshankrraii meghupdates vlkas_pr0nam0 hsajwanization rvcj_fb narendramodi</t>
  </si>
  <si>
    <t>forrester bomboradata intentsify techtarget dg_report zoominfo trustradius g2dotcom michael_r_levy christinadstone</t>
  </si>
  <si>
    <t>jeremyhl kfreberg kimfoxwosu michaelbathurst shoutmgb mimspr this0499154500 spj_tweets matt_prince reutsmichael1</t>
  </si>
  <si>
    <t>jnkka mihkal nodexl smr_foundation marc_smith</t>
  </si>
  <si>
    <t>jnkka nodexl smr_foundation marc_smith</t>
  </si>
  <si>
    <t>jnkka nodexl smr_foundation marc_smith gephi</t>
  </si>
  <si>
    <t>jnkka nodexl smr_foundation marc_smith smr_foundation nodexl marc_smith</t>
  </si>
  <si>
    <t>nodexl bitcoinmagazine watcherguru btcyn piergiorgio223 bitcoinnewscom freebycrypto _jen_net_ thebtctherapist saylor btc_for_freedom</t>
  </si>
  <si>
    <t>nodexl linkedin tinopfaff linkedinhelp elonmusk therainbownavy2 sivamurugappan whizz_ai algoworks 301andi tripplepunkt</t>
  </si>
  <si>
    <t>sunflwrgirl2 michaelbathurst 2cshadowfox davidgogoblues kitchenerblues hiqutipie ginabella hrcurator optiongirl nodexl hanseckman markbird17 chrismontmusic chrisgalesmusic simplytimtv</t>
  </si>
  <si>
    <t>davidgraell alexarabat</t>
  </si>
  <si>
    <t>marc_smith nodexl</t>
  </si>
  <si>
    <t>stella_assange defendassange gabrielshipton realdonaldtrump mikepompeo</t>
  </si>
  <si>
    <t>realdonaldtrump donaldjtrumpjr</t>
  </si>
  <si>
    <t>whitehouse</t>
  </si>
  <si>
    <t>sbmccallister champprivate wsj jacksonhinklle ttfacer medicalquack nostatusquono gopoversight investeuropeeu ft</t>
  </si>
  <si>
    <t>ifeanyidiaye nodexl openalex_org gephi connected_data connectedaction</t>
  </si>
  <si>
    <t>dataengineer23 openalex_org gephi connected_data connectedaction nodexl</t>
  </si>
  <si>
    <t>irwan_dwi_a aniesbaswedan ganjarpranowo prabowo</t>
  </si>
  <si>
    <t>mihkal nodexl</t>
  </si>
  <si>
    <t>mihkal jnkka nodexl</t>
  </si>
  <si>
    <t>jnkka samisyrjamaki nodexl</t>
  </si>
  <si>
    <t>samisyrjamaki nodexl</t>
  </si>
  <si>
    <t>samisyrjamaki mihkal nodexl</t>
  </si>
  <si>
    <t>liuyuxxd</t>
  </si>
  <si>
    <t>fisheyebox guidaautonoma iotcommunity vivatech thinkers360 officialindiaai onalytica towards_ai automotive_news mkai_org kcore_analytics pecb nodexl deeplearningai_ _thinkbot</t>
  </si>
  <si>
    <t>guidaautonoma iotcommunity vivatech thinkers360 officialindiaai onalytica towards_ai automotive_news mkai_org kcore_analytics pecb nodexl deeplearningai_ _thinkbot</t>
  </si>
  <si>
    <t>guidaautonoma thinkers360 onalytica towards_ai automotive_news officialindiaai kcore_analytics nodexl</t>
  </si>
  <si>
    <t>guidaautonoma iotcommunity vivatech thinkers360 officialindiaai onalytica towards_ai automotive_news mkai_org kcore_analytics pecb nodexl deeplearningai_ _thinkbot fisheyebox</t>
  </si>
  <si>
    <t>guidaautonoma iotcommunity thinkers360 officialindiaai onalytica towards_ai automotive_news mkai_org kcore_analytics pecb nodexl _thinkbot</t>
  </si>
  <si>
    <t>fisheyebox guidaautonoma thinkers360 onalytica kcore_analytics nodexl towards_ai</t>
  </si>
  <si>
    <t>guidaautonoma thinkers360 onalytica towards_ai kcore_analytics nodexl</t>
  </si>
  <si>
    <t>guidaautonoma iotcommunity thinkers360 officialindiaai onalytica towards_ai mkai_org kcore_analytics pecb nodexl</t>
  </si>
  <si>
    <t>guidaautonoma iotcommunity thinkers360 onalytica towards_ai automotive_news mkai_org kcore_analytics pecb nodexl</t>
  </si>
  <si>
    <t>guidaautonoma iotcommunity vivatech thinkers360 onalytica towards_ai automotive_news mkai_org kcore_analytics nodexl</t>
  </si>
  <si>
    <t>guidaautonoma iotcommunity thinkers360 officialindiaai onalytica towards_ai automotive_news mkai_org kcore_analytics nodexl</t>
  </si>
  <si>
    <t>guidaautonoma iotcommunity vivatech thinkers360 onalytica towards_ai automotive_news mkai_org kcore_analytics pecb nodexl deeplearningai_ _thinkbot</t>
  </si>
  <si>
    <t>2cshadowfox davidgogoblues kitchenerblues hiqutipie ginabella sunflwrgirl2 hrcurator optiongirl nodexl hanseckman markbird17 chrismontmusic chrisgalesmusic simplytimtv</t>
  </si>
  <si>
    <t>michaelbathurst 2cshadowfox davidgogoblues kitchenerblues hiqutipie ginabella hrcurator optiongirl nodexl hanseckman markbird17 chrismontmusic chrisgalesmusic simplytimtv</t>
  </si>
  <si>
    <t>michaelbathurst 2cshadowfox davidgogoblues kitchenerblues hiqutipie ginabella sunflwrgirl2 hrcurator optiongirl nodexl hanseckman markbird17 chrismontmusic simplytimtv michaelbathurst</t>
  </si>
  <si>
    <t>michaelbathurst 2cshadowfox davidgogoblues kitchenerblues hiqutipie ginabella sunflwrgirl2 hrcurator optiongirl nodexl hanseckman markbird17 chrisgalesmusic simplytimtv</t>
  </si>
  <si>
    <t>https://t.co/OrTXNZwLxa https://pbs.twimg.com/media/F0kBquSXgAATesr.png</t>
  </si>
  <si>
    <t>https://t.co/YJ08Rh7DJt https://t.co/YJ08Rh7DJt https://t.co/YJ08Rh7DJt https://pbs.twimg.com/media/DwMU-gOV4AAaVk-.jpg https://pbs.twimg.com/media/DwMWp6HVsAA6H8D.jpg https://pbs.twimg.com/media/DwMXKuKVYAAXSVL.jpg</t>
  </si>
  <si>
    <t>https://t.co/goZuAOnVaj https://pbs.twimg.com/media/Dt0z6W_U4AAF-AK.jpg</t>
  </si>
  <si>
    <t>https://t.co/6PTs8qg3Pz https://pbs.twimg.com/media/Dt4j-xaUcAEpkPJ.jpg</t>
  </si>
  <si>
    <t>https://t.co/omvEK6VOB3 https://pbs.twimg.com/media/F4Yb0TZWMAEjyhV.jpg</t>
  </si>
  <si>
    <t>https://t.co/pZNQRgKuKF https://t.co/pZNQRgKuKF https://pbs.twimg.com/media/F4HRBrbXsAIllOL.jpg https://pbs.twimg.com/media/F4HRBrcWIAA8EZ3.jpg</t>
  </si>
  <si>
    <t>https://t.co/GNJJ3njSKj https://pbs.twimg.com/media/F4ShsdkXwAA0pxN.jpg</t>
  </si>
  <si>
    <t>https://t.co/CeoYoT3xO6 https://pbs.twimg.com/media/F2iajR6XIAAgAQT.jpg</t>
  </si>
  <si>
    <t>https://t.co/fe1crky3qg https://pbs.twimg.com/media/F3OIK0KXwAAino2.jpg</t>
  </si>
  <si>
    <t>https://t.co/0M5h6dZU1p https://pbs.twimg.com/media/F4v_IaLagAAQ39G.png</t>
  </si>
  <si>
    <t>https://t.co/QOiE7qLaYP https://pbs.twimg.com/tweet_video_thumb/F4L4pmga8AAtS18.jpg</t>
  </si>
  <si>
    <t>https://t.co/xl7LWuXgCT https://pbs.twimg.com/media/F2hX_mWWAAEddMR.jpg</t>
  </si>
  <si>
    <t>https://t.co/UswXt8h4Oi https://pbs.twimg.com/media/F2xcgEnXsAA-vCp.jpg</t>
  </si>
  <si>
    <t>https://t.co/TuUuc26LoR https://pbs.twimg.com/media/F2yJDWKaUAAe9g2.jpg</t>
  </si>
  <si>
    <t>https://t.co/6tv77BvvmW https://pbs.twimg.com/media/F4jCzb4a4AAIpqV.png</t>
  </si>
  <si>
    <t>https://t.co/joWpsj76Jn https://t.co/joWpsj76Jn https://pbs.twimg.com/media/F3_hR2HaUAARpa0.jpg https://pbs.twimg.com/media/F3_hb4wboAAtbqV.jpg</t>
  </si>
  <si>
    <t>https://t.co/hlXuiP2TbY https://pbs.twimg.com/media/F3kLJt8a0AAs-I1.jpg</t>
  </si>
  <si>
    <t>https://t.co/gpJUMfmQC3 https://pbs.twimg.com/tweet_video_thumb/F3VB8UubAAE2han.jpg</t>
  </si>
  <si>
    <t>https://t.co/kadSga4pte https://pbs.twimg.com/media/F3T6WV0WAAAmDGR.jpg</t>
  </si>
  <si>
    <t>https://t.co/sBGDIQBv8Q https://t.co/sBGDIQBv8Q https://t.co/sBGDIQBv8Q https://pbs.twimg.com/tweet_video_thumb/F4RPB6NaYAAPHXj.jpg https://pbs.twimg.com/tweet_video_thumb/F4RPCquawAEgPZ3.jpg https://pbs.twimg.com/tweet_video_thumb/F4RPDYfbMAADuCG.jpg</t>
  </si>
  <si>
    <t>https://t.co/GBTWzabt24 https://pbs.twimg.com/media/F43wTHLaYAAPouw.jpg</t>
  </si>
  <si>
    <t>https://t.co/14LqJE7Bzm https://pbs.twimg.com/media/F3vSuEOaYAMxygV.jpg</t>
  </si>
  <si>
    <t>https://t.co/cMwG9ZvjBo https://pbs.twimg.com/media/F30M-PIakAAT_hM.jpg</t>
  </si>
  <si>
    <t>https://t.co/DQvec85PFh https://pbs.twimg.com/media/F2bKkr2WQAA2v5-.jpg</t>
  </si>
  <si>
    <t>https://t.co/kiWuvx7E2P https://pbs.twimg.com/media/F2gf7icWEAAFH14.jpg</t>
  </si>
  <si>
    <t>photo</t>
  </si>
  <si>
    <t>photo photo photo</t>
  </si>
  <si>
    <t>photo photo</t>
  </si>
  <si>
    <t>animated_gif</t>
  </si>
  <si>
    <t>animated_gif animated_gif animated_gif</t>
  </si>
  <si>
    <t>Twitter Web App</t>
  </si>
  <si>
    <t>Twitter for Mac</t>
  </si>
  <si>
    <t>Twitter for Android</t>
  </si>
  <si>
    <t>Twitter Web Client</t>
  </si>
  <si>
    <t>Twitter for iPhone</t>
  </si>
  <si>
    <t>es</t>
  </si>
  <si>
    <t>en</t>
  </si>
  <si>
    <t>fi</t>
  </si>
  <si>
    <t>fr</t>
  </si>
  <si>
    <t>qme</t>
  </si>
  <si>
    <t>de</t>
  </si>
  <si>
    <t>und</t>
  </si>
  <si>
    <t>hu</t>
  </si>
  <si>
    <t>nl</t>
  </si>
  <si>
    <t>in</t>
  </si>
  <si>
    <t>ht</t>
  </si>
  <si>
    <t>it</t>
  </si>
  <si>
    <t>ca</t>
  </si>
  <si>
    <t>et</t>
  </si>
  <si>
    <t>18:12:32</t>
  </si>
  <si>
    <t>07:58:32</t>
  </si>
  <si>
    <t>17:13:05</t>
  </si>
  <si>
    <t>15:01:11</t>
  </si>
  <si>
    <t>13:16:09</t>
  </si>
  <si>
    <t>03:01:23</t>
  </si>
  <si>
    <t>08:45:49</t>
  </si>
  <si>
    <t>08:35:14</t>
  </si>
  <si>
    <t>08:26:44</t>
  </si>
  <si>
    <t>08:29:45</t>
  </si>
  <si>
    <t>08:29:23</t>
  </si>
  <si>
    <t>07:21:01</t>
  </si>
  <si>
    <t>02:09:30</t>
  </si>
  <si>
    <t>16:04:58</t>
  </si>
  <si>
    <t>19:13:24</t>
  </si>
  <si>
    <t>00:02:02</t>
  </si>
  <si>
    <t>22:25:04</t>
  </si>
  <si>
    <t>17:29:16</t>
  </si>
  <si>
    <t>21:57:14</t>
  </si>
  <si>
    <t>13:21:25</t>
  </si>
  <si>
    <t>21:09:00</t>
  </si>
  <si>
    <t>17:04:16</t>
  </si>
  <si>
    <t>17:04:46</t>
  </si>
  <si>
    <t>17:33:43</t>
  </si>
  <si>
    <t>14:40:07</t>
  </si>
  <si>
    <t>19:21:59</t>
  </si>
  <si>
    <t>22:26:31</t>
  </si>
  <si>
    <t>11:28:16</t>
  </si>
  <si>
    <t>10:02:42</t>
  </si>
  <si>
    <t>06:30:49</t>
  </si>
  <si>
    <t>17:37:26</t>
  </si>
  <si>
    <t>17:37:43</t>
  </si>
  <si>
    <t>06:27:52</t>
  </si>
  <si>
    <t>04:44:38</t>
  </si>
  <si>
    <t>13:57:27</t>
  </si>
  <si>
    <t>09:48:43</t>
  </si>
  <si>
    <t>04:23:02</t>
  </si>
  <si>
    <t>05:56:51</t>
  </si>
  <si>
    <t>10:25:30</t>
  </si>
  <si>
    <t>18:14:15</t>
  </si>
  <si>
    <t>17:28:15</t>
  </si>
  <si>
    <t>16:15:00</t>
  </si>
  <si>
    <t>03:39:41</t>
  </si>
  <si>
    <t>01:43:57</t>
  </si>
  <si>
    <t>14:12:23</t>
  </si>
  <si>
    <t>03:25:47</t>
  </si>
  <si>
    <t>02:33:49</t>
  </si>
  <si>
    <t>16:52:04</t>
  </si>
  <si>
    <t>03:43:20</t>
  </si>
  <si>
    <t>03:41:51</t>
  </si>
  <si>
    <t>03:33:12</t>
  </si>
  <si>
    <t>07:47:12</t>
  </si>
  <si>
    <t>08:05:35</t>
  </si>
  <si>
    <t>08:08:44</t>
  </si>
  <si>
    <t>08:07:09</t>
  </si>
  <si>
    <t>03:28:45</t>
  </si>
  <si>
    <t>16:00:37</t>
  </si>
  <si>
    <t>07:47:57</t>
  </si>
  <si>
    <t>10:13:34</t>
  </si>
  <si>
    <t>11:05:55</t>
  </si>
  <si>
    <t>15:45:45</t>
  </si>
  <si>
    <t>14:05:29</t>
  </si>
  <si>
    <t>22:25:42</t>
  </si>
  <si>
    <t>22:09:55</t>
  </si>
  <si>
    <t>23:33:00</t>
  </si>
  <si>
    <t>23:39:05</t>
  </si>
  <si>
    <t>04:29:19</t>
  </si>
  <si>
    <t>02:14:45</t>
  </si>
  <si>
    <t>17:14:16</t>
  </si>
  <si>
    <t>21:44:11</t>
  </si>
  <si>
    <t>22:10:49</t>
  </si>
  <si>
    <t>14:11:41</t>
  </si>
  <si>
    <t>02:47:03</t>
  </si>
  <si>
    <t>01:56:41</t>
  </si>
  <si>
    <t>01:22:40</t>
  </si>
  <si>
    <t>01:03:25</t>
  </si>
  <si>
    <t>13:58:44</t>
  </si>
  <si>
    <t>02:33:14</t>
  </si>
  <si>
    <t>15:24:45</t>
  </si>
  <si>
    <t>01:20:25</t>
  </si>
  <si>
    <t>00:01:48</t>
  </si>
  <si>
    <t>04:16:09</t>
  </si>
  <si>
    <t>03:17:57</t>
  </si>
  <si>
    <t>19:36:53</t>
  </si>
  <si>
    <t>14:00:46</t>
  </si>
  <si>
    <t>04:50:52</t>
  </si>
  <si>
    <t>22:04:32</t>
  </si>
  <si>
    <t>17:22:55</t>
  </si>
  <si>
    <t>17:53:48</t>
  </si>
  <si>
    <t>05:50:51</t>
  </si>
  <si>
    <t>05:53:54</t>
  </si>
  <si>
    <t>14:19:30</t>
  </si>
  <si>
    <t>12:19:57</t>
  </si>
  <si>
    <t>05:54:33</t>
  </si>
  <si>
    <t>05:47:27</t>
  </si>
  <si>
    <t>13:22:46</t>
  </si>
  <si>
    <t>05:53:27</t>
  </si>
  <si>
    <t>12:16:20</t>
  </si>
  <si>
    <t>06:43:47</t>
  </si>
  <si>
    <t>02:26:05</t>
  </si>
  <si>
    <t>04:53:11</t>
  </si>
  <si>
    <t>10:24:22</t>
  </si>
  <si>
    <t>04:39:45</t>
  </si>
  <si>
    <t>06:57:51</t>
  </si>
  <si>
    <t>11:49:55</t>
  </si>
  <si>
    <t>06:37:02</t>
  </si>
  <si>
    <t>04:08:32</t>
  </si>
  <si>
    <t>04:45:06</t>
  </si>
  <si>
    <t>04:54:09</t>
  </si>
  <si>
    <t>04:24:22</t>
  </si>
  <si>
    <t>04:55:19</t>
  </si>
  <si>
    <t>03:14:22</t>
  </si>
  <si>
    <t>15:55:09</t>
  </si>
  <si>
    <t>14:13:15</t>
  </si>
  <si>
    <t>13:06:15</t>
  </si>
  <si>
    <t>06:10:02</t>
  </si>
  <si>
    <t>06:09:34</t>
  </si>
  <si>
    <t>07:00:58</t>
  </si>
  <si>
    <t>04:30:25</t>
  </si>
  <si>
    <t>14:06:48</t>
  </si>
  <si>
    <t>17:30:40</t>
  </si>
  <si>
    <t>14:20:17</t>
  </si>
  <si>
    <t>14:00:52</t>
  </si>
  <si>
    <t>-74.041878,40.570842 
-74.041878,40.739434 
-73.855673,40.739434 
-73.855673,40.570842</t>
  </si>
  <si>
    <t>United States</t>
  </si>
  <si>
    <t>US</t>
  </si>
  <si>
    <t>Brooklyn, NY</t>
  </si>
  <si>
    <t>011add077f4d2da3</t>
  </si>
  <si>
    <t>Brooklyn</t>
  </si>
  <si>
    <t>city</t>
  </si>
  <si>
    <t>3_1677874169663422464</t>
  </si>
  <si>
    <t>3_1081731399533584384 3_1081733244729536512 3_1081733808456556544</t>
  </si>
  <si>
    <t>3_1071069364080664576</t>
  </si>
  <si>
    <t>3_1071333322683346945</t>
  </si>
  <si>
    <t>3_1695072895125303297</t>
  </si>
  <si>
    <t>3_1693864761635614722 3_1693864761639706624</t>
  </si>
  <si>
    <t>3_1694657145021644800</t>
  </si>
  <si>
    <t>3_1686767991344537600</t>
  </si>
  <si>
    <t>3_1689844004576280576</t>
  </si>
  <si>
    <t>3_1696730204566355968</t>
  </si>
  <si>
    <t>16_1694189803439583232</t>
  </si>
  <si>
    <t>3_1686694810587889665</t>
  </si>
  <si>
    <t>3_1687825666421534720</t>
  </si>
  <si>
    <t>3_1687874650938953728</t>
  </si>
  <si>
    <t>3_1695819448618508288</t>
  </si>
  <si>
    <t>3_1693319681615220736 3_1693319854122835968</t>
  </si>
  <si>
    <t>3_1691395396634071040</t>
  </si>
  <si>
    <t>16_1690329739758862337</t>
  </si>
  <si>
    <t>3_1690251021891534848</t>
  </si>
  <si>
    <t>16_1694566254022123520 16_1694566267045462017 16_1694566279330607104</t>
  </si>
  <si>
    <t>3_1697276845723639808</t>
  </si>
  <si>
    <t>3_1692177773857759235</t>
  </si>
  <si>
    <t>3_1692523298314424320</t>
  </si>
  <si>
    <t>3_1686257842091606016</t>
  </si>
  <si>
    <t>3_1686633168168685568</t>
  </si>
  <si>
    <t>1689701279742705665</t>
  </si>
  <si>
    <t>1694257803668451725</t>
  </si>
  <si>
    <t>1694397357582958775</t>
  </si>
  <si>
    <t>1582748701843329026</t>
  </si>
  <si>
    <t>1689989080170332160</t>
  </si>
  <si>
    <t>1677875566521864193</t>
  </si>
  <si>
    <t>1689558661083934720</t>
  </si>
  <si>
    <t>1689555994278330368</t>
  </si>
  <si>
    <t>1689553858408693762</t>
  </si>
  <si>
    <t>1689554615862255616</t>
  </si>
  <si>
    <t>1689554525403643904</t>
  </si>
  <si>
    <t>1689537316866383872</t>
  </si>
  <si>
    <t>1081734473513869312</t>
  </si>
  <si>
    <t>1071073087528058880</t>
  </si>
  <si>
    <t>1072570061603377154</t>
  </si>
  <si>
    <t>1689789233823887360</t>
  </si>
  <si>
    <t>1694838260445683717</t>
  </si>
  <si>
    <t>1689690391602450432</t>
  </si>
  <si>
    <t>1695918420569870747</t>
  </si>
  <si>
    <t>1694701446430589097</t>
  </si>
  <si>
    <t>1694094340023259162</t>
  </si>
  <si>
    <t>1695119915429085633</t>
  </si>
  <si>
    <t>1694395266164576549</t>
  </si>
  <si>
    <t>1691503450989666304</t>
  </si>
  <si>
    <t>1691459761919995904</t>
  </si>
  <si>
    <t>1695516960786686111</t>
  </si>
  <si>
    <t>1695925790355963984</t>
  </si>
  <si>
    <t>1695397746121875757</t>
  </si>
  <si>
    <t>1695738602557239609</t>
  </si>
  <si>
    <t>1694598113590161716</t>
  </si>
  <si>
    <t>1695853038546620819</t>
  </si>
  <si>
    <t>1695853109212282929</t>
  </si>
  <si>
    <t>1696046926582403149</t>
  </si>
  <si>
    <t>1697108109326524807</t>
  </si>
  <si>
    <t>1695072900808614369</t>
  </si>
  <si>
    <t>1691748817165791735</t>
  </si>
  <si>
    <t>1696740283348828427</t>
  </si>
  <si>
    <t>1693864790102282608</t>
  </si>
  <si>
    <t>1694657176613093864</t>
  </si>
  <si>
    <t>1689701708333531136</t>
  </si>
  <si>
    <t>1689690132457103360</t>
  </si>
  <si>
    <t>1689671698734587904</t>
  </si>
  <si>
    <t>1689844008007176192</t>
  </si>
  <si>
    <t>1686915778979971072</t>
  </si>
  <si>
    <t>1686741738180804608</t>
  </si>
  <si>
    <t>1694189164307333181</t>
  </si>
  <si>
    <t>1694538470428135483</t>
  </si>
  <si>
    <t>1696928784489058742</t>
  </si>
  <si>
    <t>1696730293250736538</t>
  </si>
  <si>
    <t>1696729921341853809</t>
  </si>
  <si>
    <t>1694191029631467891</t>
  </si>
  <si>
    <t>1694254950790918501</t>
  </si>
  <si>
    <t>1694259577104019568</t>
  </si>
  <si>
    <t>1694260369382903812</t>
  </si>
  <si>
    <t>1694259968608735298</t>
  </si>
  <si>
    <t>1694189910243291318</t>
  </si>
  <si>
    <t>1696191063289967087</t>
  </si>
  <si>
    <t>1696791853692027137</t>
  </si>
  <si>
    <t>1688493577565876224</t>
  </si>
  <si>
    <t>1686694813364596736</t>
  </si>
  <si>
    <t>1695100155639255280</t>
  </si>
  <si>
    <t>1687827166476562432</t>
  </si>
  <si>
    <t>1687953050433171456</t>
  </si>
  <si>
    <t>1687949078389530624</t>
  </si>
  <si>
    <t>1696667294716354566</t>
  </si>
  <si>
    <t>1696668824882553098</t>
  </si>
  <si>
    <t>1687319783220658176</t>
  </si>
  <si>
    <t>1207484381478166528</t>
  </si>
  <si>
    <t>1687874675853189120</t>
  </si>
  <si>
    <t>1687942602413494272</t>
  </si>
  <si>
    <t>1687949306228264960</t>
  </si>
  <si>
    <t>1687828726560833537</t>
  </si>
  <si>
    <t>1687294045629157376</t>
  </si>
  <si>
    <t>1692354801299083527</t>
  </si>
  <si>
    <t>1692346239600476400</t>
  </si>
  <si>
    <t>1692703781350437282</t>
  </si>
  <si>
    <t>1695435614605529249</t>
  </si>
  <si>
    <t>1688377731309096960</t>
  </si>
  <si>
    <t>1695819649156567109</t>
  </si>
  <si>
    <t>1686547467276599299</t>
  </si>
  <si>
    <t>1697036933099393477</t>
  </si>
  <si>
    <t>1687316466717298688</t>
  </si>
  <si>
    <t>1687301821600260096</t>
  </si>
  <si>
    <t>1697332652653891655</t>
  </si>
  <si>
    <t>1693986574193873027</t>
  </si>
  <si>
    <t>1694935350072791428</t>
  </si>
  <si>
    <t>1694833091456467243</t>
  </si>
  <si>
    <t>1692950280973996535</t>
  </si>
  <si>
    <t>1693320440440344617</t>
  </si>
  <si>
    <t>1694225671558447150</t>
  </si>
  <si>
    <t>1694226435483840860</t>
  </si>
  <si>
    <t>1694353676209381785</t>
  </si>
  <si>
    <t>1694323588793249872</t>
  </si>
  <si>
    <t>1694226602563887544</t>
  </si>
  <si>
    <t>1694224815505232291</t>
  </si>
  <si>
    <t>1694701784642588845</t>
  </si>
  <si>
    <t>1694226322556416333</t>
  </si>
  <si>
    <t>1694322681213010036</t>
  </si>
  <si>
    <t>1686991233703641088</t>
  </si>
  <si>
    <t>1688375931419729920</t>
  </si>
  <si>
    <t>1686601010146574338</t>
  </si>
  <si>
    <t>1691395399448461312</t>
  </si>
  <si>
    <t>1693483002544914649</t>
  </si>
  <si>
    <t>1695329696039498043</t>
  </si>
  <si>
    <t>1690329764257828864</t>
  </si>
  <si>
    <t>1690251024219750400</t>
  </si>
  <si>
    <t>1694924697534885947</t>
  </si>
  <si>
    <t>1693121960530841624</t>
  </si>
  <si>
    <t>1696385729704923437</t>
  </si>
  <si>
    <t>1694566292316135748</t>
  </si>
  <si>
    <t>1697110798269866486</t>
  </si>
  <si>
    <t>1692736736835854491</t>
  </si>
  <si>
    <t>1697276848760373530</t>
  </si>
  <si>
    <t>1692177776802185338</t>
  </si>
  <si>
    <t>1692523300751385033</t>
  </si>
  <si>
    <t>1694230497713586501</t>
  </si>
  <si>
    <t>1686257845048590336</t>
  </si>
  <si>
    <t>1686633170177802240</t>
  </si>
  <si>
    <t>1686595281305948160</t>
  </si>
  <si>
    <t>1686740332401078274</t>
  </si>
  <si>
    <t>1689690743101952000</t>
  </si>
  <si>
    <t>1697252974752645265</t>
  </si>
  <si>
    <t>1691449881641238528</t>
  </si>
  <si>
    <t>1694261672557302010</t>
  </si>
  <si>
    <t>1582747139108544512</t>
  </si>
  <si>
    <t>1677864873420627970</t>
  </si>
  <si>
    <t>1686722460131962880</t>
  </si>
  <si>
    <t>1081731160886165504</t>
  </si>
  <si>
    <t>1025205797599567873</t>
  </si>
  <si>
    <t>1072545289599369216</t>
  </si>
  <si>
    <t>1684942359463636992</t>
  </si>
  <si>
    <t>1694252550764056872</t>
  </si>
  <si>
    <t>1687547883485282313</t>
  </si>
  <si>
    <t>1692693841571451163</t>
  </si>
  <si>
    <t>1686547200963497984</t>
  </si>
  <si>
    <t>1697025348003860625</t>
  </si>
  <si>
    <t>1697330724439994824</t>
  </si>
  <si>
    <t>1694667989121904819</t>
  </si>
  <si>
    <t>1692593498867003774</t>
  </si>
  <si>
    <t>1688356695888809984</t>
  </si>
  <si>
    <t>1643394673808150529</t>
  </si>
  <si>
    <t>25323002</t>
  </si>
  <si>
    <t>24256031</t>
  </si>
  <si>
    <t>466698672</t>
  </si>
  <si>
    <t>87606674</t>
  </si>
  <si>
    <t>2835451658</t>
  </si>
  <si>
    <t>949472644449128448</t>
  </si>
  <si>
    <t>861331648532680704</t>
  </si>
  <si>
    <t>393938517</t>
  </si>
  <si>
    <t>1312113502346186754</t>
  </si>
  <si>
    <t>12006842</t>
  </si>
  <si>
    <t>761985198967914496</t>
  </si>
  <si>
    <t>151934168</t>
  </si>
  <si>
    <t>14094651</t>
  </si>
  <si>
    <t>1266940546372841473</t>
  </si>
  <si>
    <t>1569291484117221383</t>
  </si>
  <si>
    <t>622691806</t>
  </si>
  <si>
    <t>1693360362026840067</t>
  </si>
  <si>
    <t>224971239</t>
  </si>
  <si>
    <t>746584574038257664</t>
  </si>
  <si>
    <t>44196397</t>
  </si>
  <si>
    <t>37188645</t>
  </si>
  <si>
    <t>1536331953632423936</t>
  </si>
  <si>
    <t/>
  </si>
  <si>
    <t>1689536481692364800</t>
  </si>
  <si>
    <t>1071061234739568640</t>
  </si>
  <si>
    <t>1685266754602246144</t>
  </si>
  <si>
    <t>1694252868461576452</t>
  </si>
  <si>
    <t>1692703319649911038</t>
  </si>
  <si>
    <t>1697031812051316964</t>
  </si>
  <si>
    <t>1697332258909409514</t>
  </si>
  <si>
    <t>1694818359278239778</t>
  </si>
  <si>
    <t>1688375451880681472</t>
  </si>
  <si>
    <t>1677863194839089152</t>
  </si>
  <si>
    <t>1298950155731898369</t>
  </si>
  <si>
    <t>1388871798188560387</t>
  </si>
  <si>
    <t>1684388143808786432</t>
  </si>
  <si>
    <t>853708216940716032</t>
  </si>
  <si>
    <t>1377239026432888832</t>
  </si>
  <si>
    <t>1095963897889214464</t>
  </si>
  <si>
    <t>818851053965869060</t>
  </si>
  <si>
    <t>779404096226877441</t>
  </si>
  <si>
    <t>958090279264829440</t>
  </si>
  <si>
    <t>1111820391062724610</t>
  </si>
  <si>
    <t>1681934793674747904</t>
  </si>
  <si>
    <t>1681934172288593920</t>
  </si>
  <si>
    <t>1053697748321501184</t>
  </si>
  <si>
    <t>robertplewis</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</si>
  <si>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</si>
  <si>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</si>
  <si>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</si>
  <si>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</si>
  <si>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</si>
  <si>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</si>
  <si>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</si>
  <si>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</si>
  <si>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</si>
  <si>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</si>
  <si>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</si>
  <si>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</si>
  <si>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</si>
  <si>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</si>
  <si>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</si>
  <si>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</si>
  <si>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</si>
  <si>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</si>
  <si>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</si>
  <si>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</si>
  <si>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</si>
  <si>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</si>
  <si>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</si>
  <si>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</si>
  <si>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</si>
  <si>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</si>
  <si>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</si>
  <si>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</si>
  <si>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</si>
  <si>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</si>
  <si>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</si>
  <si>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</si>
  <si>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</si>
  <si>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</si>
  <si>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</si>
  <si>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</si>
  <si>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</si>
  <si>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Luis Freyle</t>
  </si>
  <si>
    <t>Ani Abello</t>
  </si>
  <si>
    <t>michbsd ⚡️</t>
  </si>
  <si>
    <t>Antti Gronow</t>
  </si>
  <si>
    <t>Mika Laiti</t>
  </si>
  <si>
    <t>Nassim RETIERE</t>
  </si>
  <si>
    <t>AEJMC Broadcast &amp; Mobile Journalism Division</t>
  </si>
  <si>
    <t>AEJMC_ComSHER</t>
  </si>
  <si>
    <t>AEJMC PRD</t>
  </si>
  <si>
    <t>AEJMC Law &amp; Policy Division</t>
  </si>
  <si>
    <t>Molly Yanity</t>
  </si>
  <si>
    <t>Dr. Bradley Wilson</t>
  </si>
  <si>
    <t>AEJMC_SJD</t>
  </si>
  <si>
    <t>CommissionOnWomen</t>
  </si>
  <si>
    <t>Newspaper &amp; Online News Division of AEJMC</t>
  </si>
  <si>
    <t>AEJMC</t>
  </si>
  <si>
    <t>NodeXL Project</t>
  </si>
  <si>
    <t>Christopher Lee Harper</t>
  </si>
  <si>
    <t>U.S. Navy</t>
  </si>
  <si>
    <t>Hatewatch</t>
  </si>
  <si>
    <t>ADL</t>
  </si>
  <si>
    <t>Tucows</t>
  </si>
  <si>
    <t>Twitter</t>
  </si>
  <si>
    <t>Michael Knowles</t>
  </si>
  <si>
    <t>BEYONCÉ</t>
  </si>
  <si>
    <t>Library of Congress</t>
  </si>
  <si>
    <t>IBM Research</t>
  </si>
  <si>
    <t>MIT OpenCourseWare</t>
  </si>
  <si>
    <t>The Unicode Consortium</t>
  </si>
  <si>
    <t>Wikipedia</t>
  </si>
  <si>
    <t>Humberto Ulivarri</t>
  </si>
  <si>
    <t>R6</t>
  </si>
  <si>
    <t>StillGray_StillTrans</t>
  </si>
  <si>
    <t>lan Miles Cheong</t>
  </si>
  <si>
    <t>Ian Miles Cheong</t>
  </si>
  <si>
    <t>Jackposobiec</t>
  </si>
  <si>
    <t>Jack posobiec</t>
  </si>
  <si>
    <t>Jack Posobiec</t>
  </si>
  <si>
    <t>Jack Posobiec _xD83C__xDDFA__xD83C__xDDF8_ (Parody)</t>
  </si>
  <si>
    <t>Jack Poso _xD83C__xDDFA__xD83C__xDDF8_</t>
  </si>
  <si>
    <t>Black Lives Matter</t>
  </si>
  <si>
    <t>Andy Ngô _xD83C__xDFF3_️‍_xD83C__xDF08_</t>
  </si>
  <si>
    <t>Security</t>
  </si>
  <si>
    <t>Linda Yaccarino</t>
  </si>
  <si>
    <t>Elon Musk</t>
  </si>
  <si>
    <t>YouTube</t>
  </si>
  <si>
    <t>Will Mari</t>
  </si>
  <si>
    <t>ICD</t>
  </si>
  <si>
    <t>Prof (Dr) K G Suresh</t>
  </si>
  <si>
    <t>Amock</t>
  </si>
  <si>
    <t>Rishi Bagree</t>
  </si>
  <si>
    <t>The World Ranking</t>
  </si>
  <si>
    <t>ANI</t>
  </si>
  <si>
    <t>Bolta Hindustan</t>
  </si>
  <si>
    <t>Congress</t>
  </si>
  <si>
    <t>President of India</t>
  </si>
  <si>
    <t>indianhistorypics</t>
  </si>
  <si>
    <t>High Impact PhD Memes</t>
  </si>
  <si>
    <t>Milind Solanki</t>
  </si>
  <si>
    <t>Himanshu Gupta</t>
  </si>
  <si>
    <t>PopCulture_UNE</t>
  </si>
  <si>
    <t>PhD Voice - Independently Run</t>
  </si>
  <si>
    <t>Taylor &amp; Francis Research Insights</t>
  </si>
  <si>
    <t>Dannylo Velásquez</t>
  </si>
  <si>
    <t>Diego Segura-Rodríguez</t>
  </si>
  <si>
    <t>Academic Chatter™</t>
  </si>
  <si>
    <t>Dr Asma Jabeen</t>
  </si>
  <si>
    <t>Koneen Säätiö</t>
  </si>
  <si>
    <t>University of Jyväskylä</t>
  </si>
  <si>
    <t>University of Oulu</t>
  </si>
  <si>
    <t>Tampere University</t>
  </si>
  <si>
    <t>Turun yliopisto - University of Turku</t>
  </si>
  <si>
    <t>University of Eastern Finland</t>
  </si>
  <si>
    <t>Suomen Akatemia | Research Council of Finland</t>
  </si>
  <si>
    <t>Tapio Määttä</t>
  </si>
  <si>
    <t>University of Helsinki</t>
  </si>
  <si>
    <t>Kasvismafioso</t>
  </si>
  <si>
    <t>Nasima Razmyar</t>
  </si>
  <si>
    <t>Matti Luonuansuu</t>
  </si>
  <si>
    <t>Anne Pauna</t>
  </si>
  <si>
    <t>Mikko Kosonen</t>
  </si>
  <si>
    <t>Mika Salminen _xD83C__xDDEA__xD83C__xDDFA_</t>
  </si>
  <si>
    <t>Sosialidemokraatit</t>
  </si>
  <si>
    <t>Annika Saarikko</t>
  </si>
  <si>
    <t>Mikko Kärnä _xD83C__xDDEB__xD83C__xDDEE__xD83C__xDDFA__xD83C__xDDE6_</t>
  </si>
  <si>
    <t>Petra Laiti (Mihku Ilmára Mika Petra)</t>
  </si>
  <si>
    <t>Inka Musta</t>
  </si>
  <si>
    <t>Pirita Näkkäläjärvi</t>
  </si>
  <si>
    <t>Suomen Keskusta</t>
  </si>
  <si>
    <t>Her Sport</t>
  </si>
  <si>
    <t>Nicholas Bamulanzeki</t>
  </si>
  <si>
    <t>KJT</t>
  </si>
  <si>
    <t>Ferdinand Omurwa OMANYALA</t>
  </si>
  <si>
    <t>Álvaro Martín Uriol</t>
  </si>
  <si>
    <t>Cinguetterai </t>
  </si>
  <si>
    <t>Brett Montrose</t>
  </si>
  <si>
    <t>World Athletics</t>
  </si>
  <si>
    <t>Joshua Cheptegei _xD83C__xDDFA__xD83C__xDDEC__xD83C__xDDFA__xD83C__xDDEC_ _xD83E__xDD47__xD83E__xDD47_</t>
  </si>
  <si>
    <t>UNCLE DEJI™️</t>
  </si>
  <si>
    <t>Liisa Jaakonsaari</t>
  </si>
  <si>
    <t>Sofia Virta</t>
  </si>
  <si>
    <t>Joakim Vigelius</t>
  </si>
  <si>
    <t>Leena Meri</t>
  </si>
  <si>
    <t>Ismo Kokko</t>
  </si>
  <si>
    <t>Anna-Maja Henriksson</t>
  </si>
  <si>
    <t>Mauri Peltokangas</t>
  </si>
  <si>
    <t>Kokoomus</t>
  </si>
  <si>
    <t>Riikka Purra</t>
  </si>
  <si>
    <t>SFP • RKP</t>
  </si>
  <si>
    <t>Jussi Halla-aho</t>
  </si>
  <si>
    <t>Perussuomalaiset</t>
  </si>
  <si>
    <t>Jon</t>
  </si>
  <si>
    <t>Nicolas Bch · Datalgo</t>
  </si>
  <si>
    <t>Benjamin Strick</t>
  </si>
  <si>
    <t>Clement Levallois / seinecle@ioc.exchange</t>
  </si>
  <si>
    <t>Mathieu Jacomy</t>
  </si>
  <si>
    <t>Merge BCDG USA LLC</t>
  </si>
  <si>
    <t>RocketBot</t>
  </si>
  <si>
    <t>Merge</t>
  </si>
  <si>
    <t>Gephi graph viz</t>
  </si>
  <si>
    <t>Tuuli Mukka</t>
  </si>
  <si>
    <t>Petteri Orpo</t>
  </si>
  <si>
    <t>Me emme vaikene</t>
  </si>
  <si>
    <t>Ulla Kaukola</t>
  </si>
  <si>
    <t>Mikko Tuomi @mustapipa@scicomm.xyz</t>
  </si>
  <si>
    <t>Sanna Marin</t>
  </si>
  <si>
    <t>Li Andersson</t>
  </si>
  <si>
    <t>Matias Mäkynen</t>
  </si>
  <si>
    <t>Mari Holopainen</t>
  </si>
  <si>
    <t>TEM</t>
  </si>
  <si>
    <t>GTK</t>
  </si>
  <si>
    <t>Mikko Sipilä</t>
  </si>
  <si>
    <t>Tapani Veistola</t>
  </si>
  <si>
    <t>Riikka Karppinen</t>
  </si>
  <si>
    <t>Pro Heinävesi</t>
  </si>
  <si>
    <t>Hanna Halmeenpää _xD83C__xDDFA__xD83C__xDDE6__xD83C__xDDEB__xD83C__xDDEE__xD83C__xDDEA__xD83C__xDDFA_</t>
  </si>
  <si>
    <t>Luonnonsuojeluliitto</t>
  </si>
  <si>
    <t>Maaseudun Tulevaisuus</t>
  </si>
  <si>
    <t>Maria Ohisalo</t>
  </si>
  <si>
    <t>Metsähallitus</t>
  </si>
  <si>
    <t>Suomen metsäkeskus</t>
  </si>
  <si>
    <t>Greenpeace Suomi</t>
  </si>
  <si>
    <t>Luonnonvarakeskus</t>
  </si>
  <si>
    <t>Harri Hölttä</t>
  </si>
  <si>
    <t>Luonnonperintösäätiö</t>
  </si>
  <si>
    <t>AWI Medien</t>
  </si>
  <si>
    <t>AWI Media</t>
  </si>
  <si>
    <t>Reuters</t>
  </si>
  <si>
    <t>LaFuerzadelCorazón</t>
  </si>
  <si>
    <t>The Siberian Times</t>
  </si>
  <si>
    <t>Alejandro Sanz</t>
  </si>
  <si>
    <t>Greenpeace España</t>
  </si>
  <si>
    <t>Peter D Carter</t>
  </si>
  <si>
    <t>Dr. Merritt Turetsky</t>
  </si>
  <si>
    <t>C Salonius-Pasternak</t>
  </si>
  <si>
    <t>Sami Eerola</t>
  </si>
  <si>
    <t>DW News</t>
  </si>
  <si>
    <t>Helsingin Sanomat</t>
  </si>
  <si>
    <t>Lauri Lindén</t>
  </si>
  <si>
    <t>Dmitry Gurbanov</t>
  </si>
  <si>
    <t>Yle Uutiset</t>
  </si>
  <si>
    <t>Minna Ålander _xD83C__xDF3B_</t>
  </si>
  <si>
    <t>Teivo Teivainen</t>
  </si>
  <si>
    <t>RadfordSMARTLab</t>
  </si>
  <si>
    <t>Ardhi Ito</t>
  </si>
  <si>
    <t>fernando cinquegrani</t>
  </si>
  <si>
    <t>unosmlre _xD83D__xDCCA_</t>
  </si>
  <si>
    <t>Professor Jeremy</t>
  </si>
  <si>
    <t>Truescope North America</t>
  </si>
  <si>
    <t>Sprinklr</t>
  </si>
  <si>
    <t>昊坤 郭</t>
  </si>
  <si>
    <t>Dwi Junaedi</t>
  </si>
  <si>
    <t>Liliana De Simone</t>
  </si>
  <si>
    <t>Dr Raul Pacheco-Vega</t>
  </si>
  <si>
    <t>Magda Raza</t>
  </si>
  <si>
    <t>Georgette Eaton</t>
  </si>
  <si>
    <t>Dr Aleksej HEINZE (He/Him)_xD83C__xDDEA__xD83C__xDDFA_</t>
  </si>
  <si>
    <t>Robert V. Kozinets</t>
  </si>
  <si>
    <t>Dr Cristina Vasilica</t>
  </si>
  <si>
    <t>Dr. Alex Fenton</t>
  </si>
  <si>
    <t>Netnocon2023</t>
  </si>
  <si>
    <t>NodeXL Academy _xD83D__xDD0E_</t>
  </si>
  <si>
    <t>SMR Foundation</t>
  </si>
  <si>
    <t>Neda Maghbouleh ندا مقبوله</t>
  </si>
  <si>
    <t>Michael L. Rosino (find me on bluesky same name)</t>
  </si>
  <si>
    <t>Tim Recuber</t>
  </si>
  <si>
    <t>Eric Klinenberg</t>
  </si>
  <si>
    <t>Prudence Carter (she/her)</t>
  </si>
  <si>
    <t>University of California Press</t>
  </si>
  <si>
    <t>Victor Ray</t>
  </si>
  <si>
    <t>Emancipatory Sciences Lab</t>
  </si>
  <si>
    <t>Michael D. Kennedy</t>
  </si>
  <si>
    <t>ASA Sociology</t>
  </si>
  <si>
    <t>Narendra Modi</t>
  </si>
  <si>
    <t>RVCJ Media</t>
  </si>
  <si>
    <t>حسن سجواني _xD83C__xDDE6__xD83C__xDDEA_ Hassan Sajwani</t>
  </si>
  <si>
    <t>Viक़as</t>
  </si>
  <si>
    <t>Megh Updates _xD83D__xDEA8_™</t>
  </si>
  <si>
    <t>Roshan Rai</t>
  </si>
  <si>
    <t>Latest in space</t>
  </si>
  <si>
    <t>Rajinikanth</t>
  </si>
  <si>
    <t>BALA</t>
  </si>
  <si>
    <t>ISRO</t>
  </si>
  <si>
    <t>Christina Stone</t>
  </si>
  <si>
    <t>Michael Levy</t>
  </si>
  <si>
    <t>G2</t>
  </si>
  <si>
    <t>TrustRadius</t>
  </si>
  <si>
    <t>ZoomInfo</t>
  </si>
  <si>
    <t>Demand Gen Report</t>
  </si>
  <si>
    <t>TechTarget</t>
  </si>
  <si>
    <t>Intentsify</t>
  </si>
  <si>
    <t>Bombora</t>
  </si>
  <si>
    <t>Forrester</t>
  </si>
  <si>
    <t>NoRules</t>
  </si>
  <si>
    <t>Matt Prince</t>
  </si>
  <si>
    <t>Society of Professional Journalists</t>
  </si>
  <si>
    <t>0499154500.eu</t>
  </si>
  <si>
    <t>Suzanne Mims</t>
  </si>
  <si>
    <t>Michael Bathurst</t>
  </si>
  <si>
    <t>Kim Fox, _xD83C__xDFA7_ The Podcast Professor</t>
  </si>
  <si>
    <t>Karen Freberg, Ph.D.</t>
  </si>
  <si>
    <t>Marc Smith</t>
  </si>
  <si>
    <t>Michael George Bathurst #ShoutMGB</t>
  </si>
  <si>
    <t>#️⃣ #SEOHASHTAG conoce tus _xD83C__xDF10_ audiencias #hashtag</t>
  </si>
  <si>
    <t>Bitcoin for Freedom</t>
  </si>
  <si>
    <t>Michael Saylor⚡️</t>
  </si>
  <si>
    <t>The ₿itcoin Therapist</t>
  </si>
  <si>
    <t>J€NN€T</t>
  </si>
  <si>
    <t>FreedomByCrypto</t>
  </si>
  <si>
    <t>Bitcoin News</t>
  </si>
  <si>
    <t>PierGiorgioETH</t>
  </si>
  <si>
    <t>BTCYN ∞/21M _xD83C__xDFAF__xD83C__xDDFA__xD83C__xDDF8_</t>
  </si>
  <si>
    <t>Watcher.Guru</t>
  </si>
  <si>
    <t>Bitcoin Magazine</t>
  </si>
  <si>
    <t>Steph</t>
  </si>
  <si>
    <t>Andreas Pfönig</t>
  </si>
  <si>
    <t>Algoworks</t>
  </si>
  <si>
    <t>Hamza Khalid</t>
  </si>
  <si>
    <t>Siva Murugappan</t>
  </si>
  <si>
    <t>Malcolm _xD83C__xDF08__xD83C__xDF0A__xD83C__xDF96_️✊_xD83C__xDFFE_⚜️#Resist #NoH8 #Allies #Dems</t>
  </si>
  <si>
    <t>LinkedIn Help</t>
  </si>
  <si>
    <t>Tino Pfaff _xD83D__xDCEF_</t>
  </si>
  <si>
    <t>LinkedIn</t>
  </si>
  <si>
    <t>Dr Shazia Iqbal</t>
  </si>
  <si>
    <t>Kubify - LTB for ePosters</t>
  </si>
  <si>
    <t>A Little to the Right</t>
  </si>
  <si>
    <t>Tim Brown _xD83C__xDF99_️ #TheCSC</t>
  </si>
  <si>
    <t>Chris Gales</t>
  </si>
  <si>
    <t>Chris Montcalmo</t>
  </si>
  <si>
    <t>Freebird</t>
  </si>
  <si>
    <t>Hans Eckman</t>
  </si>
  <si>
    <t>Bonnie Gortler</t>
  </si>
  <si>
    <t>HRCurator</t>
  </si>
  <si>
    <t>Gina Bella</t>
  </si>
  <si>
    <t>MAGA ♥B♥B♥ ♓140K</t>
  </si>
  <si>
    <t>Kitchener Blues Fest</t>
  </si>
  <si>
    <t>David “King Of Boogie” Gogo</t>
  </si>
  <si>
    <t>Artisans of the Spirit</t>
  </si>
  <si>
    <t>Cindy</t>
  </si>
  <si>
    <t>Aina Fernàndez #riseup4Rojava</t>
  </si>
  <si>
    <t>Alex Araujo</t>
  </si>
  <si>
    <t>David PGraell</t>
  </si>
  <si>
    <t>Ed Krassenstein</t>
  </si>
  <si>
    <t>Pilot Beacon</t>
  </si>
  <si>
    <t>Mike Pompeo</t>
  </si>
  <si>
    <t>Gabriel Shipton</t>
  </si>
  <si>
    <t>Defend Assange Campaign</t>
  </si>
  <si>
    <t>Stella Assange #FreeAssangeNOW</t>
  </si>
  <si>
    <t>Coast to Coast AM</t>
  </si>
  <si>
    <t>Donald Trump Jr.</t>
  </si>
  <si>
    <t>Prince_xD83E__xDD82_</t>
  </si>
  <si>
    <t>Donald J. Trump</t>
  </si>
  <si>
    <t>LowerCascadianBridgeBen1stCavalry-ThePatricks</t>
  </si>
  <si>
    <t>Connected Action</t>
  </si>
  <si>
    <t>Financial Times</t>
  </si>
  <si>
    <t>Invest Europe</t>
  </si>
  <si>
    <t>Oversight Committee</t>
  </si>
  <si>
    <t>Vanessa Besteda</t>
  </si>
  <si>
    <t>MedicalQuack</t>
  </si>
  <si>
    <t>Tim Facer</t>
  </si>
  <si>
    <t>Jackson Hinkle _xD83C__xDDFA__xD83C__xDDF8_</t>
  </si>
  <si>
    <t>The Wall Street Journal</t>
  </si>
  <si>
    <t>Private Equity Champ</t>
  </si>
  <si>
    <t>S. Bohn McCallister, #SuperEmpath #MastersFineArts</t>
  </si>
  <si>
    <t>ArashTheDataEngineeer!</t>
  </si>
  <si>
    <t>iCode2</t>
  </si>
  <si>
    <t>Connected Data World</t>
  </si>
  <si>
    <t>OpenAlex</t>
  </si>
  <si>
    <t>lif_xD83C__xDF38_</t>
  </si>
  <si>
    <t>Prabowo Subianto</t>
  </si>
  <si>
    <t>Ganjar Pranowo</t>
  </si>
  <si>
    <t>Anies Rasyid Baswedan</t>
  </si>
  <si>
    <t>Irwan Dwi Arianto</t>
  </si>
  <si>
    <t>Sami Syrjämäki</t>
  </si>
  <si>
    <t>Jukka Huhtamäki | @jnkka@mastodon.social</t>
  </si>
  <si>
    <t>tianyingwei</t>
  </si>
  <si>
    <t>Anningye</t>
  </si>
  <si>
    <t>PINAKI LASKAR</t>
  </si>
  <si>
    <t>ThINK</t>
  </si>
  <si>
    <t>DeepLearning.AI</t>
  </si>
  <si>
    <t>PECB</t>
  </si>
  <si>
    <t>Hernan Makse</t>
  </si>
  <si>
    <t>MKAI</t>
  </si>
  <si>
    <t>Automotive News</t>
  </si>
  <si>
    <t>Towards AI</t>
  </si>
  <si>
    <t>INDIAai</t>
  </si>
  <si>
    <t>Thinkers360</t>
  </si>
  <si>
    <t>Viva Technology</t>
  </si>
  <si>
    <t>IoT Community®</t>
  </si>
  <si>
    <t>Fisheyebox</t>
  </si>
  <si>
    <t>The White House</t>
  </si>
  <si>
    <t>Robert Patrick Lewis</t>
  </si>
  <si>
    <t>Yu</t>
  </si>
  <si>
    <t>Hans Sars</t>
  </si>
  <si>
    <t>341305870</t>
  </si>
  <si>
    <t>14087862</t>
  </si>
  <si>
    <t>750260209</t>
  </si>
  <si>
    <t>1041451392790155269</t>
  </si>
  <si>
    <t>48711250</t>
  </si>
  <si>
    <t>2499769524</t>
  </si>
  <si>
    <t>20611749</t>
  </si>
  <si>
    <t>18579670</t>
  </si>
  <si>
    <t>1161309095749718016</t>
  </si>
  <si>
    <t>353963097</t>
  </si>
  <si>
    <t>744265436</t>
  </si>
  <si>
    <t>8442592</t>
  </si>
  <si>
    <t>54885400</t>
  </si>
  <si>
    <t>29770501</t>
  </si>
  <si>
    <t>19670226</t>
  </si>
  <si>
    <t>7292532</t>
  </si>
  <si>
    <t>1683696495198089217</t>
  </si>
  <si>
    <t>31047836</t>
  </si>
  <si>
    <t>31239408</t>
  </si>
  <si>
    <t>7152572</t>
  </si>
  <si>
    <t>16319797</t>
  </si>
  <si>
    <t>19540483</t>
  </si>
  <si>
    <t>160927018</t>
  </si>
  <si>
    <t>86390214</t>
  </si>
  <si>
    <t>1611155590402772993</t>
  </si>
  <si>
    <t>1620984359531470850</t>
  </si>
  <si>
    <t>316208284</t>
  </si>
  <si>
    <t>4808084836</t>
  </si>
  <si>
    <t>17420352</t>
  </si>
  <si>
    <t>1671325447836114945</t>
  </si>
  <si>
    <t>1655228684624699400</t>
  </si>
  <si>
    <t>16106584</t>
  </si>
  <si>
    <t>918213527353090049</t>
  </si>
  <si>
    <t>304278938</t>
  </si>
  <si>
    <t>1659260871275601920</t>
  </si>
  <si>
    <t>1309747898083672065</t>
  </si>
  <si>
    <t>592730371</t>
  </si>
  <si>
    <t>1604931252</t>
  </si>
  <si>
    <t>1137751093</t>
  </si>
  <si>
    <t>548263294</t>
  </si>
  <si>
    <t>10228272</t>
  </si>
  <si>
    <t>414179273</t>
  </si>
  <si>
    <t>1636606320</t>
  </si>
  <si>
    <t>73625501</t>
  </si>
  <si>
    <t>1551304754562678788</t>
  </si>
  <si>
    <t>147994804</t>
  </si>
  <si>
    <t>1588069292540583937</t>
  </si>
  <si>
    <t>355989081</t>
  </si>
  <si>
    <t>3097353133</t>
  </si>
  <si>
    <t>1153045459</t>
  </si>
  <si>
    <t>885487044243238912</t>
  </si>
  <si>
    <t>2312262702</t>
  </si>
  <si>
    <t>1135163403671146496</t>
  </si>
  <si>
    <t>1295041873921351681</t>
  </si>
  <si>
    <t>1604194202</t>
  </si>
  <si>
    <t>1409309130301480960</t>
  </si>
  <si>
    <t>1168227245338628096</t>
  </si>
  <si>
    <t>274000611</t>
  </si>
  <si>
    <t>167456020</t>
  </si>
  <si>
    <t>326775563</t>
  </si>
  <si>
    <t>885953601067208705</t>
  </si>
  <si>
    <t>1320725365090824193</t>
  </si>
  <si>
    <t>2459427717</t>
  </si>
  <si>
    <t>22609121</t>
  </si>
  <si>
    <t>1712383135</t>
  </si>
  <si>
    <t>104768601</t>
  </si>
  <si>
    <t>187880099</t>
  </si>
  <si>
    <t>2314947078</t>
  </si>
  <si>
    <t>144809872</t>
  </si>
  <si>
    <t>37314297</t>
  </si>
  <si>
    <t>168607383</t>
  </si>
  <si>
    <t>874991961933066240</t>
  </si>
  <si>
    <t>555126030</t>
  </si>
  <si>
    <t>963049408714756096</t>
  </si>
  <si>
    <t>1870812944</t>
  </si>
  <si>
    <t>176774077</t>
  </si>
  <si>
    <t>1608295104</t>
  </si>
  <si>
    <t>22262225</t>
  </si>
  <si>
    <t>137013308</t>
  </si>
  <si>
    <t>531527946</t>
  </si>
  <si>
    <t>157005724</t>
  </si>
  <si>
    <t>2585568954</t>
  </si>
  <si>
    <t>15205449</t>
  </si>
  <si>
    <t>21289183</t>
  </si>
  <si>
    <t>988920296672460800</t>
  </si>
  <si>
    <t>405854863</t>
  </si>
  <si>
    <t>42230810</t>
  </si>
  <si>
    <t>851053724269150209</t>
  </si>
  <si>
    <t>397237114</t>
  </si>
  <si>
    <t>3024638457</t>
  </si>
  <si>
    <t>356704979</t>
  </si>
  <si>
    <t>37921383</t>
  </si>
  <si>
    <t>711421078862745601</t>
  </si>
  <si>
    <t>192575711</t>
  </si>
  <si>
    <t>1011412910</t>
  </si>
  <si>
    <t>3313442100</t>
  </si>
  <si>
    <t>813426585030328320</t>
  </si>
  <si>
    <t>2811875701</t>
  </si>
  <si>
    <t>1730886690</t>
  </si>
  <si>
    <t>114710545</t>
  </si>
  <si>
    <t>4920858935</t>
  </si>
  <si>
    <t>22360764</t>
  </si>
  <si>
    <t>773198941</t>
  </si>
  <si>
    <t>190362598</t>
  </si>
  <si>
    <t>200923051</t>
  </si>
  <si>
    <t>623944853</t>
  </si>
  <si>
    <t>915895342532583424</t>
  </si>
  <si>
    <t>31805620</t>
  </si>
  <si>
    <t>1549209552</t>
  </si>
  <si>
    <t>1144341927053189121</t>
  </si>
  <si>
    <t>1273550785989804032</t>
  </si>
  <si>
    <t>1015844493646442498</t>
  </si>
  <si>
    <t>22749856</t>
  </si>
  <si>
    <t>1458021826492239874</t>
  </si>
  <si>
    <t>1339265868</t>
  </si>
  <si>
    <t>1680907205736906754</t>
  </si>
  <si>
    <t>299185392</t>
  </si>
  <si>
    <t>3716338821</t>
  </si>
  <si>
    <t>1086378912</t>
  </si>
  <si>
    <t>72370342</t>
  </si>
  <si>
    <t>111561793</t>
  </si>
  <si>
    <t>358054105</t>
  </si>
  <si>
    <t>434782047</t>
  </si>
  <si>
    <t>1943022752</t>
  </si>
  <si>
    <t>1632529992</t>
  </si>
  <si>
    <t>2493877790</t>
  </si>
  <si>
    <t>1066564285</t>
  </si>
  <si>
    <t>1019062672493568000</t>
  </si>
  <si>
    <t>3014339879</t>
  </si>
  <si>
    <t>39460098</t>
  </si>
  <si>
    <t>2325044053</t>
  </si>
  <si>
    <t>798095178</t>
  </si>
  <si>
    <t>899620201</t>
  </si>
  <si>
    <t>1288642801</t>
  </si>
  <si>
    <t>14359778</t>
  </si>
  <si>
    <t>2893201804</t>
  </si>
  <si>
    <t>3063489125</t>
  </si>
  <si>
    <t>1395344601540710402</t>
  </si>
  <si>
    <t>559838809</t>
  </si>
  <si>
    <t>952202683</t>
  </si>
  <si>
    <t>1652541</t>
  </si>
  <si>
    <t>819585482636062721</t>
  </si>
  <si>
    <t>458077039</t>
  </si>
  <si>
    <t>43152482</t>
  </si>
  <si>
    <t>11162772</t>
  </si>
  <si>
    <t>211953429</t>
  </si>
  <si>
    <t>814844446051274754</t>
  </si>
  <si>
    <t>23063006</t>
  </si>
  <si>
    <t>1410093080</t>
  </si>
  <si>
    <t>6134882</t>
  </si>
  <si>
    <t>39540130</t>
  </si>
  <si>
    <t>1115334482788265985</t>
  </si>
  <si>
    <t>1376953130</t>
  </si>
  <si>
    <t>23502747</t>
  </si>
  <si>
    <t>796337399991336961</t>
  </si>
  <si>
    <t>539100892</t>
  </si>
  <si>
    <t>390149103</t>
  </si>
  <si>
    <t>463504626</t>
  </si>
  <si>
    <t>1247385614720339976</t>
  </si>
  <si>
    <t>20859669</t>
  </si>
  <si>
    <t>75263523</t>
  </si>
  <si>
    <t>41434585</t>
  </si>
  <si>
    <t>15432179</t>
  </si>
  <si>
    <t>1287082380914720768</t>
  </si>
  <si>
    <t>734390322084622338</t>
  </si>
  <si>
    <t>50429484</t>
  </si>
  <si>
    <t>14772114</t>
  </si>
  <si>
    <t>22373301</t>
  </si>
  <si>
    <t>15597847</t>
  </si>
  <si>
    <t>1572991031578066946</t>
  </si>
  <si>
    <t>525564333</t>
  </si>
  <si>
    <t>3035412473</t>
  </si>
  <si>
    <t>33534274</t>
  </si>
  <si>
    <t>466096296</t>
  </si>
  <si>
    <t>1702425324</t>
  </si>
  <si>
    <t>18198603</t>
  </si>
  <si>
    <t>2336915086</t>
  </si>
  <si>
    <t>1453840838023319554</t>
  </si>
  <si>
    <t>247975042</t>
  </si>
  <si>
    <t>18250336</t>
  </si>
  <si>
    <t>18839785</t>
  </si>
  <si>
    <t>2835317718</t>
  </si>
  <si>
    <t>431777800</t>
  </si>
  <si>
    <t>3036572947</t>
  </si>
  <si>
    <t>1109163883082637312</t>
  </si>
  <si>
    <t>702034495789203456</t>
  </si>
  <si>
    <t>1202350328760418304</t>
  </si>
  <si>
    <t>1176135546</t>
  </si>
  <si>
    <t>1352832462</t>
  </si>
  <si>
    <t>2253142422</t>
  </si>
  <si>
    <t>301021541</t>
  </si>
  <si>
    <t>128639455</t>
  </si>
  <si>
    <t>752028078</t>
  </si>
  <si>
    <t>821758980</t>
  </si>
  <si>
    <t>20453073</t>
  </si>
  <si>
    <t>18506638</t>
  </si>
  <si>
    <t>18947406</t>
  </si>
  <si>
    <t>1046777370953355265</t>
  </si>
  <si>
    <t>3153954892</t>
  </si>
  <si>
    <t>7712452</t>
  </si>
  <si>
    <t>1184420106106998785</t>
  </si>
  <si>
    <t>59523117</t>
  </si>
  <si>
    <t>16001827</t>
  </si>
  <si>
    <t>1443840264213311536</t>
  </si>
  <si>
    <t>401428773</t>
  </si>
  <si>
    <t>103287413</t>
  </si>
  <si>
    <t>19994279</t>
  </si>
  <si>
    <t>16255254</t>
  </si>
  <si>
    <t>12160482</t>
  </si>
  <si>
    <t>1390199742114770947</t>
  </si>
  <si>
    <t>244647486</t>
  </si>
  <si>
    <t>1415064893628297217</t>
  </si>
  <si>
    <t>1594591961440296961</t>
  </si>
  <si>
    <t>1589349681880092674</t>
  </si>
  <si>
    <t>3005014565</t>
  </si>
  <si>
    <t>1457066296353431556</t>
  </si>
  <si>
    <t>3420170151</t>
  </si>
  <si>
    <t>1387497871751196672</t>
  </si>
  <si>
    <t>361289499</t>
  </si>
  <si>
    <t>471411808</t>
  </si>
  <si>
    <t>1420362398</t>
  </si>
  <si>
    <t>26541437</t>
  </si>
  <si>
    <t>1643554227615064065</t>
  </si>
  <si>
    <t>1020600823343022080</t>
  </si>
  <si>
    <t>2517897416</t>
  </si>
  <si>
    <t>252792134</t>
  </si>
  <si>
    <t>1125104271266144257</t>
  </si>
  <si>
    <t>13058772</t>
  </si>
  <si>
    <t>986701264590442501</t>
  </si>
  <si>
    <t>2332231189</t>
  </si>
  <si>
    <t>72464113</t>
  </si>
  <si>
    <t>16423356</t>
  </si>
  <si>
    <t>1126976456</t>
  </si>
  <si>
    <t>403511848</t>
  </si>
  <si>
    <t>45955305</t>
  </si>
  <si>
    <t>95711125</t>
  </si>
  <si>
    <t>15501088</t>
  </si>
  <si>
    <t>16939324</t>
  </si>
  <si>
    <t>123072079</t>
  </si>
  <si>
    <t>545370091</t>
  </si>
  <si>
    <t>1471646895424561161</t>
  </si>
  <si>
    <t>41388893</t>
  </si>
  <si>
    <t>19335744</t>
  </si>
  <si>
    <t>294765553</t>
  </si>
  <si>
    <t>132339474</t>
  </si>
  <si>
    <t>1163992520252153857</t>
  </si>
  <si>
    <t>415332828</t>
  </si>
  <si>
    <t>388983706</t>
  </si>
  <si>
    <t>1246440482760085504</t>
  </si>
  <si>
    <t>41635723</t>
  </si>
  <si>
    <t>39344374</t>
  </si>
  <si>
    <t>25073877</t>
  </si>
  <si>
    <t>98097823</t>
  </si>
  <si>
    <t>18949452</t>
  </si>
  <si>
    <t>594719820</t>
  </si>
  <si>
    <t>22508473</t>
  </si>
  <si>
    <t>752063053</t>
  </si>
  <si>
    <t>15248550</t>
  </si>
  <si>
    <t>497363497</t>
  </si>
  <si>
    <t>1151913018936053760</t>
  </si>
  <si>
    <t>3108351</t>
  </si>
  <si>
    <t>1515418934228434951</t>
  </si>
  <si>
    <t>1044231098006425601</t>
  </si>
  <si>
    <t>720545088225587200</t>
  </si>
  <si>
    <t>1400486966362214403</t>
  </si>
  <si>
    <t>40580714</t>
  </si>
  <si>
    <t>109762193</t>
  </si>
  <si>
    <t>110312278</t>
  </si>
  <si>
    <t>1206948532495753217</t>
  </si>
  <si>
    <t>992153930095251456</t>
  </si>
  <si>
    <t>141797099</t>
  </si>
  <si>
    <t>712016577567264769</t>
  </si>
  <si>
    <t>1229921740735832065</t>
  </si>
  <si>
    <t>14628959</t>
  </si>
  <si>
    <t>1115985999178420224</t>
  </si>
  <si>
    <t>26525599</t>
  </si>
  <si>
    <t>1144163391772119040</t>
  </si>
  <si>
    <t>918950480000233473</t>
  </si>
  <si>
    <t>4502885068</t>
  </si>
  <si>
    <t>908714359135854592</t>
  </si>
  <si>
    <t>728441661429141505</t>
  </si>
  <si>
    <t>325430154</t>
  </si>
  <si>
    <t>1323730225067339784</t>
  </si>
  <si>
    <t>41063062</t>
  </si>
  <si>
    <t>3865119080</t>
  </si>
  <si>
    <t>Colombia</t>
  </si>
  <si>
    <t>Paris, France</t>
  </si>
  <si>
    <t>Tampere, Finland</t>
  </si>
  <si>
    <t>Ville de Nantes</t>
  </si>
  <si>
    <t>www.facebook.com/AEJMCPRD</t>
  </si>
  <si>
    <t>West Haven, CT</t>
  </si>
  <si>
    <t>Wichita Falls, Texas</t>
  </si>
  <si>
    <t>Columbia, SC</t>
  </si>
  <si>
    <t>Redwood City, CA</t>
  </si>
  <si>
    <t>The 7 seas!</t>
  </si>
  <si>
    <t>Montgomery, AL</t>
  </si>
  <si>
    <t>New York City</t>
  </si>
  <si>
    <t>Nashville, TN</t>
  </si>
  <si>
    <t>Washington, DC</t>
  </si>
  <si>
    <t>12 labs on 6 continents</t>
  </si>
  <si>
    <t>Cambridge, MA</t>
  </si>
  <si>
    <t>Mountain View, California, USA</t>
  </si>
  <si>
    <t>Victoria, Tamaulipas</t>
  </si>
  <si>
    <t>mesa, az</t>
  </si>
  <si>
    <t>Earth</t>
  </si>
  <si>
    <t>worldwide</t>
  </si>
  <si>
    <t>Portland, OR refugee in London</t>
  </si>
  <si>
    <t>_xD835__xDD4F_Ð</t>
  </si>
  <si>
    <t>San Bruno, CA</t>
  </si>
  <si>
    <t>Baton Rouge, LA</t>
  </si>
  <si>
    <t>Bhopal, India</t>
  </si>
  <si>
    <t xml:space="preserve">Mumbai/UP </t>
  </si>
  <si>
    <t>Kolkata, India</t>
  </si>
  <si>
    <t>Toronto, Ontario</t>
  </si>
  <si>
    <t>India</t>
  </si>
  <si>
    <t>Delhi, India</t>
  </si>
  <si>
    <t>New Delhi, India</t>
  </si>
  <si>
    <t>World _xD83C__xDF0D_</t>
  </si>
  <si>
    <t>Gandhinagar, India</t>
  </si>
  <si>
    <t>Uttar Pradesh, India</t>
  </si>
  <si>
    <t>Armidale, New South Wales</t>
  </si>
  <si>
    <t>A lab near you</t>
  </si>
  <si>
    <t>Global</t>
  </si>
  <si>
    <t>Ecuador</t>
  </si>
  <si>
    <t>Granada, Spain</t>
  </si>
  <si>
    <t>United Kingdom</t>
  </si>
  <si>
    <t>AbuDhabi UAE</t>
  </si>
  <si>
    <t>Jyväskylä, Finland</t>
  </si>
  <si>
    <t>Oulu</t>
  </si>
  <si>
    <t>Turku, Finland</t>
  </si>
  <si>
    <t>Joensuu/Kuopio</t>
  </si>
  <si>
    <t>Helsinki | Hakaniemenranta 6</t>
  </si>
  <si>
    <t>Helsinki, Finland</t>
  </si>
  <si>
    <t>Helsinki, Suomi</t>
  </si>
  <si>
    <t>Pohjois-Pohjanmaa, Suomi</t>
  </si>
  <si>
    <t>Helsinki</t>
  </si>
  <si>
    <t>Helsinki, Finlande</t>
  </si>
  <si>
    <t>Finland</t>
  </si>
  <si>
    <t>Turku</t>
  </si>
  <si>
    <t>Inari, Finland</t>
  </si>
  <si>
    <t>Ireland</t>
  </si>
  <si>
    <t>Kampala, Uganda</t>
  </si>
  <si>
    <t>Liverpool</t>
  </si>
  <si>
    <t>Kenya</t>
  </si>
  <si>
    <t>Llerena</t>
  </si>
  <si>
    <t>Victoria, BC, Canada</t>
  </si>
  <si>
    <t>FB: WorldAthletics</t>
  </si>
  <si>
    <t>Kapchorwa, Uganda</t>
  </si>
  <si>
    <t>One City At A Time</t>
  </si>
  <si>
    <t>Kaarina, Suomi</t>
  </si>
  <si>
    <t>Tampere, Suomi</t>
  </si>
  <si>
    <t>Hyvinkää</t>
  </si>
  <si>
    <t>Keski-Pohjanmaa, Suomi</t>
  </si>
  <si>
    <t>Sundsberg, Kirkkonummi</t>
  </si>
  <si>
    <t>Wyoming</t>
  </si>
  <si>
    <t>Bordeaux, France</t>
  </si>
  <si>
    <t>London</t>
  </si>
  <si>
    <t>Copenhague, Danemark</t>
  </si>
  <si>
    <t>Sheridan, WY</t>
  </si>
  <si>
    <t>Rovaniemi</t>
  </si>
  <si>
    <t>Turku, Suomi</t>
  </si>
  <si>
    <t>Around a yellow dwarf</t>
  </si>
  <si>
    <t>Vaasa, Suomi</t>
  </si>
  <si>
    <t>Suomi</t>
  </si>
  <si>
    <t>Sodankylä, Finland</t>
  </si>
  <si>
    <t>Heinävesi, Suomi</t>
  </si>
  <si>
    <t>Suomi, Finland</t>
  </si>
  <si>
    <t>Lahti</t>
  </si>
  <si>
    <t>Suomi, joka puolella</t>
  </si>
  <si>
    <t>Bremerhaven, Deutschland</t>
  </si>
  <si>
    <t>Bremerhaven, Germany</t>
  </si>
  <si>
    <t>Around the world</t>
  </si>
  <si>
    <t>Siberia, Russia</t>
  </si>
  <si>
    <t>Madrid</t>
  </si>
  <si>
    <t>Victoria BC Canada</t>
  </si>
  <si>
    <t>Cheyenne, Arapaho, Ute land</t>
  </si>
  <si>
    <t>Germany</t>
  </si>
  <si>
    <t>Helsingin Sanomat, Helsinki</t>
  </si>
  <si>
    <t>Helsinki, Finnland</t>
  </si>
  <si>
    <t xml:space="preserve">Radford, VA </t>
  </si>
  <si>
    <t>Indonesia</t>
  </si>
  <si>
    <t>Omaha, NE</t>
  </si>
  <si>
    <t>Omaha, Nebraska USA _xD83C__xDDFA__xD83C__xDDF8_</t>
  </si>
  <si>
    <t>Santiago</t>
  </si>
  <si>
    <t>Vancouver/Aguascalientes/Paris</t>
  </si>
  <si>
    <t>Oxfordshire, England</t>
  </si>
  <si>
    <t>Marseille, France</t>
  </si>
  <si>
    <t>Los Angeles, CA</t>
  </si>
  <si>
    <t>Manchester, UK</t>
  </si>
  <si>
    <t xml:space="preserve">Worldwide _xD83C__xDF10_ </t>
  </si>
  <si>
    <t>Silicon Valley, CA</t>
  </si>
  <si>
    <t>_xD83C__xDDFA__xD83C__xDDF8__xD83C__xDDE8__xD83C__xDDE6_</t>
  </si>
  <si>
    <t>Brooklyn, New York</t>
  </si>
  <si>
    <t>Providence, RI</t>
  </si>
  <si>
    <t>Oakland, California</t>
  </si>
  <si>
    <t>Assassination Coordinates</t>
  </si>
  <si>
    <t>Rhode Island</t>
  </si>
  <si>
    <t>Mumbai, India</t>
  </si>
  <si>
    <t>Dubai, United Arab Emirates</t>
  </si>
  <si>
    <t>Bharat</t>
  </si>
  <si>
    <t>Turn on Notification _xD83D__xDD14_</t>
  </si>
  <si>
    <t>Auckland, New Zealand</t>
  </si>
  <si>
    <t>Bengaluru</t>
  </si>
  <si>
    <t>Cape Cod, MA</t>
  </si>
  <si>
    <t>Westford, MA</t>
  </si>
  <si>
    <t>Chicago, IL</t>
  </si>
  <si>
    <t>Austin, TX</t>
  </si>
  <si>
    <t>Waltham, MA</t>
  </si>
  <si>
    <t>New Jersey</t>
  </si>
  <si>
    <t>HQ: Newton, MA</t>
  </si>
  <si>
    <t>Franklin, MA</t>
  </si>
  <si>
    <t>New York, NY</t>
  </si>
  <si>
    <t>Indianapolis</t>
  </si>
  <si>
    <t xml:space="preserve">rooftop </t>
  </si>
  <si>
    <t>George Mason University</t>
  </si>
  <si>
    <t>London, Ontario, Canada</t>
  </si>
  <si>
    <t>Cairo, Egypt</t>
  </si>
  <si>
    <t>Louisville, KY</t>
  </si>
  <si>
    <t>Belmont, CA, USA</t>
  </si>
  <si>
    <t>Toronto, Ontario, Canada</t>
  </si>
  <si>
    <t>Israel #️⃣</t>
  </si>
  <si>
    <t>Norway</t>
  </si>
  <si>
    <t>Miami Beach, FL</t>
  </si>
  <si>
    <t>The #1 Bitcoin Newsletter_xD83D__xDC47_</t>
  </si>
  <si>
    <t xml:space="preserve">Florida </t>
  </si>
  <si>
    <t>El Salvador</t>
  </si>
  <si>
    <t>NYC</t>
  </si>
  <si>
    <t>Texas, USA</t>
  </si>
  <si>
    <t>NRW</t>
  </si>
  <si>
    <t>Deutschland</t>
  </si>
  <si>
    <t>Sunnyvale, CA 94086</t>
  </si>
  <si>
    <t>Build your Brand now _xD83E__xDD1D_</t>
  </si>
  <si>
    <t>Sunnyvale, CA</t>
  </si>
  <si>
    <t>Contact: tino.pfaff@posteo.de</t>
  </si>
  <si>
    <t>Photon in a double slit</t>
  </si>
  <si>
    <t>Europe, working worldwide</t>
  </si>
  <si>
    <t>Maryland, USA</t>
  </si>
  <si>
    <t>Memphis TN</t>
  </si>
  <si>
    <t>Baltimore, MD</t>
  </si>
  <si>
    <t>Holland Mi. USA</t>
  </si>
  <si>
    <t>Atlanta, GA</t>
  </si>
  <si>
    <t>New York</t>
  </si>
  <si>
    <t>St Albans, UK</t>
  </si>
  <si>
    <t>USA</t>
  </si>
  <si>
    <t>Lauderdale, MS</t>
  </si>
  <si>
    <t>Kitchener, Ontario, Canada</t>
  </si>
  <si>
    <t>Nanaimo, British Columbia</t>
  </si>
  <si>
    <t xml:space="preserve">Kansas Not A Farm </t>
  </si>
  <si>
    <t>República de Catalunya</t>
  </si>
  <si>
    <t>Mataró</t>
  </si>
  <si>
    <t>Barcelona</t>
  </si>
  <si>
    <t>Fort Myers, FL</t>
  </si>
  <si>
    <t>London, England</t>
  </si>
  <si>
    <t>dontextraditeassange.com, UK</t>
  </si>
  <si>
    <t>Somewhere Out There...</t>
  </si>
  <si>
    <t xml:space="preserve">Langley, Virginia </t>
  </si>
  <si>
    <t>Belmont, CA</t>
  </si>
  <si>
    <t>Brussels, Belgium</t>
  </si>
  <si>
    <t>Washington D.C.</t>
  </si>
  <si>
    <t>Chicago IL</t>
  </si>
  <si>
    <t>Orange County, CA</t>
  </si>
  <si>
    <t>Hong Kong</t>
  </si>
  <si>
    <t>Miami, FL</t>
  </si>
  <si>
    <t>Overveen, Bloemendaal, NL</t>
  </si>
  <si>
    <t>Virginia</t>
  </si>
  <si>
    <t>Iran</t>
  </si>
  <si>
    <t>Oyo State, Nigeria</t>
  </si>
  <si>
    <t>The World</t>
  </si>
  <si>
    <t>Gresik, Indonesia</t>
  </si>
  <si>
    <t>19.134884, 72.810591</t>
  </si>
  <si>
    <t>New York, USA</t>
  </si>
  <si>
    <t>Milton Keynes</t>
  </si>
  <si>
    <t>Detroit, MI</t>
  </si>
  <si>
    <t>Paris, Ile-de-France</t>
  </si>
  <si>
    <t>Everywhere</t>
  </si>
  <si>
    <t>Genova Italy</t>
  </si>
  <si>
    <t>United States of America</t>
  </si>
  <si>
    <t>Los Angeles, CA, USA</t>
  </si>
  <si>
    <t>San Francisco</t>
  </si>
  <si>
    <t>system engineer | web developer | #Laravel  |  #vue #blogs</t>
  </si>
  <si>
    <t>Abogada, analista política, columnista. Anticomunista _xD83C__xDDE8__xD83C__xDDF4_ _xD83C__xDDEE__xD83C__xDDF9_ #SpacesHost</t>
  </si>
  <si>
    <t>Opinions are my own_xD83C__xDDEB__xD83C__xDDF7_ _xD83C__xDDE9__xD83C__xDDF0_ _xD83C__xDDE8__xD83C__xDDFE_ Apple  Addict. DevOps. FreeBSD committer. Passionate about food, wine &amp; quality cocktails. RT != endorse</t>
  </si>
  <si>
    <t>Social &amp; political scientist: climate change policy, networks, advocacy coalitions, institutions, social media, pragmatism at @helsinkiuni @SocSciHelsinki</t>
  </si>
  <si>
    <t>OU SONT MES MOMENTS ? : #Sporet 8ème Valeur Rép. / Activité sportive collectives mixtes  #Globall / Arctique Humanisé / Poèmes / Miroitements de photos 2Dessins</t>
  </si>
  <si>
    <t>Live from #aejmc23, we're researchers &amp; educators passionate about broadcast journalism and the future of electronic news. Grad students join FREE!</t>
  </si>
  <si>
    <t>ComSHER: Communicating Science, Health, Environment, and Risk is a Division of the Association for Education in Journalism and Mass Communication (AEJMC).</t>
  </si>
  <si>
    <t>#PRProfs @AEJMC PR DIG. Tweets by @AghazadehSarah, @erikajschneider, @JinChen_bd, @aliusacomm, @YoorimHong, &amp; @zahedarmanbd. Also follow: @JPREPRD</t>
  </si>
  <si>
    <t>The Twitter home for the AEJMC Law and Policy Division. Follow us to keep up on news related to the Division and media and communication law in general.</t>
  </si>
  <si>
    <t>Prof/chair @QUJournalism PhD _xD83D__xDC69__xD83C__xDFFB_‍_xD83C__xDF93__xD83D__xDCDA_ | Adviser @AWSM_QU | Sportswriter ✍_xD83C__xDFFC__xD83C__xDFC0_ | Fan of @lindsayaboyle, free press &amp; dogs. Feminist. ☮️❤️=</t>
  </si>
  <si>
    <t>mass communication professor, editor, photojournalist</t>
  </si>
  <si>
    <t>We provide a bridge between secondary media advisers &amp; college-level educators. Our concerns include journalism education standards, training &amp; free speech law</t>
  </si>
  <si>
    <t>The Commission on the Status of Women encourages diverse research &amp; programming on women in journalism &amp; mass comm education. We're an @AEJMC commission (1973).</t>
  </si>
  <si>
    <t>Join our AEJMC division if you're interested in newspaper or online news research. Tweets by NOND officer team. Don't miss our #nond hashtag!</t>
  </si>
  <si>
    <t>AEJMC is a nonprofit, educational association of journalism and mass communication educators and media professionals. #AEJMC23 #AEJMCcommunity #CommTwitter</t>
  </si>
  <si>
    <t>#Socialmedia network analysis and visualization #influencer analysis #marketing Get #NodeXL https://t.co/CAYK8AJLMv</t>
  </si>
  <si>
    <t>I'm a victim of a violent crime and I Hope that NO KID ever experience the Violence &amp; Hate of others. P:S. NO #DfnM's cuse I'll retweet almost if you DM me!</t>
  </si>
  <si>
    <t>Official Twitter account of the #USNavy. (Following, RTs and links ≠ endorsement)</t>
  </si>
  <si>
    <t>Exposing hate groups and other extremists throughout the United States since 1981. Managed by the staff of the Intelligence Project @splcenter</t>
  </si>
  <si>
    <t>ADL (Anti-Defamation League) - To stop the defamation of the Jewish people, and secure justice and fair treatment to all. #FightingHateForGood</t>
  </si>
  <si>
    <t>Making the Internet better since 1993. We're in the business of building platforms that keep people connected. 
Domains support: https://t.co/57pAYYF0qu</t>
  </si>
  <si>
    <t>This account is no longer active. Follow @x for updates.</t>
  </si>
  <si>
    <t>"I am completely opposed to the error of the modernists...."</t>
  </si>
  <si>
    <t>_xD83D__xDCCD_ INGLEWOOD, CA</t>
  </si>
  <si>
    <t>Official account of the world’s largest library. Explore collections &amp; plan a visit. All Library accounts: https://t.co/KMH2LPXfZv</t>
  </si>
  <si>
    <t>Inventing what's next in science and technology. _xD83C__xDF0D__xD83D__xDD2C_
Subscribe to our newsletter: https://t.co/kyfsvQN1Dn</t>
  </si>
  <si>
    <t>@MITOCW provides free learning materials from @MIT's classes.  No sign-up or registration. We are part of @mitopenlearning.
Verification: https://t.co/QaHinns7Yc</t>
  </si>
  <si>
    <t>Enabling _xD83D__xDC65_ on our _xD83D__xDDFA_ to use _xD83D__xDCBB__xD83D__xDCF1_ in any language. Press → https://t.co/2rk0YGZDDT Emoji → https://t.co/Gy9XtSWik7</t>
  </si>
  <si>
    <t>Let's set knowledge free. 
Got a question? https://t.co/F6dmvrO3et</t>
  </si>
  <si>
    <t>5x Diamond</t>
  </si>
  <si>
    <t>huli don't bane</t>
  </si>
  <si>
    <t>private accounts of * @stillgray  #SpacesHost®• I| TG: https://t.co/vBiM9o4YtH</t>
  </si>
  <si>
    <t>I say the quiet part out loud. #SpacesHost || TG: https://t.co/tM0qN8t4hD</t>
  </si>
  <si>
    <t>Senior Editor, https://t.co/KrWj39FxzQ. Navy intel vet. Catholic. China analyst</t>
  </si>
  <si>
    <t>Veteran. Catholic. Farter.
#OANN #Parody</t>
  </si>
  <si>
    <t>Senior Editor, https://t.co/73SQwmnWs8. Navy intel vet. Catholic. 中文</t>
  </si>
  <si>
    <t>BLM is an affirmation &amp; embrace of the resistance &amp; resilience of Black people. Founded by Patrisse Cullors, @opalayo, @aliciagarza press@blacklivesmatter.com</t>
  </si>
  <si>
    <t>Journalist &amp; author of NYT bestseller, “Unmasked.” Senior editor @TPostMillennial. Please support my journalism &amp; send news tips to: https://t.co/qNoFCtvckk</t>
  </si>
  <si>
    <t>The Security Team at X |
Report a security vulnerability:
https://t.co/fTrTAcgG5Z |
Report abusive accounts: https://t.co/npJxqYzZQ8…</t>
  </si>
  <si>
    <t>Driven by industry progress, inspired by provocative leadership, plus don't mind a good pair of shoes or a great @PennStateFball scoreboard either.</t>
  </si>
  <si>
    <t>like and subscribe.</t>
  </si>
  <si>
    <t>media historian; dancing/hiking/journalism: au of 'American Newsroom, 'A Short History’ and ‘Newsrooms and the Disruption of the Internet’ RT≠opinion Go Navy!</t>
  </si>
  <si>
    <t>International Communication Division of @AEJMC. ICD represents scholars and educators around the world.</t>
  </si>
  <si>
    <t>Vice Chancellor, MCU, Bhopal; Ex- DG, IIMC; Ex Sr Consulting Editor, DD News; Ex Dean, UPES, Ex Chief Political Correspondent, PTI: TEDx Speaker, President,GMEC</t>
  </si>
  <si>
    <t>Congress|| Elections|| Data|| Cricket|| KKR</t>
  </si>
  <si>
    <t>An Ordinary Tax paying Citizen || _xD83D__xDCE7_ rishibagree@gmail.com</t>
  </si>
  <si>
    <t>_xD83C__xDFC5__xD83D__xDCC8_ Find interesting world stats and rankings.</t>
  </si>
  <si>
    <t>Asian News International. Multi-media news agency, content for information platforms: TV, Internet, broadband, newspapers, mobiles https://t.co/eEMPAbAcms</t>
  </si>
  <si>
    <t>A popular Hindi News Portal-
◆ We Claim to raise the voice of people, 
◆ We train to question Authorities &amp; Govts
◆ We aim to improve standard of Journalism</t>
  </si>
  <si>
    <t>The Official Twitter Account of India's Most Vibrant Political Movement - The Indian National Congress</t>
  </si>
  <si>
    <t>Official Twitter account of Rashtrapati Bhavan and is run by the President’s Secretariat | Smt Droupadi Murmu, President of India.</t>
  </si>
  <si>
    <t>Indian History in Pictures,source-internet search engines,copyright with respective owners,Shared only for information</t>
  </si>
  <si>
    <t>Meming away PhD stress. Only original content!
FB: https://t.co/s8zNyD0a0Q
IG: https://t.co/1QzHF51N3Z</t>
  </si>
  <si>
    <t>Assistant Professor, Central University of Gujarat, Gandhinagar, India</t>
  </si>
  <si>
    <t>Assistant Professor at GLA University. Sharing my experiences &amp; thoughts on Academia &amp; MentalHealth (tweets are mine). Founder @hapyresearchers</t>
  </si>
  <si>
    <t>Our dynamic network brings together scholars and researchers who share a fascination in the academic inquiry into all manner of mass phenomena.</t>
  </si>
  <si>
    <t>Amplifying the voices of PhD Students. Tag us with # or @PhDVoice. Runs @PostdocVoice. Free PhD Resources https://t.co/jKq1NNX0ch
Independently Run</t>
  </si>
  <si>
    <t>Here to help you to publish and make an impact with your research.</t>
  </si>
  <si>
    <t>Neuropsicólogo/Psicólogo Clínico/PhD Neurociencia Cognitiva/Investigador Científico/...la música es la energía del ser... EDM</t>
  </si>
  <si>
    <t>PhD. Cardiologist _xD83E__xDE7A__xD83E__xDEC0_ Heart Failure | Multimodality Cardiovascular Imaging | Pulmonary Hypertension | CardioRenal | Lecturer_xD83E__xDEC0__xD83D__xDCDA_</t>
  </si>
  <si>
    <t>Join #AcademicChatter for support &amp; community. Team: @waterlego @Heather_RoseW. Book review platform: @ACReviewofBooks. _xD83C__xDDFA__xD83C__xDDE6_</t>
  </si>
  <si>
    <t>I am a Ph.D. doctor and Academic Advisor interested in spreading scholarship postdoctoral positions faculty positions and research  information worldwide</t>
  </si>
  <si>
    <t>Kone Foundation. Helsinki-based independent foundation fostering academic and artistic freedom. Annual grant call 1–15 Sept. https://t.co/InssoMNnW6</t>
  </si>
  <si>
    <t>University of Jyväskylä is a university with societal impact.
Towards a future of wisdom and wellbeing #JYUnique #sivistyksenpuolesta
Instagram: https://t.co/yYC3ec0IJp</t>
  </si>
  <si>
    <t>Science with Arctic Attitude. Working for more sustainable, more intelligent and more humane world. #UniOulu #ScienceWithArcticAttitude</t>
  </si>
  <si>
    <t>Tampere University is one of the most multidisciplinary universities in Finland. We believe in humanity and science. #HumanPotentialUnlimited #IhminenRatkaisee</t>
  </si>
  <si>
    <t>We build a sustainable future with multidisciplinary research, education and collaboration. #uniturku #turunyliopisto</t>
  </si>
  <si>
    <t>Official tweets from the University of Eastern Finland (UEF). Connect with us for news, events, updates and conversation.</t>
  </si>
  <si>
    <t>Rahoitamme tutkimusta | Vi finansierar forskning | We fund research _xD83D__xDC8E_
Logon takana Akatemian viestintä arkisin klo 8–16. _xD83D__xDC4B_ 
Helpdesk: https://t.co/NxGMevoGC3</t>
  </si>
  <si>
    <t>Academic Rector @UniEastFinland | Professor of Environmental Law @UEFLawSchool | Mostly in Finnish: #yliopisto #viestintä #johtaminen #oikis #cats</t>
  </si>
  <si>
    <t>University of Helsinki - Helsingin yliopisto is Finland’s largest, oldest and internationally most esteemed research university. #HelsinkiUni #WeAreHelsinkiUni</t>
  </si>
  <si>
    <t>Human rights, animal rights, environment</t>
  </si>
  <si>
    <t>SDP:n kansanedustaja, kaupunginvaltuutettu</t>
  </si>
  <si>
    <t>Maalla asuva entinen kaupunkilainen.
#Vasemmisto kunnanvaltuutettu Alavieskassa.</t>
  </si>
  <si>
    <t>Toiminnanjohtaja/Executive Director @Sairaanhoitajat Puuhanainen! #hoitajanpalkkapäivä #sairaanhoitaja Seeking for knowledge!</t>
  </si>
  <si>
    <t>Kitaristi joka ei suostu olemaan hiljaa.</t>
  </si>
  <si>
    <t>Director Public Health and Welfare @THLorg Finland. @ECDC_EU AF member,  @ESA expert. Opinions own but burn for Public Health</t>
  </si>
  <si>
    <t>Sosialidemokraatit SDP. Social Democratic Party of Finland. Vapauden, tasa-arvon ja solidaarisuuden puolesta myös Twitterissä.</t>
  </si>
  <si>
    <t>Kansanedustaja Varsinais-Suomesta. Äiti. @keskusta puheenjohtaja.</t>
  </si>
  <si>
    <t>Liberal speaking for freedom and democracy. Hunter, fisherman and nature lover. Ex-parliamentarian.</t>
  </si>
  <si>
    <t>Suomen Saamelaisnuoret ry:n puheenjohtaja
Chair of Saami youth in Finland
Member @saamicouncil
She/her</t>
  </si>
  <si>
    <t>Etrepreneur helping businesses to halt biodiversity loss. Inari Sámi. https://t.co/Eye1AVl8W5 #biodiversity #nature #humanrights #sustainability #indigenous</t>
  </si>
  <si>
    <t>Sámedikki lahttu, Anár. @Saamelaiskaraja-jäsen, Inari. #20 Evttohassan sámediggeválggain. Ehdolla saamelaiskäräjävaaleissa 4.9.–2.10.2023</t>
  </si>
  <si>
    <t>Keskusta - Se kotimainen. _xD83C__xDF40_ Puheenjohtaja: @AnnikaSaarikko. We are a member of @ALDEparty</t>
  </si>
  <si>
    <t>Empowering girls and women with a voice in sport.
_xD83D__xDCE7_Email us at hello@hersport.ie</t>
  </si>
  <si>
    <t>photojournalist at the observer newspaper . passionate about politics ,sports&amp;general lifestyle EMAIL; nicholasbamulanzeki@gmail.com , instagram./nik_bam</t>
  </si>
  <si>
    <t>Chronically indecisive so I've adopted two surnames &amp; the heptathlon.</t>
  </si>
  <si>
    <t>OGW•OLYMPIAN _xD83C__xDDF0__xD83C__xDDEA_• African Record Holder 100m• 9.77• African/Commonwealth 100m champion 2022• Email: sportsman@fitnessfromafrica.co.za</t>
  </si>
  <si>
    <t>Marchador _xD83C__xDFBD_ CAPEX _xD83C__xDFC6_ Bicampeón de Europa ⚡️ Olímpico Londres'12 Río'16 _xD83C__xDF6B_ 4 Tokio2020 _xD83E__xDDD1_‍_xD83C__xDF93_Graduado en Ciencias Políticas _xD83D__xDCDA_ Derecho</t>
  </si>
  <si>
    <t>Un figlio e un fan di mamma Rai allattato dall’antenna | Notizie, commenti e live tweeting sul mondo Rai | Su Instagram: https://t.co/50bdVEhsP9</t>
  </si>
  <si>
    <t>Founder @StreamlineTF // Revealing opportunities for athletes, so they can move forward as confident and inspired individuals</t>
  </si>
  <si>
    <t>The home of running, jumping, throwing &amp; walking. Providing the inside track on the world’s best athletes &amp; competitions.</t>
  </si>
  <si>
    <t>World &amp; Olympic Champion !! 5000m &amp; 10,000m WR Holder!!  @nike @nnrunningteam</t>
  </si>
  <si>
    <t>Military &amp; Security Affairs | #OSINT &amp; #HUMINT |</t>
  </si>
  <si>
    <t>Yhden naisen think tank. Kansanedustajana 30 vuotta, 10 vuotta meppinä.Oulun yliopiston hallitus.Atlanttiseuran puheenjohtaja.Suomen Pakolaisavun puheenjohtaja</t>
  </si>
  <si>
    <t>▫️Vihreiden puheenjohtaja, kansanedustaja ▫️Chair of the Green Party in Finland, MP _xD83C__xDDEB__xD83C__xDDEE_ ▫️Muuttamassa maailmaa, jotta yksikään pieni mieli ei särkyisi</t>
  </si>
  <si>
    <t>Kansanedustaja | Tampereen kaupunginvaltuutettu | YTK, valtio-oppi @TampereUni</t>
  </si>
  <si>
    <t>Kansanedustaja, oikeusministeri,  varatuomari, PS puolueen 1. varapj, member of parliament_xD83C__xDDEB__xD83C__xDDEE_ Hevos-ja koiraharrastukset lähellä sydäntä.</t>
  </si>
  <si>
    <t>AKT:n puheenjohtaja. 
Twiittejä enimmäkseen työmarkkinoista ja sosiaaliturvasta. Vapaa-ajalla rock'n'rollia. Ogelin demarit pj.</t>
  </si>
  <si>
    <t>Undervisningsminister, ordförande för SFP,riksdagsledamot. Opetusministeri, Minister of education. Former minister of Justice.</t>
  </si>
  <si>
    <t>Realismi on rikkautta. Näillä mennään!</t>
  </si>
  <si>
    <t>Nyt on oikea aika muuttaa Suomen suunta. _xD83D__xDC99_ #kokoomus</t>
  </si>
  <si>
    <t>Valtiovarainministeri, perussuomalaisten puheenjohtaja. Minister of Finance, Chair of Finns Party.</t>
  </si>
  <si>
    <t>Svenska folkpartiet i Finland - Suomen ruotsalainen kansanpuolue</t>
  </si>
  <si>
    <t>Eduskunnan puhemies / Speaker of Eduskunta
We/us/our</t>
  </si>
  <si>
    <t>Perussuomalaiset rp:n virallinen tili.</t>
  </si>
  <si>
    <t>CTO of Merge BCDG USA LLC, https://t.co/HPeBUSUfN9 #Merge @rocketdotart @rocketbotpro founder, developer &amp; Crypto enthusiast</t>
  </si>
  <si>
    <t>Social Data Scientist - Je fais des cartographies d'internet _xD83D__xDC68__xD83C__xDFFB_‍_xD83D__xDCBB_</t>
  </si>
  <si>
    <t>Investigations Director @Cen4infoRes. Past BBC &amp; @Bellingcat. Tutorials: https://t.co/jwll4Af0ax. OSINT/GEOINT. Human Rights &amp; Information Warfare.</t>
  </si>
  <si>
    <t>Associate professor at @emlyon
Maker of https://t.co/lJVOhWyp81
Developer of @Gephi plugins. Java dev ❤️</t>
  </si>
  <si>
    <t>Digital tools + STS + design at @Tantlab. Co-creator of @Gephi &amp; #Hyphe.
_xD83D__xDD8B_️ https://t.co/IAGwZQtYm1
_xD83C__xDFB5_ https://t.co/uMjsTspGo6
_xD83E__xDDA3_ @jacomyma@mas.to</t>
  </si>
  <si>
    <t>Merge brings together skilled and talented teams around the world to adoption and integration blockchain technology
Developer of @rocketbotpro &amp; Payment Gateway</t>
  </si>
  <si>
    <t>Social Media cryptocurrency payment platform for Discord, Telegram, Twitch &amp; X #BTC #LTC #BUSD #eth
By @TheProjectMerge &amp; @MergeBCDG</t>
  </si>
  <si>
    <t>#Merge provides SAAS powered by the Blockchain, with the support of our cryptocurrency, $MERGE, and the use of Tokenomics. ie @RocketDotArt https://t.co/Jh1STP720m</t>
  </si>
  <si>
    <t>Network visualization and analysis platform.</t>
  </si>
  <si>
    <t>Taide on rakennelma rakennelmien joukossa</t>
  </si>
  <si>
    <t>Prime Minister of Finland. Leader of @Kokoomus. Co-Founder of the Coalition of Finance Ministers for Climate Action.</t>
  </si>
  <si>
    <t>ME EMME VAIKENE! Rasistit ja fasistit ulos hallituksesta! Rauhanomainen suurmielenosoitus Helsingissä 3.9.2023 klo 13 &amp; rinnakkaismielenosoituksia kautta maan!</t>
  </si>
  <si>
    <t>valtuusto, aluevaltuusto, KH, maakuntahallitus #Vantaa #Uusimaa #koulutus #työelämä #talous #ympäristö #kalastus Jämäkkä, mutta lempeä. Snäll men stark</t>
  </si>
  <si>
    <t>Astronomer, university researcher at @helsinkiuni, discoverer of planets #Proximab, #Barnardb.
Climate breakdown is the solution to Fermi paradox.</t>
  </si>
  <si>
    <t>Kansanedustaja. MP. Former Prime Minister of Finland.</t>
  </si>
  <si>
    <t>Vasemmistoliiton puheenjohtaja, kansanedustaja Varsinais-Suomesta, aluevaltuutettu Varsinais-Suomen hyvinvointialueella, kaupunginvaltuutettu Turussa.</t>
  </si>
  <si>
    <t>@Demarit varapuheenjohtaja, Kansanedustaja / MP. Vaasan valtuutettu &amp; Pohjanmaan valtuuston pj. #sosiaaliturva &amp; #mielenterveys. Seuraa arkea IG:ssä.</t>
  </si>
  <si>
    <t>Tutkija, kauppatieteilijä, kaupunginvaltuutettu (vihr.), kansanedustaja 2019-2023. Researcher, City councilor in Helsinki, Member of Parliament 2019-2023</t>
  </si>
  <si>
    <t>Työ- ja elinkeinoministeriö - Arbets- och näringsministeriet - Ministry of Economic Affairs and Employment. TEM luo kestävän kasvun edellytyksiä.</t>
  </si>
  <si>
    <t>Geologian tutkimuskeskus  - Geological Survey of Finland
Solutions to accelerate the transition to a sustainable, carbon-neutral world. 
#ForEarthAndForUs</t>
  </si>
  <si>
    <t>Prof @ HY, Salla/Sodankylä/Kempele. Mielipiteet omia, eivätkä edusta työnantajaani tai ketään muuta, mutta ovat silti varsin hyviä sellaisia.</t>
  </si>
  <si>
    <t>Executive Director in Suomen luonnonsuojeluliitto (Finnish Association for Nature Conservation).</t>
  </si>
  <si>
    <t>Ympäristövaikuttaja, kunnanvaltuuston puheenjohtaja, iloinen luonto- ja liikunta-aktiivi, res. kersantti</t>
  </si>
  <si>
    <t>Puhtaiden vesistöjen ja luonnon puolesta! Pro Heinävesi vastustaa kaivoshanketta Heinävedellä. Puhdas luonto myös seuraaville sukupolville_xD83C__xDF0D__xD83D__xDCA6_</t>
  </si>
  <si>
    <t>Suomen luonnonsuojeluliiton hallituksen pj. -
Finnish Association for Nature Conservation, Chair of The Board.
Kalajoki. Twiitit ja tunnelmat omia.</t>
  </si>
  <si>
    <t>Suomen luonnonsuojeluliitto on maamme suurin, vahva luonnon etujärjestö. Olemme puolustaneet jo yli 80 vuotta suomalaista luontoa. Tule mukaan joukkoomme!</t>
  </si>
  <si>
    <t>Tavataan joka päivä.</t>
  </si>
  <si>
    <t>_xD83C__xDF0D_A Green Member of the Finnish Parliament, Helsinki City councillor, former Party Leader and Minister of the Environment &amp; Climate Change &amp; Interior_xD83D__xDC69_‍_xD83C__xDF93_PhD</t>
  </si>
  <si>
    <t>Käytämme, hoidamme ja suojelemme valtion maa- ja vesialueita kestävästi ja sovitamme yhteen erilaisia odotuksia. Kasvatamme huomista.</t>
  </si>
  <si>
    <t>Huolehdimme metsien monipuolisen ja kestävän käytön edistämisestä sekä alan kehittämisestä. Twiittaamassa Metsäkeskuksen viestintätiimi.</t>
  </si>
  <si>
    <t>Meillä on vain yksi planeetta. Pidetään siitä huolta.
Maailma muuttuu, kun suuri joukko ihmisiä toimii yhdessä. Tule mukaan.</t>
  </si>
  <si>
    <t>Työtä luonnonvarojen kestävän käytön ja biotalouden puolesta. Luke tweets also in English @LukeFinlandInt</t>
  </si>
  <si>
    <t>Lintumies joka twiittaa luonnon puolesta pihassa ja puutarhassa.  Luonnonperintösäätiön suojelujohtaja.</t>
  </si>
  <si>
    <t>Vuonna 1995 perustettu Luonnonperintösäätiö suojelee Suomen luontoa, ensisijaisesti uhanalaista metsää.</t>
  </si>
  <si>
    <t>Wir erforschen ❄️ Eis und _xD83C__xDF0A_ Meer _xD83D__xDEA2_ | Alfred-Wegener-Institut, Helmholtz-Zentrum für Polar- und Meeresforschung | #Arktis #Antarktis</t>
  </si>
  <si>
    <t>The German Alfred Wegener Institute carries out research in the Arctic and Antarctic as well as in the high and mid latitude oceans.</t>
  </si>
  <si>
    <t>Top and breaking news, pictures and videos from Reuters. For more breaking business news, follow @ReutersBiz. Our new daily podcast is here: https://t.co/KO0QFy0d3a</t>
  </si>
  <si>
    <t>LA FUERZA DEL CORAZÓN es la que hace que tengamos la necesidad de ayudar a cambiar el mundo. ¡Une tu corazón al mío! - Alejandro Sanz</t>
  </si>
  <si>
    <t>The Siberian Times - all about Siberia, in English</t>
  </si>
  <si>
    <t>#SANZenVivo _xD83E__xDD77_ _xD83D__xDC49_ https://t.co/gReVjyTIm1</t>
  </si>
  <si>
    <t>Greenpeace es una organización ecologista y pacifista, económica y políticamente independiente, no acepta donaciones ni presiones de gobiernos o empresas</t>
  </si>
  <si>
    <t>Director Climate Emergency Institute, IPCC expert reviewer, Co-author Unprecedented Crime, published on climate change, sustainable development, biodiversity,</t>
  </si>
  <si>
    <t>Ecologist &amp; carbon cycle scientist. Chaser of boglands, permafrost &amp; fires. I want you to fall in love with bogs. Find me on bluesky. Represented by @zcosini</t>
  </si>
  <si>
    <t>Love learning. For work: Research Int'l politics &amp; security &amp; defence (Finland, Nordic, transatlantic &amp; U.S.)</t>
  </si>
  <si>
    <t>MA @helsinkiuni focused on far-right extremism he/him
Filosofian maisteri, kirjabloggari ja ääriliikkeitten tutkija. Sami.eerola@protonmail.com   _xD83C__xDDEB__xD83C__xDDEE__xD83C__xDDE7__xD83C__xDDF7_</t>
  </si>
  <si>
    <t>We really know Germany _xD83C__xDDE9__xD83C__xDDEA_. Follow us for trustworthy news and analysis from our reporters around the world. We also have a sense of humor. Sometimes.</t>
  </si>
  <si>
    <t>Aina uutta.</t>
  </si>
  <si>
    <t>Vasemmistolainen rakentamassa parempaa maailmaa.</t>
  </si>
  <si>
    <t>Vapaa toimittaja 
Äärioikeistoasiantuntija   
Yhteiskuntatieteen Kandidaatti
dmitry.gurbanov@protonmail.com</t>
  </si>
  <si>
    <t>Yle Uutisten tili tarjoilee päivän pääuutiset. 
Uutiset Suomesta ja maailmalta nopeasti ja luotettavasti 
Ota yhteyttä: https://t.co/7dS6bOJFP7</t>
  </si>
  <si>
    <t>Research Fella @FIIA_fi &amp; @cepa fellow. Nordic security &amp; defence, _xD83C__xDDEB__xD83C__xDDEE_&amp;_xD83C__xDDE9__xD83C__xDDEA_ foreign &amp; sec pol. Plot twist: not from Åland. Rants my own. _xD83D__xDCF8_©️ Sasa Strainovic</t>
  </si>
  <si>
    <t>Professor of World Politics, University of Helsinki. #democracy #freedom https://t.co/sSXbUiO5cq +358-50-3505120.</t>
  </si>
  <si>
    <t>The Social Media Analytics &amp; Research Technology Lab gives student &amp; faculty researchers an insight into social media trends on various research platforms</t>
  </si>
  <si>
    <t>Bacalah dgn menyebut nama Tuhan-Mu ||#HalaMadrid</t>
  </si>
  <si>
    <t>il più grande coltivatore italiano di halicacabum</t>
  </si>
  <si>
    <t>UNO Social Media Lab for Research &amp; Engagement. Formerly @unosml @unosml1 accounts.</t>
  </si>
  <si>
    <t>Jeremy Harris Lipschultz, PhD, Peter Kiewit Distinguished Professor @communo @unosmlre https://t.co/AXr4S186OC</t>
  </si>
  <si>
    <t>Developing better solutions for news monitoring and comms measurement in North America. The media intelligence clients love to use. 402 342-3178 #FIBEP #AMEC</t>
  </si>
  <si>
    <t>We un-silo and unify teams to make customers happier. With our Unified Customer Experience Management platform (#UnifiedCXM).</t>
  </si>
  <si>
    <t>Ciudad|Consumo|Género|Comunicación Urbana. ProfAsociada @fcom @ucatolica. Observatorio @ConsumoSociedad OCCS. Tb @generoyciudad @sudlab_cl. Opiniones personales</t>
  </si>
  <si>
    <t>Professor @FlacsoMx, water, waste, public policy, environmental politics, mixed/experimental methods #ScholarSunday founder. Coffee lover. SNI 1 @iheal_creda VP</t>
  </si>
  <si>
    <t>3nd year PhD at Dept of Marketing, Retail and Tourism, MMU | SMBCs, engagement, CDL | Lecturer in Digital Marketing at @SalfordUni |</t>
  </si>
  <si>
    <t>@NIHRresearch Doctoral Research Fellow @OxPrimaryCare | Advanced Paramedic | Aspiring Triathlete | RTnotE</t>
  </si>
  <si>
    <t>Associate Professor, #passion4digital Digital Marketing, Digital Innovation, Digital Transformation  Thoughts are my own :-)</t>
  </si>
  <si>
    <t>Netnography, social media research, fandom / entertainment / influencer / creator marketing, platforms, digital methods</t>
  </si>
  <si>
    <t>Reader in Digital Health | Head of Digital Education @SalfordU #Research: #digitalhealth #engagement #digiskills #methods ♥#coffee Initiator @GMKINet</t>
  </si>
  <si>
    <t>Associate Dean International for FSBE @uochester @uoc_business &amp; researcher in Digital Transformation &amp; #FanFit project with a #Passion4Digital</t>
  </si>
  <si>
    <t>Official #Netnocon2023 Twitter account!
Managed by @alexfenton and @was3210</t>
  </si>
  <si>
    <t>We run training on analysing social media data &amp; provide analytics &amp; consulting.  Contact us today to discuss your requirements: nodexlacademy@gmail.com</t>
  </si>
  <si>
    <t>We are a group of researchers who create tools, generate and host data, and support open scholarship related to social media.</t>
  </si>
  <si>
    <t>Ned-a Mag-boo-leh, Associate Professor of Sociology @ubc, previously @utm @uoft. From Portland, OR. Always eating a snack or thinking about eating one.</t>
  </si>
  <si>
    <t>sociologist @MolloyUNews | racial politics, media, democracy, human rights | author of Debating the Drug War https://t.co/bAOJB05RJC | cat dad | serial retweeter</t>
  </si>
  <si>
    <t>mass media, culture, disasters, emotions, internet, death &amp; dying. Assoc Prof of Sociology at Smith College. previously at Hamilton &amp; Princeton. CUNY PhD.</t>
  </si>
  <si>
    <t>Helen Gould Shepard Professor of Social Science at NYU. Director @nyu_ipk New book in Feb 2024: *2020: ONE CITY, SEVEN PEOPLE, AND THE YEAR EVERYTHING CHANGED*</t>
  </si>
  <si>
    <t>professor/sociologist/inequality foe/believer in power of education/ lover of nature, music, art &amp; all things beautiful. Views, mine. On Threads @prulcarter.</t>
  </si>
  <si>
    <t>Publishing voices that drive change &amp; impact how people think. Founded in 1893.</t>
  </si>
  <si>
    <t>Sociologist. Author #oncriticalracetheory @penguinrandom, @BrookingsGov &amp; @CarrCenter Fellow, repped by @sarahburnes @TheGernertCo, writing lots of places.</t>
  </si>
  <si>
    <t>Scholars and practitioners challenging power structures and building knowledges of anti-oppression to advance healing and justice. RT/Follows≠Endorsement</t>
  </si>
  <si>
    <t>#SocProf #KCSo @BrownSociology @WatsonInstitute #GlobalizingKnowledge #ContemplativeStudies #TransformationalSolidarity https://t.co/2nD1S5372W…</t>
  </si>
  <si>
    <t>News from the American Sociological Association (ASA), a membership organization dedicated to advancing #sociology.
Also on https://t.co/Y9f7A2fzsJ</t>
  </si>
  <si>
    <t>Prime Minister of India</t>
  </si>
  <si>
    <t>India's Largest Digital Publisher.
Official Handle of RVCJ Digital Media Private Ltd.
Business Enquiry:- contact@rvcj.com</t>
  </si>
  <si>
    <t>Hassan Sajwani an #Emirati tweets #news #tech business #counterTerrorism, politics, RTs not endorsements.Patriot #الله_ثم_الوطن_ثم_رئيس_الدولة Personal account</t>
  </si>
  <si>
    <t>||Nationalist||Wild Life Enthusiast||Music Buff||Politics||Cricket||Team Pronamo ||@prosevasangh</t>
  </si>
  <si>
    <t>Bringing Headlines to You | Open Source | likes not Endorsement Contact at Telegram @ https://t.co/vuQLmBh561</t>
  </si>
  <si>
    <t>_xD83C__xDDEE__xD83C__xDDF3_ First | Natural Love for Humour | Cricketoholic | Sarcasm |</t>
  </si>
  <si>
    <t>Reporting on space events in real-time.  Sub to our newsletter for more interesting news https://t.co/h6E31ucTCX _xD83D__xDCE9_</t>
  </si>
  <si>
    <t>Concerned with something non-essential, buffoon &amp; writer. I utter mocking or scoffing words.</t>
  </si>
  <si>
    <t>Indian Space Research Organisation
https://t.co/UolRyaZlZi.      https://t.co/Q3K7buUqAI</t>
  </si>
  <si>
    <t>Enterprise Sales @ TechTarget. Wife &amp; Mom living at the beach. Former swimmer currently indulging in Peloton and great beer &amp; wine.</t>
  </si>
  <si>
    <t>Analyst covering Sales Intelligence, Sales Engagement, B2B DaaS, ABM, and Sales Enablement. Author: Product Profiles, Industry Newsletter, and Blog.</t>
  </si>
  <si>
    <t>Where you go for software _xD83E__xDDD1_‍_xD83D__xDCBB_</t>
  </si>
  <si>
    <t>TrustRadius is the most trusted site for business technology reviews, serving both buyers and vendors. #truthsells</t>
  </si>
  <si>
    <t>How Business Goes to Market 
The trusted go-to-market platform to find, acquire and grow customers. | Privacy Policy and Profile Removals: https://t.co/AvbcTWebdD</t>
  </si>
  <si>
    <t>Demand Gen Report is a publication focusing exclusively on the strategies, tactics &amp; measurements that are key to generating demand. Meet us live @B2BMX!</t>
  </si>
  <si>
    <t>We help #B2Bmarketing and #B2Bsales teams find and engage active buyers with real insights about real people. _xD83C__xDFAF_ #ActivityMatters</t>
  </si>
  <si>
    <t>Delivering and activating the most powerful B2B buyer-intent data in the market.</t>
  </si>
  <si>
    <t>Bombora is the leading provider of intent and demographic data for B2B sales and marketing.</t>
  </si>
  <si>
    <t>Forrester helps business and technology leaders use customer obsession to accelerate growth. With us, you can be bold at work.</t>
  </si>
  <si>
    <t>When I'm lost in dark matters, I can hear the universe whispering, "Hold on. Hang in. You're not alone."
o am I even kidding?</t>
  </si>
  <si>
    <t>PR @tacobell, Influencer Marketing Prof. @chapmanU. Founder @ https://t.co/qtxSaydR55 -- helping mentor future of PR &amp; marketing</t>
  </si>
  <si>
    <t>SPJ is the oldest, most broad-based journalism organization dedicated to improving journalism and protecting the First Amendment. 317-927-8000. #FreePressFriday</t>
  </si>
  <si>
    <t>#nft #data #business #social #Moneymatters5
#13thingsalien this is #CrazyMediaNumbers</t>
  </si>
  <si>
    <t>Social Media Professor. Mentor. Accelerator. Retired adv/PR pro, mrs, mom, &amp; gammy. Launching careers = best job ever.</t>
  </si>
  <si>
    <t>#ShoutMGB is a wonderful place to meet other professionals who follow creative souls. #cybersecurity #technology #BigData #MachineLearning #Software #Linux</t>
  </si>
  <si>
    <t>Journo Prof @AUC @JRMCAUC. Frmer reporter/host @WOSU. 2x @scrippsOU alum. @airmedia @BEAwebtweets @AmplifyPodcasts boards. #EhkyYaMasr+https://t.co/MnkCtd17bq</t>
  </si>
  <si>
    <t>@UofL Prof • Director of @thebirdsnestlou • Dr. K according to @vancityreynolds • @SAGEmedia_comm Author • @Cannes_Lions Edu Summit Co-Chair • @adobeedu leader</t>
  </si>
  <si>
    <t>Sociologist of computer-mediated collective action @ Connected Action http://t.co/5dRFa89a
Director: Social Media Research Foundation http://t.co/KPxyHajJ</t>
  </si>
  <si>
    <t>The universe is in the process of a frequency shift. I believe in the power of positive thinking. I love following people who live to be creative &amp; kind.</t>
  </si>
  <si>
    <t>#️⃣ Vivian Francos #SEOhashtag
⚡️ Estrategias #hashtag #marketing para campañas políticas, posicionar marcas y eventos #Linkedin #NodeXL #TweetBinder #Metricool</t>
  </si>
  <si>
    <t>Fix the money, fix the world⚡️</t>
  </si>
  <si>
    <t>#Bitcoin is https://t.co/KbbYe745r3 | $BTC Hodler | @MicroStrategy Founder &amp; Chairman $MSTR | @MIT Aerospace | bio https://t.co/9Zlq0oHqyh | free education https://t.co/4L1s0iwzQ6 | Tweets are my own.</t>
  </si>
  <si>
    <t>Markets | #Bitcoin| Memes @SimplyBitcoinTV Building @PrescribingBTC and @TheBTCTherapyNL</t>
  </si>
  <si>
    <t>Don’t overcomplicate your goals. Find someone to follow with massive success,then listen and apply. want to know how I’m retired at 23. Dm me to learn more. #B1</t>
  </si>
  <si>
    <t>Daily News On #Bitcoin And #LightningNetwork • Read Our Latest Article _xD83D__xDCD6_ https://t.co/bPqBfkCi8O • _xD83D__xDCF2_ #BitcoinNews • Find Us_xD83D__xDCCD_https://t.co/hsGG6zAmC9</t>
  </si>
  <si>
    <t>Giornalismo e scrittura, puoi leggermi qui ⬇️</t>
  </si>
  <si>
    <t>#bitcoin #Bitcoin #BTC study bitcoin, stack sats. stop saying crypto. BTC in NYC = BTCYN.</t>
  </si>
  <si>
    <t>Watcher Guru gives you unparalleled, unbiased coverage of all-things finance in real-time | Tweets Are Not Financial Advice | World News: @Remarks</t>
  </si>
  <si>
    <t>The Most Trusted Voice In #Bitcoin •  World's Largest Bitcoin Conference _xD83C__xDF9F_ https://t.co/yyaMwgovcY • Shop_xD83D__xDCD7_ https://t.co/v3sTyIdB9v • Find us _xD83D__xDD0E_ https://t.co/X4mXn4fvYQ</t>
  </si>
  <si>
    <t>Top #IT Company | Services - #MobileAppDevelopment | #Salesforce | #DevOps | #UIUX Design | #AWS Salesforce Summit Partner | Microsoft Gold Partner</t>
  </si>
  <si>
    <t>Bytes, Blockchain, #NFTs &amp; Metaverse _xD83E__xDDE9_ | Pro-Human _xD83D__xDC68_‍_xD83D__xDCBB_| I share the latest news, updates, and tips on #AI &amp; Web3 Technology_xD83D__xDD2E_|Entrepreneur |_xD83D__xDCE9_ DMs are Open</t>
  </si>
  <si>
    <t>Nanomedicine. Inquisitive. Views are personal.</t>
  </si>
  <si>
    <t>#Twiller #DemVoice1 #ProudBlue #BluePride #ProudBlueVets #BlueEarth #ProudWokeHistory #ResistanceUnited #wtpBLUE #VoteBlue #LGBTQ ---Block ALL 3rd Party DEMS---</t>
  </si>
  <si>
    <t>We are the LinkedIn Social Support Team and avail 7 days a week! If you need help with your LI account, DM us your email address that is listed on your profile.</t>
  </si>
  <si>
    <t>Deutschland braucht eine ökologische Antifa _xD83D__xDC9A__xD83D__xDDA4_
Ursache und Wirkung pflegen ein zirkuläres Verhältnis.
Unterstütze meine Arbeit: https://t.co/axQmO7WO1W</t>
  </si>
  <si>
    <t>Welcome to a world of career opportunities, advice, inspiration and community. #FindYourIn | Support → @LinkedInHelp</t>
  </si>
  <si>
    <t>Big Data Researcher, Director Medical Education Center at Vision College of Medicine in Riyadh Obsessed with: #ChatGPT #AI #DataScie #NodeXL</t>
  </si>
  <si>
    <t>Learning Toolbox is a creative &amp; engaging ePoster platform transforming knowledge sharing in online, hybrid &amp; onsite conferences and events wordwide.</t>
  </si>
  <si>
    <t>Constitutional conservative and pro-life, Maryland patriot.  ✝️ _xD83C__xDDFA__xD83C__xDDF8_</t>
  </si>
  <si>
    <t>I help people become more confident &amp; effective communicators. #SpacesHost Confident Speaking Saturdays @ 11am est #TheCSC</t>
  </si>
  <si>
    <t>Guitarist, Singer, Songwriter, Producer Solo acoustic show since 2010 on iconic Beale Street. “Take care of each other.”</t>
  </si>
  <si>
    <t>Singer, songwriter, guitarist, pianist, &amp; livestreamer. Former lead singer for Union Jack. _xD83C__xDFB6_  #Birdland #RavensFlock</t>
  </si>
  <si>
    <t>Music, photography and videos. "Rock,Blues,Pop,Christian,Alternative,and Instrumental music". https://t.co/nwl0G3uV7w  ✝️ _xD83C__xDDFA__xD83C__xDDF8__xD83E__xDD85__xD83C__xDFB8__xD83C__xDFA8_</t>
  </si>
  <si>
    <t>Hans Eckman provides leadership and coaching on team optimization solutions for rapidly changing companies. Only past 3 months of Tweets shared.</t>
  </si>
  <si>
    <t>Coach, consultant, author, trader, blogger, and sports lover. Discover more about growing your wealth using charting analysis Learn more here  https://t.co/haz4ZHsVa7</t>
  </si>
  <si>
    <t>HRCurator is @DaveMillner who curates insights to help HR deliver and future proof their focus.
Ranked #16 HR's Most Influential Thinker 2021 by HR Magazine</t>
  </si>
  <si>
    <t>Bleeding heart conservative.
God bless &amp; protect #Trump2024 &amp; his administration as they save our country.</t>
  </si>
  <si>
    <t>@Tashaeva @N_E_N_A_Angels @LaurenArren  @Polethf_Angels @MaribellaAngels  @Bella__Angel @SSscoop475  #TeamAngels 
#MAGA #KAG</t>
  </si>
  <si>
    <t>KBF Kick-Off Concert tickets are now on sale!! Click the link below to get your ticket today!</t>
  </si>
  <si>
    <t>I am a crawling king snake, and I rule my den</t>
  </si>
  <si>
    <t>Evolutionary Thinker, Spiritual Artisan of Metaphysical Laws, Thought Provoker, Visionary, Inspirational Conduit.</t>
  </si>
  <si>
    <t>_xD83C__xDF3B_Mom, Grandma,RN, MSW _xD83E__xDD1C__xD83E__xDD1B_
FB  @joncoopertweets @mmpadellan @glennkirschner2 @NancySinatra @funder
 #LGBTQAlly #MentalHealthWarrior
#ChiefsKingdom</t>
  </si>
  <si>
    <t>Comunicació, cultura participativa, periodisme... i sempre dels bits als àtoms.
Donec Perficiam.</t>
  </si>
  <si>
    <t>Diuen que "Aprenent de tot, mestre de res". Així estem.</t>
  </si>
  <si>
    <t>PhD. Researcher
#SportsJournalism #Disinformation</t>
  </si>
  <si>
    <t>Web3 &amp; AI futurist. Political Journalist. Creator of @KrassenCast. Subscribe for additional content. Follow my twin: @Krassenstein.</t>
  </si>
  <si>
    <t>Former entertainer,  since Snr Metaphys.
Musician &amp; Author of '#Simulation-The Transcripts'
user_id=1569291484117221383
Big tech terror attacks everything.</t>
  </si>
  <si>
    <t>Fmr U.S. SecState &amp; CIA Director | Christian, husband, father, Army vet, Kansan | @CAV_PAC Chair | Never Give An Inch _xD83D__xDCDA_ available at: https://t.co/X7MOvwSReP</t>
  </si>
  <si>
    <t>Film Producer at Shipton House, Advocate for my brother imprisoned Journalist and Publisher Julian Assange.
@AssangeDAO</t>
  </si>
  <si>
    <t>Account run by the legal campaign to free Julian Assange</t>
  </si>
  <si>
    <t>Via @UniOfOxford @SOAS Insta: StellaAssange</t>
  </si>
  <si>
    <t>Coast to Coast AM airs on more than 640 stations.</t>
  </si>
  <si>
    <t>Future leader Ministry of Truth, Father, Outdoorsman, Meme War General, founder: MxM News, Field Ethos Journal, Winning Team Publishing Pronouns: The/she/it</t>
  </si>
  <si>
    <t>I’ve been doing great, I cant complain</t>
  </si>
  <si>
    <t>45th President of the United States of America_xD83C__xDDFA__xD83C__xDDF8_</t>
  </si>
  <si>
    <t>Of the Bridge Troll genus, Lower Cascadian variety.</t>
  </si>
  <si>
    <t>Connected Action applies social science methods to social media strategy &amp; reporting. We provide maps &amp; measures of social media spaces to guide investment.</t>
  </si>
  <si>
    <t>Big stories and breaking news headlines as they are published on https://t.co/EYmAcRLBHv. Register here to access free articles: https://t.co/NRg2hritkA</t>
  </si>
  <si>
    <t>The voice of #investors in privately held companies in #Europe - investing €111 billion a year in European firms. #PrivateEquity #VentureCapital #Infrastructure</t>
  </si>
  <si>
    <t>House Committee on Oversight and Accountability 
Est. 1814 | Chairman @RepJamesComer</t>
  </si>
  <si>
    <t>A retired brand marketing professional. A declared Independent with a decided Conservative lean. Love: being American. Support politics of respectability</t>
  </si>
  <si>
    <t>Health Care IT Consultant and Blogger,Discussing PHR, EHR, Health Technology, And Ducks</t>
  </si>
  <si>
    <t>Private investor: #FamilyOffice • #PrivateEquity • #VC • #ActivistInvestor • #CorpGov • #HedgeFunds • #ImpInv</t>
  </si>
  <si>
    <t>The most censored patriot on YouTube ☦️ | YT: https://t.co/QVNU7HIQ9F thedivewithjackson@gmail.com</t>
  </si>
  <si>
    <t>Sign up for our newsletters and alerts: https://t.co/QevH0DLisA | Got a tip? https://t.co/iXIigdOLPr | For WSJ customer support: https://t.co/DZgH9n4vAI</t>
  </si>
  <si>
    <t>Investor with a focus on ESG. 
Lived all over the place but since some years back in NL.
_xD83C__xDDF3__xD83C__xDDF1_ ✡️
Anonymous for the sake of others and (maybe) because of you.</t>
  </si>
  <si>
    <t>#DarkTriad; #Muse; #LawNerd; #BigDataAnalyst; displaced factory worker; #Aries; ex-Apparel Engineer; MFA; CSC Paralegal; pro bono lobbyist for the exploited</t>
  </si>
  <si>
    <t>I want to be a great data engineer! Thus any help and information of your's or mine would be exchanged and public so everyone become a great data engineer❤️</t>
  </si>
  <si>
    <t>#DataScience || #DataAnalytics || #RStats || #Python || #MachineLearning || #Graphs || Lover of @neo4j || Keeping an eye on @Bluesky || Happy to meet you! _xD83D__xDE09_</t>
  </si>
  <si>
    <t>Connecting Data, People &amp; Ideas since 2016. Using relationships, meaning, context in Data to achieve great things #KnowledgeGraph #GraphDB #AI #semantic #tech</t>
  </si>
  <si>
    <t>OpenAlex is an open index of the global research system.
Made with ❤️ by @OurResearch_org.</t>
  </si>
  <si>
    <t>Himedan(jo?)shi | SNA JALAN LAGIII!!!</t>
  </si>
  <si>
    <t>Menteri Pertahanan Republik Indonesia.</t>
  </si>
  <si>
    <t>“Tuanku ya Rakyat, Jabatan cuma Mandat” IG: ganjar_pranowo</t>
  </si>
  <si>
    <t>Akun resmi Anies Baswedan, warga @DKIJakarta. Dikelola oleh tim, kicauan pribadi ditandai - ABW.</t>
  </si>
  <si>
    <t>Lecturer of Communication Science,Head of Digital Media Lab., Doctoral Student in Communication Sciences, Big Data (Social Media) Researcher, Founder of ASIGTA.</t>
  </si>
  <si>
    <t>Tieteiden,tutkimuksen ja sivistyksen puolesta! Julkaisupäällikkö, Tieteellisten seurain valtuuskunta.</t>
  </si>
  <si>
    <t>Senior Research Fellow @TampereUni // CTO @arvova // #rajapinta #datascience #avointiede #syyskuunhaku #atkhommat // _xD83D__xDCF7_: @mansentiikeri // Слава Україні!</t>
  </si>
  <si>
    <t>I love life.</t>
  </si>
  <si>
    <t>Help companies to Built &amp; Implement AI | Research #WebX.0 #AutonomousCar #Intelligence-as-a-Service | Author, Inventor, Speaker, Mentor | Founder Fisheyebox</t>
  </si>
  <si>
    <t>I RT and support #Poets #writers #authors
Have you Met My Mother 
@Lubna_lalegal❤️
THINK Publishers @Amazon &amp; @Medium
Submissions: thinkpublication@gmail.com
⬇</t>
  </si>
  <si>
    <t>Gain the knowledge and skills for an AI career.</t>
  </si>
  <si>
    <t>PECB is a certification body which provides education and professional certifications under ISO/IEC 17024 for individuals on a wide range of disciplines.</t>
  </si>
  <si>
    <t>PhD Physics, co-founder https://t.co/wj2M92uYpn. Predicting behavior and elections with AI.</t>
  </si>
  <si>
    <t>Shaping and Sharing the Potential of Artificial Intelligence. MKAI is a diverse AI community working together to make AI more inclusive.</t>
  </si>
  <si>
    <t>The auto industry's leading business publication - award-winning coverage from boardroom to showroom. @First_Shift @AutoNewsTV @AutoNewsEurope @AutoNewsCanada</t>
  </si>
  <si>
    <t>Join 50k in our "Learn AI Together" community https://t.co/yW0yYVKQij. | 2k write &amp; 400k follow our AI blogs | 100k newsletter subs: https://t.co/lU2KLCRvwo</t>
  </si>
  <si>
    <t>We specialise in providing Influencer Relationship Management software and supporting professional services to help brands run influencer marketing campaigns</t>
  </si>
  <si>
    <t>INDIAai is the National Portal on Artificial Intelligence - a central hub for everything AI in India &amp; beyond. A joint initiative of MeitY, NeGD &amp; nasscom</t>
  </si>
  <si>
    <t>The World's Premier Thought Leader Platform, Community &amp; B2B Services Marketplace | The World's Top Experts. On Demand.</t>
  </si>
  <si>
    <t>#VivaTech is Europe’s biggest startup &amp; tech event |_xD83D__xDCCD_Paris: June 14-17, 2023 |_xD83D__xDCA1_Daily fix of tech &amp; startup news, insights &amp; innovations!</t>
  </si>
  <si>
    <t>Official Handle of world's first to market, largest and undisputed number one IoT Community. Join us at https://t.co/EZOqxrIndj aka @IoTChannel. #IoTCommunity</t>
  </si>
  <si>
    <t>#Autonomous #Vehicles:
Welcome to the robot on the road revolution!  _xD83D__xDE9A__xD83D__xDE97__xD83D__xDE8C_  And not just on the road..._xD83D__xDE9C_ _xD83D__xDE81__xD83D__xDEE5_  Stay up to date with us. ▶️english ▶️ italiano</t>
  </si>
  <si>
    <t>We love #Invention &amp; #Innovation, work on them @FishEyeBox™ | Research &amp; Develop in #AI #AutonomousDriving #SelfDrivingCars #ADAS #MetaVerse #ESG #WebX.0.</t>
  </si>
  <si>
    <t>Welcome to the Biden-Harris White House! Tweets may be archived: https://t.co/UbZQo0sWVf</t>
  </si>
  <si>
    <t>Green Beret-turned co-founder of 1st Amendment Praetorian, author (The Pact trilogy &amp; Love Me When I'm Gone), entrepreneur, political junkie, investor &amp; MBA</t>
  </si>
  <si>
    <t>Designing &amp; building things @X</t>
  </si>
  <si>
    <t>Paranormal</t>
  </si>
  <si>
    <t>mastodon.gougere.fr/@mich</t>
  </si>
  <si>
    <t>fierbmi.com</t>
  </si>
  <si>
    <t>aejmc.us/end/</t>
  </si>
  <si>
    <t>aejmc.us/comsher/</t>
  </si>
  <si>
    <t>aejmc.us/PRD/</t>
  </si>
  <si>
    <t>aejmc.us/law/</t>
  </si>
  <si>
    <t>mollyyanity.com</t>
  </si>
  <si>
    <t>bradleywilsononline.net</t>
  </si>
  <si>
    <t>aejmc.us/csw/</t>
  </si>
  <si>
    <t>aejmc.us/news/</t>
  </si>
  <si>
    <t>twitter.com/Charpy73/statu…</t>
  </si>
  <si>
    <t>navy.mil</t>
  </si>
  <si>
    <t>splcenter.org/hatewatch</t>
  </si>
  <si>
    <t>adl.org/about/who-we-a…</t>
  </si>
  <si>
    <t>tucows.com</t>
  </si>
  <si>
    <t>michaeljknowles.com</t>
  </si>
  <si>
    <t>shop.beyonce.com/products/ameri…</t>
  </si>
  <si>
    <t>loc.gov</t>
  </si>
  <si>
    <t>research.ibm.com</t>
  </si>
  <si>
    <t>ocw.mit.edu</t>
  </si>
  <si>
    <t>home.unicode.org</t>
  </si>
  <si>
    <t>wikipedia.org</t>
  </si>
  <si>
    <t>facebook.com/humbertoulivar…</t>
  </si>
  <si>
    <t>myspace.com/hulivar</t>
  </si>
  <si>
    <t>youtube.com/catchupcatchup</t>
  </si>
  <si>
    <t>podcasts.apple.com/us/podcast/hum</t>
  </si>
  <si>
    <t>podcasts.apple.com/us/podcast/hum…</t>
  </si>
  <si>
    <t>Blacklivesmatter.com</t>
  </si>
  <si>
    <t>andy-ngo.com</t>
  </si>
  <si>
    <t>twitter.com/about/security</t>
  </si>
  <si>
    <t>youtube.com</t>
  </si>
  <si>
    <t>lsu.edu/manship/people…</t>
  </si>
  <si>
    <t>aejmc.us/icd/</t>
  </si>
  <si>
    <t>mcu.ac.in</t>
  </si>
  <si>
    <t>facebook.com/rishibagree/</t>
  </si>
  <si>
    <t>theworldranking.com</t>
  </si>
  <si>
    <t>aninews.in</t>
  </si>
  <si>
    <t>boltahindustan.com</t>
  </si>
  <si>
    <t>inc.in</t>
  </si>
  <si>
    <t>presidentofindia.nic.in</t>
  </si>
  <si>
    <t>scholar.google.co.in/citations?user…</t>
  </si>
  <si>
    <t>une.edu.au/about-une/facu…</t>
  </si>
  <si>
    <t>phdvoice.org</t>
  </si>
  <si>
    <t>tandfonline.com</t>
  </si>
  <si>
    <t>youtube.com/channel/UCxWuR…</t>
  </si>
  <si>
    <t>linktr.ee/academicchatter</t>
  </si>
  <si>
    <t>drasmajabeen.com</t>
  </si>
  <si>
    <t>koneensaatio.fi</t>
  </si>
  <si>
    <t>jyu.fi/fi</t>
  </si>
  <si>
    <t>oulu.fi</t>
  </si>
  <si>
    <t>tuni.fi</t>
  </si>
  <si>
    <t>utu.fi</t>
  </si>
  <si>
    <t>uef.fi</t>
  </si>
  <si>
    <t>aka.fi</t>
  </si>
  <si>
    <t>helsinki.fi</t>
  </si>
  <si>
    <t>nasima.fi</t>
  </si>
  <si>
    <t>thl.fi</t>
  </si>
  <si>
    <t>sdp.fi</t>
  </si>
  <si>
    <t>annikasaarikko.fi</t>
  </si>
  <si>
    <t>petralaiti.com</t>
  </si>
  <si>
    <t>piritanakkalajarvi.com</t>
  </si>
  <si>
    <t>keskusta.fi</t>
  </si>
  <si>
    <t>linktr.ee/HerSport</t>
  </si>
  <si>
    <t>k-j-t.com</t>
  </si>
  <si>
    <t>instagram.com/cinguetterai/</t>
  </si>
  <si>
    <t>streamlineathletes.com</t>
  </si>
  <si>
    <t>worldathletics.org/inside-track</t>
  </si>
  <si>
    <t>about.me/dejiadesogan</t>
  </si>
  <si>
    <t>liisajaakonsaari.fi</t>
  </si>
  <si>
    <t>sofiavirta.fi</t>
  </si>
  <si>
    <t>joakimvigelius.fi</t>
  </si>
  <si>
    <t>leenameri.fi</t>
  </si>
  <si>
    <t>akt.fi</t>
  </si>
  <si>
    <t>anna-maja.fi</t>
  </si>
  <si>
    <t>facebook.com/mpeltokangas</t>
  </si>
  <si>
    <t>kokoomus.fi</t>
  </si>
  <si>
    <t>riikkapurra.net</t>
  </si>
  <si>
    <t>sfp.fi</t>
  </si>
  <si>
    <t>halla-aho.com/scripta/</t>
  </si>
  <si>
    <t>perussuomalaiset.fi</t>
  </si>
  <si>
    <t>projectmerge.org</t>
  </si>
  <si>
    <t>twitch.tv/datalgo</t>
  </si>
  <si>
    <t>benjaminstrick.com</t>
  </si>
  <si>
    <t>clementlevallois.net</t>
  </si>
  <si>
    <t>reticular.hypotheses.org</t>
  </si>
  <si>
    <t>mergebcdg.com</t>
  </si>
  <si>
    <t>app.rocketbot.pro</t>
  </si>
  <si>
    <t>gephi.org</t>
  </si>
  <si>
    <t>orpo.fi</t>
  </si>
  <si>
    <t>meemmevaikene.fi</t>
  </si>
  <si>
    <t>ullakaukola.fi</t>
  </si>
  <si>
    <t>tuomim.wordpress.com</t>
  </si>
  <si>
    <t>sannamarin.net</t>
  </si>
  <si>
    <t>liandersson.fi</t>
  </si>
  <si>
    <t>matiasmakynen.fi</t>
  </si>
  <si>
    <t>mariholopainen.fi</t>
  </si>
  <si>
    <t>tem.fi</t>
  </si>
  <si>
    <t>gtk.fi</t>
  </si>
  <si>
    <t>sll.fi</t>
  </si>
  <si>
    <t>suomalainen.com/products/sodan…</t>
  </si>
  <si>
    <t>facebook.com/heinavesipro/</t>
  </si>
  <si>
    <t>mt.fi</t>
  </si>
  <si>
    <t>mariaohisalo.fi</t>
  </si>
  <si>
    <t>metsa.fi</t>
  </si>
  <si>
    <t>metsakeskus.fi</t>
  </si>
  <si>
    <t>greenpeace.fi</t>
  </si>
  <si>
    <t>luke.fi</t>
  </si>
  <si>
    <t>luonnonperintosaatio.fi</t>
  </si>
  <si>
    <t>awi.de/impressum/</t>
  </si>
  <si>
    <t>awi.de/en/</t>
  </si>
  <si>
    <t>reuters.com</t>
  </si>
  <si>
    <t>lafuerzadelcorazon.net</t>
  </si>
  <si>
    <t>siberiantimes.com</t>
  </si>
  <si>
    <t>alejandrosanz.com</t>
  </si>
  <si>
    <t>greenpeace.es</t>
  </si>
  <si>
    <t>climateemergencyinstitute.com</t>
  </si>
  <si>
    <t>turetskylab.com</t>
  </si>
  <si>
    <t>fiia.fi</t>
  </si>
  <si>
    <t>spektaakkeliyhteiskunta.wordpress.com</t>
  </si>
  <si>
    <t>dw.com</t>
  </si>
  <si>
    <t>hs.fi</t>
  </si>
  <si>
    <t>instagram.com/laurilinden</t>
  </si>
  <si>
    <t>yle.fi</t>
  </si>
  <si>
    <t>fiia.fi/en/expert/minn…</t>
  </si>
  <si>
    <t>blogs.helsinki.fi/teivaine/</t>
  </si>
  <si>
    <t>radford.edu/content/chbs/h…</t>
  </si>
  <si>
    <t>prodomosua.it</t>
  </si>
  <si>
    <t>bit.ly/3dWRkWm</t>
  </si>
  <si>
    <t>amzn.to/3DHnuRf</t>
  </si>
  <si>
    <t>truescope.com/contact</t>
  </si>
  <si>
    <t>sprinklr.com/contact-us/</t>
  </si>
  <si>
    <t>researchgate.net/profile/Rosa_D…</t>
  </si>
  <si>
    <t>raulpacheco.org</t>
  </si>
  <si>
    <t>mastersindigitalmarketing.org/book/</t>
  </si>
  <si>
    <t>annenberg.usc.edu/faculty/journa…</t>
  </si>
  <si>
    <t>alexfenton.co.uk</t>
  </si>
  <si>
    <t>eventbrite.com/o/social-media…</t>
  </si>
  <si>
    <t>nedamaghbouleh.com</t>
  </si>
  <si>
    <t>michaelrosino.com</t>
  </si>
  <si>
    <t>timrecuber.com</t>
  </si>
  <si>
    <t>ericklinenberg.com</t>
  </si>
  <si>
    <t>linktr.ee/ucpress</t>
  </si>
  <si>
    <t>emancipatorysciences.ucsf.edu</t>
  </si>
  <si>
    <t>sup.org/books/title/?i…</t>
  </si>
  <si>
    <t>asanet.org</t>
  </si>
  <si>
    <t>narendramodi.in</t>
  </si>
  <si>
    <t>rvcj.com</t>
  </si>
  <si>
    <t>dubai.ae</t>
  </si>
  <si>
    <t>instagram.com/meghupdates?ig…</t>
  </si>
  <si>
    <t>Instagram.com/latestinspace</t>
  </si>
  <si>
    <t>instagram.com/erbmjha</t>
  </si>
  <si>
    <t>isro.gov.in</t>
  </si>
  <si>
    <t>gzconsulting.org</t>
  </si>
  <si>
    <t>linktr.ee/g2dotcom</t>
  </si>
  <si>
    <t>trustradius.com</t>
  </si>
  <si>
    <t>bit.ly/ZoomInfo</t>
  </si>
  <si>
    <t>DemandGenReport.com</t>
  </si>
  <si>
    <t>techtarget.com</t>
  </si>
  <si>
    <t>Intentsify.io</t>
  </si>
  <si>
    <t>bombora.com</t>
  </si>
  <si>
    <t>forrester.com</t>
  </si>
  <si>
    <t>soundcloud.com/sms0499154500</t>
  </si>
  <si>
    <t>linkedin.com/in/mattprince1</t>
  </si>
  <si>
    <t>spj.org</t>
  </si>
  <si>
    <t>suzannemims.wixsite.com/mimspr</t>
  </si>
  <si>
    <t>linkedin.com/pub/michael-ba…</t>
  </si>
  <si>
    <t>about.me/ohradiogirl</t>
  </si>
  <si>
    <t>linktr.ee/kfreberg</t>
  </si>
  <si>
    <t>connectedaction.net</t>
  </si>
  <si>
    <t>youtube.com/channel/UCIQ7Q…</t>
  </si>
  <si>
    <t>vivianfrancos.com</t>
  </si>
  <si>
    <t>microstrategy.com</t>
  </si>
  <si>
    <t>btctherapy.io/subscribe</t>
  </si>
  <si>
    <t>youtube.com/@BitcoinNewsCom</t>
  </si>
  <si>
    <t>bit.ly/43reSv3</t>
  </si>
  <si>
    <t>bitcoin.org/bitcoin.pdf</t>
  </si>
  <si>
    <t>watcher.guru</t>
  </si>
  <si>
    <t>BitcoinMagazine.com</t>
  </si>
  <si>
    <t>bit.ly/2J9R3mm</t>
  </si>
  <si>
    <t>tribel.com/rainbownavy</t>
  </si>
  <si>
    <t>lnkd.in/TW</t>
  </si>
  <si>
    <t>linktr.ee/tinopfaff</t>
  </si>
  <si>
    <t>shaziaiqbal.wixsite.com/iqbalnotes</t>
  </si>
  <si>
    <t>ltb.io/eposters/</t>
  </si>
  <si>
    <t>alittletotheright.org</t>
  </si>
  <si>
    <t>ConfidentSpeaking.us</t>
  </si>
  <si>
    <t>keyofcg.com/linktree</t>
  </si>
  <si>
    <t>SeeChrisLive.com</t>
  </si>
  <si>
    <t>youtube.com/channel/UC3Xfc…</t>
  </si>
  <si>
    <t>EckmanGuides.com</t>
  </si>
  <si>
    <t>bonniegortler.com</t>
  </si>
  <si>
    <t>uk.linkedin.com/in/davemillner</t>
  </si>
  <si>
    <t>tbhcblog.blogspot.com</t>
  </si>
  <si>
    <t>youtube.com/user/hiqutipie</t>
  </si>
  <si>
    <t>ticketscene.ca/events/44365/</t>
  </si>
  <si>
    <t>davidgogo.com</t>
  </si>
  <si>
    <t>ainafer.cat</t>
  </si>
  <si>
    <t>davidpgraell.com</t>
  </si>
  <si>
    <t>krassenstein.news</t>
  </si>
  <si>
    <t>mikepompeo.com</t>
  </si>
  <si>
    <t>defendwikileaks.org</t>
  </si>
  <si>
    <t>facebook.com/stella.moris.7…</t>
  </si>
  <si>
    <t>linktr.ee/donaldjtrumpjr</t>
  </si>
  <si>
    <t>DonaldJTrump.com</t>
  </si>
  <si>
    <t>ft.com</t>
  </si>
  <si>
    <t>investeurope.eu</t>
  </si>
  <si>
    <t>oversight.house.gov</t>
  </si>
  <si>
    <t>about.me/Barbara.Duck</t>
  </si>
  <si>
    <t>linktr.ee/jacksonhinkle</t>
  </si>
  <si>
    <t>wsj.com</t>
  </si>
  <si>
    <t>redesignyourthinking.blog/about/ceo/</t>
  </si>
  <si>
    <t>linkedin.com/in/arash-rooha…</t>
  </si>
  <si>
    <t>linkedin.com/in/ifeanyi-idi…</t>
  </si>
  <si>
    <t>connected-data.world</t>
  </si>
  <si>
    <t>openalex.org</t>
  </si>
  <si>
    <t>FB.com/PrabowoSubianto</t>
  </si>
  <si>
    <t>ganjarpranowo.com</t>
  </si>
  <si>
    <t>linktr.ee/anies.baswedan</t>
  </si>
  <si>
    <t>linktr.ee/Irwan.dwi.aria…</t>
  </si>
  <si>
    <t>linkedin.com/in/pinakilaska…</t>
  </si>
  <si>
    <t>medium.com/think-ing</t>
  </si>
  <si>
    <t>pecb.com</t>
  </si>
  <si>
    <t>kcore-analytics.com</t>
  </si>
  <si>
    <t>sociatap.com/mkai_org/</t>
  </si>
  <si>
    <t>autonews.com</t>
  </si>
  <si>
    <t>towardsai.net</t>
  </si>
  <si>
    <t>onalytica.com</t>
  </si>
  <si>
    <t>indiaai.gov.in</t>
  </si>
  <si>
    <t>thinkers360.com</t>
  </si>
  <si>
    <t>vivatechnology.com/?utm_campaign=…</t>
  </si>
  <si>
    <t>iotcommunity.net</t>
  </si>
  <si>
    <t>medium.com/@guidaautonoma</t>
  </si>
  <si>
    <t>fisheyebox.com</t>
  </si>
  <si>
    <t>wh.gov/resources</t>
  </si>
  <si>
    <t>1apraetorian.com</t>
  </si>
  <si>
    <t>https://t.co/2rk0YGZDDT https://t.co/Gy9XtSWik7</t>
  </si>
  <si>
    <t>https://t.co/fTrTAcgG5Z https://t.co/npJxqYzZQ8</t>
  </si>
  <si>
    <t>https://t.co/s8zNyD0a0Q https://t.co/1QzHF51N3Z</t>
  </si>
  <si>
    <t>https://t.co/IAGwZQtYm1 https://t.co/uMjsTspGo6</t>
  </si>
  <si>
    <t>https://t.co/UolRyaZlZi https://t.co/Q3K7buUqAI</t>
  </si>
  <si>
    <t>http://t.co/5dRFa89a http://t.co/KPxyHajJ</t>
  </si>
  <si>
    <t>https://t.co/KbbYe745r3 https://t.co/9Zlq0oHqyh https://t.co/4L1s0iwzQ6</t>
  </si>
  <si>
    <t>https://t.co/bPqBfkCi8O https://t.co/hsGG6zAmC9</t>
  </si>
  <si>
    <t>https://t.co/yyaMwgovcY https://t.co/v3sTyIdB9v https://t.co/X4mXn4fvYQ</t>
  </si>
  <si>
    <t>https://t.co/EYmAcRLBHv https://t.co/NRg2hritkA</t>
  </si>
  <si>
    <t>https://t.co/QevH0DLisA https://t.co/iXIigdOLPr https://t.co/DZgH9n4vAI</t>
  </si>
  <si>
    <t>https://t.co/yW0yYVKQij https://t.co/lU2KLCRvwo</t>
  </si>
  <si>
    <t>http://home.unicode.org/press/ https://unicode.org/emoji/proposals.html</t>
  </si>
  <si>
    <t>http://hackerone.com/twitter https://support.twitter.com/articles/20169</t>
  </si>
  <si>
    <t>http://facebook.com/MemingPhD http://instagram.com/memingphd/</t>
  </si>
  <si>
    <t>http://reticular.hypotheses.org http://math-empirique-jacomy.bandcamp.com</t>
  </si>
  <si>
    <t>http://instagram.com/isro.dos/ https://www.facebook.com/ISRO</t>
  </si>
  <si>
    <t>http://www.connectedaction.net http://smrfoundation.org</t>
  </si>
  <si>
    <t>http://Hope.com http://michael.com http://saylor.org</t>
  </si>
  <si>
    <t>http://bitcoinnews.com http://bitcoinnews.com/linktree</t>
  </si>
  <si>
    <t>http://b.tc/conference http://b.tc/store http://linktr.ee/btcinc</t>
  </si>
  <si>
    <t>http://FT.com https://www.ft.com/register?segmentid=88c4a000-9</t>
  </si>
  <si>
    <t>http://wsj.com/newsletters http://wsj.com/tips http://customercenter.wsj.com</t>
  </si>
  <si>
    <t>http://ws.towardsai.net/discord http://ws.towardsai.net/subscribe</t>
  </si>
  <si>
    <t>nodexlgraphgallery.org/Pages/Registra…</t>
  </si>
  <si>
    <t>tucowsdomains.com</t>
  </si>
  <si>
    <t>loc.gov/connect</t>
  </si>
  <si>
    <t>ibm.biz/BdMBhJ</t>
  </si>
  <si>
    <t>socialmediahub.mit.edu</t>
  </si>
  <si>
    <t>home.unicode.org/press/ unicode.org/emoji/proposal…</t>
  </si>
  <si>
    <t>w.wiki/b3f</t>
  </si>
  <si>
    <t>t.me/CultureWarRoom</t>
  </si>
  <si>
    <t>HumanEvents.com</t>
  </si>
  <si>
    <t>linktr.ee/andyngo</t>
  </si>
  <si>
    <t>hackerone.com/twitter support.twitter.com/articles/20169</t>
  </si>
  <si>
    <t>facebook.com/ANINEWS.IN</t>
  </si>
  <si>
    <t>facebook.com/MemingPhD instagram.com/memingphd/</t>
  </si>
  <si>
    <t>phdvoice.org/free-resources</t>
  </si>
  <si>
    <t>bit.ly/3mUq6Xi</t>
  </si>
  <si>
    <t>aka.fi/kysy</t>
  </si>
  <si>
    <t>luontoaconsulting.fi</t>
  </si>
  <si>
    <t>MergeBCDG.com</t>
  </si>
  <si>
    <t>youtube.com/Bendobrown</t>
  </si>
  <si>
    <t>nocodefunctions.com</t>
  </si>
  <si>
    <t>reticular.hypotheses.org math-empirique-jacomy.bandcamp.com</t>
  </si>
  <si>
    <t>rocket.art</t>
  </si>
  <si>
    <t>rwn.app.link/social</t>
  </si>
  <si>
    <t>alejandrosanz.com/events</t>
  </si>
  <si>
    <t>asiakaspalvelu.yle.fi/csp</t>
  </si>
  <si>
    <t>amzn.to/2UaIVcv</t>
  </si>
  <si>
    <t>bit.ly/3iHzoCB</t>
  </si>
  <si>
    <t>watson.brown.edu/people/faculty</t>
  </si>
  <si>
    <t>threads.net/@asanews</t>
  </si>
  <si>
    <t>t.me/MEGHUPDATES</t>
  </si>
  <si>
    <t>latestinspace.com</t>
  </si>
  <si>
    <t>instagram.com/isro.dos/ facebook.com/ISRO</t>
  </si>
  <si>
    <t>bit.ly/2Z7Yq2</t>
  </si>
  <si>
    <t>NetNetSynergy.com</t>
  </si>
  <si>
    <t>muckrack.com/kim-fox</t>
  </si>
  <si>
    <t>connectedaction.net smrfoundation.org</t>
  </si>
  <si>
    <t>Hope.com michael.com saylor.org</t>
  </si>
  <si>
    <t>bitcoinnews.com bitcoinnews.com/linktree</t>
  </si>
  <si>
    <t>b.tc/conference b.tc/store linktr.ee/btcinc</t>
  </si>
  <si>
    <t>gofund.me/fac0a4d6</t>
  </si>
  <si>
    <t>reverbnation.com/freebird3</t>
  </si>
  <si>
    <t>bit.ly/3Els35y</t>
  </si>
  <si>
    <t>FT.com ft.com/register?segme…</t>
  </si>
  <si>
    <t>youtube.com/@TheDivewithJa…</t>
  </si>
  <si>
    <t>wsj.com/newsletters wsj.com/tips customercenter.wsj.com</t>
  </si>
  <si>
    <t>ws.towardsai.net/discord ws.towardsai.net/subscribe</t>
  </si>
  <si>
    <t>whitehouse.gov/privacy</t>
  </si>
  <si>
    <t>regular</t>
  </si>
  <si>
    <t>none</t>
  </si>
  <si>
    <t>Open Twitter Page for This Person</t>
  </si>
  <si>
    <t>freylev
@ANIABELLO_R para los que preguntaron
si hicieron eso manualmente , ellos
usan NodeXL es el el programa automatizado
para espurgar las redes sociales
y los vínculos entre personas.
Lo terrible es no saber verificar
bien lo que hace el extractor de
información, irónicamente.</t>
  </si>
  <si>
    <t xml:space="preserve">aniabello_r
</t>
  </si>
  <si>
    <t>michbsd
Looking to map and understand social
media networks? NodeXL is a free
and open-source template that empowers
you to explore. A must-have in
your OSINT toolkit! Find it here:
[https://t.co/ZVqVOw2hOt] #SocialMediaAnalysis"</t>
  </si>
  <si>
    <t>anttigronow
@mihkal NodeXL pystyy vielä imuroimaan
ilmaiseksi twiittejä? Ja maksimina
20 000 kpl?</t>
  </si>
  <si>
    <t>mihkal
@SamiSyrjamaki @nodexl Tässä data
viime vuodelta https://t.co/oCQva9QpJe</t>
  </si>
  <si>
    <t>nassimretiere
@nodexl @AEJMC @aejmc_nond @CSW_AEJMC
@AejmcS @bradleywilson09 @mollyyanity
@AEJMC_LAWP @AEJMC_PRD @AEJMC_ComSHER
@AEJMC_BAMJ https://t.co/iuIb2y0UIi
are we realy safe on earth ?</t>
  </si>
  <si>
    <t xml:space="preserve">aejmc_bamj
</t>
  </si>
  <si>
    <t xml:space="preserve">aejmc_comsher
</t>
  </si>
  <si>
    <t xml:space="preserve">aejmc_prd
</t>
  </si>
  <si>
    <t xml:space="preserve">aejmc_lawp
</t>
  </si>
  <si>
    <t xml:space="preserve">mollyyanity
</t>
  </si>
  <si>
    <t xml:space="preserve">bradleywilson09
</t>
  </si>
  <si>
    <t xml:space="preserve">aejmcs
</t>
  </si>
  <si>
    <t xml:space="preserve">csw_aejmc
</t>
  </si>
  <si>
    <t xml:space="preserve">aejmc_nond
</t>
  </si>
  <si>
    <t>aejmc
A big thank you to all of our gracious
#AEJMC23 Conference sponsors! We
appreciate each of you! Without
you, this successful conference
would not have been possible. Thank
you! https://t.co/JU0rFBLsNi https://t.co/CeoYoT3xO6</t>
  </si>
  <si>
    <t>nodexl
NodeXL Pro has updated. Please
check the data import menu for
most recent data importers.</t>
  </si>
  <si>
    <t>charpy73
@lindayaX @elonmusk @XSecurity
@MrAndyNgo @nodexl @Blklivesmatter
@JackPosobiec @JackPosobiec__ @jackposobiec60
@jackposobiec456 @JackPosobiecc1
@Jackposobiec1 @stillgray @stillgray3
@StillgrayS65149 @hulivar @hulivaR6
@HUlivarri @hulivar2 @hulivar1
#ϘaNoN the altRight /pol/ Conspiracy
$ Greed https://t.co/sJIdJ6wNvt
note https://t.co/JlNWrnpEzX https://t.co/OuuhexkcVN
Graeco-Aryan-Koppa-#Symbol @Wikipedia
@unicode @MITOCW @IBMResearch @librarycongress
https://t.co/9KYtjM5R8J Quote Tweet</t>
  </si>
  <si>
    <t xml:space="preserve">usnavy
</t>
  </si>
  <si>
    <t xml:space="preserve">hatewatch
</t>
  </si>
  <si>
    <t xml:space="preserve">adl
</t>
  </si>
  <si>
    <t xml:space="preserve">tucows
</t>
  </si>
  <si>
    <t xml:space="preserve">twitter
</t>
  </si>
  <si>
    <t xml:space="preserve">michaeljknowles
</t>
  </si>
  <si>
    <t xml:space="preserve">beyonce
</t>
  </si>
  <si>
    <t xml:space="preserve">librarycongress
</t>
  </si>
  <si>
    <t xml:space="preserve">ibmresearch
</t>
  </si>
  <si>
    <t xml:space="preserve">mitocw
</t>
  </si>
  <si>
    <t xml:space="preserve">unicode
</t>
  </si>
  <si>
    <t xml:space="preserve">wikipedia
</t>
  </si>
  <si>
    <t xml:space="preserve">hulivar1
</t>
  </si>
  <si>
    <t xml:space="preserve">hulivar2
</t>
  </si>
  <si>
    <t xml:space="preserve">hulivarri
</t>
  </si>
  <si>
    <t xml:space="preserve">hulivar6
</t>
  </si>
  <si>
    <t xml:space="preserve">hulivar
</t>
  </si>
  <si>
    <t xml:space="preserve">stillgrays65149
</t>
  </si>
  <si>
    <t xml:space="preserve">stillgray3
</t>
  </si>
  <si>
    <t xml:space="preserve">stillgray
</t>
  </si>
  <si>
    <t xml:space="preserve">jackposobiec1
</t>
  </si>
  <si>
    <t xml:space="preserve">jackposobiec456
</t>
  </si>
  <si>
    <t xml:space="preserve">jackposobiec60
</t>
  </si>
  <si>
    <t xml:space="preserve">jackposobiec__
</t>
  </si>
  <si>
    <t xml:space="preserve">jackposobiec
</t>
  </si>
  <si>
    <t xml:space="preserve">blklivesmatter
</t>
  </si>
  <si>
    <t xml:space="preserve">mrandyngo
</t>
  </si>
  <si>
    <t xml:space="preserve">xsecurity
</t>
  </si>
  <si>
    <t xml:space="preserve">lindayax
</t>
  </si>
  <si>
    <t>elonmusk
@liuyuxxd We are working on semantic
(AI) search. Will show posts of
X that match the meaning of your
search, not just the text.</t>
  </si>
  <si>
    <t xml:space="preserve">youtube
</t>
  </si>
  <si>
    <t xml:space="preserve">willthewordguy
</t>
  </si>
  <si>
    <t xml:space="preserve">icd_aejmc
</t>
  </si>
  <si>
    <t xml:space="preserve">kg_suresh
</t>
  </si>
  <si>
    <t xml:space="preserve">politics_2022_
</t>
  </si>
  <si>
    <t xml:space="preserve">rishibagree
</t>
  </si>
  <si>
    <t xml:space="preserve">worldranking_
</t>
  </si>
  <si>
    <t xml:space="preserve">ani
</t>
  </si>
  <si>
    <t xml:space="preserve">boltahindustan
</t>
  </si>
  <si>
    <t xml:space="preserve">incindia
</t>
  </si>
  <si>
    <t xml:space="preserve">rashtrapatibhvn
</t>
  </si>
  <si>
    <t xml:space="preserve">indiahistorypic
</t>
  </si>
  <si>
    <t xml:space="preserve">memingphd
</t>
  </si>
  <si>
    <t xml:space="preserve">imilindsolanki
</t>
  </si>
  <si>
    <t xml:space="preserve">hgupta84
</t>
  </si>
  <si>
    <t xml:space="preserve">popcultureune
</t>
  </si>
  <si>
    <t xml:space="preserve">phdvoice
</t>
  </si>
  <si>
    <t xml:space="preserve">tandfonline
</t>
  </si>
  <si>
    <t xml:space="preserve">davaku
</t>
  </si>
  <si>
    <t xml:space="preserve">seguracardio
</t>
  </si>
  <si>
    <t xml:space="preserve">academicchatter
</t>
  </si>
  <si>
    <t xml:space="preserve">drasmajabeen1
</t>
  </si>
  <si>
    <t xml:space="preserve">koneensaatio
</t>
  </si>
  <si>
    <t xml:space="preserve">uniofjyvaskyla
</t>
  </si>
  <si>
    <t xml:space="preserve">unioulu
</t>
  </si>
  <si>
    <t xml:space="preserve">tampereuni
</t>
  </si>
  <si>
    <t xml:space="preserve">uniturku
</t>
  </si>
  <si>
    <t xml:space="preserve">unieastfinland
</t>
  </si>
  <si>
    <t xml:space="preserve">suomenakatemia
</t>
  </si>
  <si>
    <t xml:space="preserve">tapiomaatta
</t>
  </si>
  <si>
    <t xml:space="preserve">helsinkiuni
</t>
  </si>
  <si>
    <t xml:space="preserve">kasvismafioso
</t>
  </si>
  <si>
    <t xml:space="preserve">nasimarazmyar
</t>
  </si>
  <si>
    <t xml:space="preserve">mluonuansuu
</t>
  </si>
  <si>
    <t xml:space="preserve">annepauna
</t>
  </si>
  <si>
    <t xml:space="preserve">jacquesboissons
</t>
  </si>
  <si>
    <t xml:space="preserve">mika_salminen
</t>
  </si>
  <si>
    <t xml:space="preserve">demarit
</t>
  </si>
  <si>
    <t xml:space="preserve">annikasaarikko
</t>
  </si>
  <si>
    <t xml:space="preserve">karnamikko
</t>
  </si>
  <si>
    <t xml:space="preserve">petralaiti
</t>
  </si>
  <si>
    <t xml:space="preserve">inkamusta
</t>
  </si>
  <si>
    <t xml:space="preserve">biret
</t>
  </si>
  <si>
    <t xml:space="preserve">keskusta
</t>
  </si>
  <si>
    <t xml:space="preserve">hersportdotie
</t>
  </si>
  <si>
    <t xml:space="preserve">bamulanzeki
</t>
  </si>
  <si>
    <t xml:space="preserve">johnsonthompson
</t>
  </si>
  <si>
    <t xml:space="preserve">ferdiomanyala
</t>
  </si>
  <si>
    <t xml:space="preserve">alvaroatletismo
</t>
  </si>
  <si>
    <t xml:space="preserve">cinguetterai
</t>
  </si>
  <si>
    <t xml:space="preserve">brett_nineone
</t>
  </si>
  <si>
    <t xml:space="preserve">worldathletics
</t>
  </si>
  <si>
    <t xml:space="preserve">joshuacheptege1
</t>
  </si>
  <si>
    <t xml:space="preserve">dejiadesogan
</t>
  </si>
  <si>
    <t xml:space="preserve">ljaakonsaari
</t>
  </si>
  <si>
    <t xml:space="preserve">virtasofia
</t>
  </si>
  <si>
    <t xml:space="preserve">joakimvigelius
</t>
  </si>
  <si>
    <t xml:space="preserve">leena_meri
</t>
  </si>
  <si>
    <t xml:space="preserve">kokkoismo
</t>
  </si>
  <si>
    <t xml:space="preserve">anna_maja
</t>
  </si>
  <si>
    <t xml:space="preserve">mauripeltokang2
</t>
  </si>
  <si>
    <t xml:space="preserve">kokoomus
</t>
  </si>
  <si>
    <t xml:space="preserve">ir_rkp
</t>
  </si>
  <si>
    <t xml:space="preserve">sfprkp
</t>
  </si>
  <si>
    <t xml:space="preserve">halla_aho
</t>
  </si>
  <si>
    <t xml:space="preserve">persut
</t>
  </si>
  <si>
    <t>dfwplay
@mihkal @Gephi @TheProjectMerge
@rocketbotpro @MergeBCDG @jacomyma
@nodexl @seinecle @BenDoBrown @nicolasbchb
@elonmusk put the kabobs on https://t.co/chyoM6kJZc
API access</t>
  </si>
  <si>
    <t xml:space="preserve">nicolasbchb
</t>
  </si>
  <si>
    <t xml:space="preserve">bendobrown
</t>
  </si>
  <si>
    <t xml:space="preserve">seinecle
</t>
  </si>
  <si>
    <t xml:space="preserve">jacomyma
</t>
  </si>
  <si>
    <t xml:space="preserve">mergebcdg
</t>
  </si>
  <si>
    <t xml:space="preserve">rocketbotpro
</t>
  </si>
  <si>
    <t xml:space="preserve">theprojectmerge
</t>
  </si>
  <si>
    <t xml:space="preserve">gephi
</t>
  </si>
  <si>
    <t xml:space="preserve">tuulimukka2
</t>
  </si>
  <si>
    <t xml:space="preserve">petteriorpo
</t>
  </si>
  <si>
    <t xml:space="preserve">meemmevaikene
</t>
  </si>
  <si>
    <t xml:space="preserve">ullakaukola
</t>
  </si>
  <si>
    <t xml:space="preserve">mustapipa
</t>
  </si>
  <si>
    <t xml:space="preserve">marinsanna
</t>
  </si>
  <si>
    <t xml:space="preserve">liandersson
</t>
  </si>
  <si>
    <t xml:space="preserve">matiasmakynen
</t>
  </si>
  <si>
    <t xml:space="preserve">mariholopainen
</t>
  </si>
  <si>
    <t xml:space="preserve">tem_uutiset
</t>
  </si>
  <si>
    <t xml:space="preserve">gtk_fi
</t>
  </si>
  <si>
    <t xml:space="preserve">sipimikko
</t>
  </si>
  <si>
    <t xml:space="preserve">tapaniveistola
</t>
  </si>
  <si>
    <t xml:space="preserve">riikkarppinen
</t>
  </si>
  <si>
    <t xml:space="preserve">pro_heinavesi
</t>
  </si>
  <si>
    <t xml:space="preserve">hannahalmeenpaa
</t>
  </si>
  <si>
    <t xml:space="preserve">luonnonsuojelu
</t>
  </si>
  <si>
    <t xml:space="preserve">maastul
</t>
  </si>
  <si>
    <t xml:space="preserve">mariaohisalo
</t>
  </si>
  <si>
    <t xml:space="preserve">metsahallitus
</t>
  </si>
  <si>
    <t xml:space="preserve">metsakeskus
</t>
  </si>
  <si>
    <t xml:space="preserve">greenpeacesuomi
</t>
  </si>
  <si>
    <t xml:space="preserve">lukefinland
</t>
  </si>
  <si>
    <t xml:space="preserve">harriholtta
</t>
  </si>
  <si>
    <t xml:space="preserve">luonnonperinto
</t>
  </si>
  <si>
    <t xml:space="preserve">awi_de
</t>
  </si>
  <si>
    <t xml:space="preserve">awi_media
</t>
  </si>
  <si>
    <t xml:space="preserve">reuters
</t>
  </si>
  <si>
    <t xml:space="preserve">lfdcesmas
</t>
  </si>
  <si>
    <t xml:space="preserve">siberian_times
</t>
  </si>
  <si>
    <t xml:space="preserve">alejandrosanz
</t>
  </si>
  <si>
    <t xml:space="preserve">greenpeace_esp
</t>
  </si>
  <si>
    <t xml:space="preserve">pcarterclimate
</t>
  </si>
  <si>
    <t xml:space="preserve">queenofpeat
</t>
  </si>
  <si>
    <t xml:space="preserve">charlyjsp
</t>
  </si>
  <si>
    <t xml:space="preserve">eerolasami
</t>
  </si>
  <si>
    <t xml:space="preserve">dwnews
</t>
  </si>
  <si>
    <t xml:space="preserve">hsfi
</t>
  </si>
  <si>
    <t xml:space="preserve">lauri_linden
</t>
  </si>
  <si>
    <t xml:space="preserve">dimmu141
</t>
  </si>
  <si>
    <t xml:space="preserve">yleuutiset
</t>
  </si>
  <si>
    <t xml:space="preserve">minna_alander
</t>
  </si>
  <si>
    <t xml:space="preserve">teivoteivainen
</t>
  </si>
  <si>
    <t>smart_lab_ru
_xD83D__xDCDA_ New semester, new horizons!
Welcome back to an exciting SMART
semester. From research design
to powerful tools like Tableau,
Meltwater, and NodeXL, we're here
to fuel your academic journey.
Let's achieve excellence together!
#NewSemester #SMARTLab https://t.co/omvEK6VOB3</t>
  </si>
  <si>
    <t>diiityaardhi
I am using NodeXL to get insights
into networks! You can too! https://t.co/cdAl7MqX9C</t>
  </si>
  <si>
    <t>fromalias
#villatorlonia _xD83D__xDD34_ https://t.co/K5XDdqgcw2
ben fatto! #flora #botanica #sankey
#nodexl https://t.co/GNJJ3njSKj</t>
  </si>
  <si>
    <t xml:space="preserve">unosmlre
</t>
  </si>
  <si>
    <t>jeremyhl
The @nodexl X/Twitter data are
looking good …</t>
  </si>
  <si>
    <t xml:space="preserve">truescope_na
</t>
  </si>
  <si>
    <t xml:space="preserve">sprinklr
</t>
  </si>
  <si>
    <t>haokun_guo
This paper uses NodeXL analysis
to obtain data, and then uses Clauset-Newman-Moore
(CNM) algorithm and sentiment analysis
to get the conclusion that there
is almost no connection between
each cluster, and the stickiness
between users and clusters is insufficient.#phd</t>
  </si>
  <si>
    <t>yatebyalublyu
@NodeXLAcademy @nodexl @netnocon
@alexfenton @cristinavas @Kozinets
@AleksejHeinze @georgette_eaton
@MagdaMRaza @raulpacheco @lldesimone
Thank you very much.</t>
  </si>
  <si>
    <t xml:space="preserve">lldesimone
</t>
  </si>
  <si>
    <t xml:space="preserve">raulpacheco
</t>
  </si>
  <si>
    <t xml:space="preserve">magdamraza
</t>
  </si>
  <si>
    <t xml:space="preserve">georgette_eaton
</t>
  </si>
  <si>
    <t xml:space="preserve">aleksejheinze
</t>
  </si>
  <si>
    <t xml:space="preserve">kozinets
</t>
  </si>
  <si>
    <t xml:space="preserve">cristinavas
</t>
  </si>
  <si>
    <t xml:space="preserve">alexfenton
</t>
  </si>
  <si>
    <t xml:space="preserve">netnocon
</t>
  </si>
  <si>
    <t xml:space="preserve">nodexlacademy
</t>
  </si>
  <si>
    <t>smr_foundation
#SMProfs via NodeXL https://t.co/VjYyEtO0o8
@jeremyhl @kfreberg @kimfoxwosu
@michaelbathurst @shoutmgb @mimspr
@this0499154500 @spj_tweets @matt_prince
@reutsmichael1 Top hashtags: #SMProfs
#smc2024 #PRProfs #SMprofs #smpc2023
#smprofs #smle2022 #prprofs #ff
#aejmc22</t>
  </si>
  <si>
    <t xml:space="preserve">nedasoc
</t>
  </si>
  <si>
    <t xml:space="preserve">michaelrosino
</t>
  </si>
  <si>
    <t xml:space="preserve">timr100
</t>
  </si>
  <si>
    <t xml:space="preserve">ericklinenberg
</t>
  </si>
  <si>
    <t xml:space="preserve">prudencelcarter
</t>
  </si>
  <si>
    <t xml:space="preserve">ucpress
</t>
  </si>
  <si>
    <t xml:space="preserve">victorerikray
</t>
  </si>
  <si>
    <t xml:space="preserve">emancipatorylab
</t>
  </si>
  <si>
    <t xml:space="preserve">prof_kennedy
</t>
  </si>
  <si>
    <t xml:space="preserve">asanews
</t>
  </si>
  <si>
    <t xml:space="preserve">narendramodi
</t>
  </si>
  <si>
    <t xml:space="preserve">rvcj_fb
</t>
  </si>
  <si>
    <t xml:space="preserve">hsajwanization
</t>
  </si>
  <si>
    <t xml:space="preserve">vlkas_pr0nam0
</t>
  </si>
  <si>
    <t xml:space="preserve">meghupdates
</t>
  </si>
  <si>
    <t xml:space="preserve">roshankrraii
</t>
  </si>
  <si>
    <t xml:space="preserve">latestinspace
</t>
  </si>
  <si>
    <t xml:space="preserve">rajinikanth
</t>
  </si>
  <si>
    <t xml:space="preserve">erbmjha
</t>
  </si>
  <si>
    <t xml:space="preserve">isro
</t>
  </si>
  <si>
    <t xml:space="preserve">christinadstone
</t>
  </si>
  <si>
    <t xml:space="preserve">michael_r_levy
</t>
  </si>
  <si>
    <t xml:space="preserve">g2dotcom
</t>
  </si>
  <si>
    <t xml:space="preserve">trustradius
</t>
  </si>
  <si>
    <t xml:space="preserve">zoominfo
</t>
  </si>
  <si>
    <t xml:space="preserve">dg_report
</t>
  </si>
  <si>
    <t xml:space="preserve">techtarget
</t>
  </si>
  <si>
    <t xml:space="preserve">intentsify
</t>
  </si>
  <si>
    <t xml:space="preserve">bomboradata
</t>
  </si>
  <si>
    <t xml:space="preserve">forrester
</t>
  </si>
  <si>
    <t xml:space="preserve">reutsmichael1
</t>
  </si>
  <si>
    <t xml:space="preserve">matt_prince
</t>
  </si>
  <si>
    <t xml:space="preserve">spj_tweets
</t>
  </si>
  <si>
    <t xml:space="preserve">this0499154500
</t>
  </si>
  <si>
    <t xml:space="preserve">mimspr
</t>
  </si>
  <si>
    <t xml:space="preserve">shoutmgb
</t>
  </si>
  <si>
    <t xml:space="preserve">kimfoxwosu
</t>
  </si>
  <si>
    <t xml:space="preserve">kfreberg
</t>
  </si>
  <si>
    <t xml:space="preserve">marc_smith
</t>
  </si>
  <si>
    <t>michaelbathurst
Tuesday Treasures Worth Following
_xD83C__xDF1E_☀️_xD83C__xDF3B_ #tuesdayvibe #socialmedia
@2cshadowfox @DavidGogoBlues @kitchenerblues
@Hiqutipie @ginabella @Sunflwrgirl2
@HRCurator @Optiongirl @nodexl
@hanseckman @MarkBird17 #music
@ChrisMontMusic @chrisgalesmusic
@SimplyTimTV https://t.co/DQvec85PFh</t>
  </si>
  <si>
    <t>hashtagmarketi7
Audiences #linkedin via @nodexl
https://t.co/4YyLaFeHts by #SEOhashtag
@linkedin @tinopfaff @linkedinhelp
@elonmusk @therainbownavy2 @sivamurugappan
@whizz_ai @algoworks @301andi @tripplepunkt
Top hashtags: #LinkedIn #linkedin
#Linkedin #Twitter #socialmedia
#Facebook #X…</t>
  </si>
  <si>
    <t xml:space="preserve">btc_for_freedom
</t>
  </si>
  <si>
    <t xml:space="preserve">saylor
</t>
  </si>
  <si>
    <t xml:space="preserve">thebtctherapist
</t>
  </si>
  <si>
    <t xml:space="preserve">_jen_net_
</t>
  </si>
  <si>
    <t xml:space="preserve">freebycrypto
</t>
  </si>
  <si>
    <t xml:space="preserve">bitcoinnewscom
</t>
  </si>
  <si>
    <t xml:space="preserve">piergiorgio223
</t>
  </si>
  <si>
    <t xml:space="preserve">btcyn
</t>
  </si>
  <si>
    <t xml:space="preserve">watcherguru
</t>
  </si>
  <si>
    <t xml:space="preserve">bitcoinmagazine
</t>
  </si>
  <si>
    <t xml:space="preserve">tripplepunkt
</t>
  </si>
  <si>
    <t xml:space="preserve">301andi
</t>
  </si>
  <si>
    <t xml:space="preserve">algoworks
</t>
  </si>
  <si>
    <t xml:space="preserve">whizz_ai
</t>
  </si>
  <si>
    <t xml:space="preserve">sivamurugappan
</t>
  </si>
  <si>
    <t xml:space="preserve">therainbownavy2
</t>
  </si>
  <si>
    <t xml:space="preserve">linkedinhelp
</t>
  </si>
  <si>
    <t xml:space="preserve">tinopfaff
</t>
  </si>
  <si>
    <t xml:space="preserve">linkedin
</t>
  </si>
  <si>
    <t>shaziaiqbal2023
Do Join me at AMEE 2023 Glasgow.
buzzing to attend the event with
lot of net working. #AMEE2023 #medicaleducation
#NODEXL #socailmediamarketing #bigdatanalytics
Check out this great ePoster! https://t.co/zCkkrFp3Cc
#eposters #amee2023 via @LTBePosters</t>
  </si>
  <si>
    <t xml:space="preserve">ltbeposters
</t>
  </si>
  <si>
    <t>littletoright
@Sunflwrgirl2 @michaelbathurst
@2cshadowfox @DavidGogoBlues @kitchenerblues
@Hiqutipie @ginabella @HRCurator
@Optiongirl @nodexl @hanseckman
@MarkBird17 @ChrisMontMusic @chrisgalesmusic
@SimplyTimTV Reported. https://t.co/xl7LWuXgCT</t>
  </si>
  <si>
    <t xml:space="preserve">simplytimtv
</t>
  </si>
  <si>
    <t>chrisgalesmusic
@michaelbathurst @2cshadowfox @DavidGogoBlues
@kitchenerblues @Hiqutipie @ginabella
@Sunflwrgirl2 @HRCurator @Optiongirl
@nodexl @hanseckman @MarkBird17
@ChrisMontMusic @SimplyTimTV Thank
you so much @michaelbathurst .</t>
  </si>
  <si>
    <t>chrismontmusic
@michaelbathurst @2cshadowfox @DavidGogoBlues
@kitchenerblues @Hiqutipie @ginabella
@Sunflwrgirl2 @HRCurator @Optiongirl
@nodexl @hanseckman @MarkBird17
@chrisgalesmusic @SimplyTimTV Thank
you!</t>
  </si>
  <si>
    <t xml:space="preserve">markbird17
</t>
  </si>
  <si>
    <t xml:space="preserve">hanseckman
</t>
  </si>
  <si>
    <t xml:space="preserve">optiongirl
</t>
  </si>
  <si>
    <t xml:space="preserve">hrcurator
</t>
  </si>
  <si>
    <t xml:space="preserve">ginabella
</t>
  </si>
  <si>
    <t xml:space="preserve">hiqutipie
</t>
  </si>
  <si>
    <t xml:space="preserve">kitchenerblues
</t>
  </si>
  <si>
    <t xml:space="preserve">davidgogoblues
</t>
  </si>
  <si>
    <t xml:space="preserve">2cshadowfox
</t>
  </si>
  <si>
    <t>sunflwrgirl2
@michaelbathurst @2cshadowfox @DavidGogoBlues
@kitchenerblues @Hiqutipie @ginabella
@HRCurator @Optiongirl @nodexl
@hanseckman @MarkBird17 @ChrisMontMusic
@chrisgalesmusic @SimplyTimTV thank
you very much https://t.co/kiWuvx7E2P</t>
  </si>
  <si>
    <t>ainafer
Quin agost, a la xarxa abans coneguda
com a Twitter. I quina pena que
l'API estigui tancada... #nodeXL
@DavidGraell @alexarabat</t>
  </si>
  <si>
    <t xml:space="preserve">alexarabat
</t>
  </si>
  <si>
    <t xml:space="preserve">davidgraell
</t>
  </si>
  <si>
    <t>edkrassen
WOW! After Donald Trump posted
on Truth Social, "IF YOU GO AFTER
ME, I'M COMING AFTER YOU!" Jack
Smith filed a Motion for Protective
Order. Smith is claiming that the
prosecution can not safely turn
over all the requested discovery
evidence until they know that Trump
can't make… https://t.co/UswXt8h4Oi</t>
  </si>
  <si>
    <t>pilotbeac0n
if you @marc_smith use @nodexl
to come after me or anyone else--
we're coming after you.</t>
  </si>
  <si>
    <t xml:space="preserve">mikepompeo
</t>
  </si>
  <si>
    <t xml:space="preserve">gabrielshipton
</t>
  </si>
  <si>
    <t xml:space="preserve">defendassange
</t>
  </si>
  <si>
    <t xml:space="preserve">stella_assange
</t>
  </si>
  <si>
    <t>coasttocoastam
British Woman Tormented by 'Haunted'
Cell Phone https://t.co/eISeyVj5fF</t>
  </si>
  <si>
    <t xml:space="preserve">donaldjtrumpjr
</t>
  </si>
  <si>
    <t>dwighttyree
I want your shit packed tonight
@realDonaldTrump</t>
  </si>
  <si>
    <t xml:space="preserve">realdonaldtrump
</t>
  </si>
  <si>
    <t>541lcbt
@pilotbeaconX @WhiteHouse https://t.co/TuUuc26LoR</t>
  </si>
  <si>
    <t>connectedaction
private equity via NodeXL https://t.co/txjCwNpW5L
@sbmccallister @champprivate @wsj
@jacksonhinklle @ttfacer @medicalquack
@nostatusquono @gopoversight @investeuropeeu
@ft Top hashtags: #PrivateEquity
#privateequity #venturecapital
#finance #VentureCapital #investment</t>
  </si>
  <si>
    <t xml:space="preserve">ft
</t>
  </si>
  <si>
    <t xml:space="preserve">investeuropeeu
</t>
  </si>
  <si>
    <t xml:space="preserve">gopoversight
</t>
  </si>
  <si>
    <t xml:space="preserve">nostatusquono
</t>
  </si>
  <si>
    <t xml:space="preserve">medicalquack
</t>
  </si>
  <si>
    <t xml:space="preserve">ttfacer
</t>
  </si>
  <si>
    <t xml:space="preserve">jacksonhinklle
</t>
  </si>
  <si>
    <t xml:space="preserve">wsj
</t>
  </si>
  <si>
    <t xml:space="preserve">champprivate
</t>
  </si>
  <si>
    <t xml:space="preserve">sbmccallister
</t>
  </si>
  <si>
    <t>dataengineer23
@Ifeanyidiaye @nodexl @OpenAlex_org
@Gephi @Connected_Data @ConnectedAction
Thanks, bro... sure_xD83D__xDE04__xD83D__xDE4F__xD83C__xDFFC_❤️</t>
  </si>
  <si>
    <t>ifeanyidiaye
@dataengineer23 @OpenAlex_org @Gephi
@Connected_Data @ConnectedAction
I think @nodexl is a graphing tool
that imports matrixes and turns
them into graphs. You can give
it a try.</t>
  </si>
  <si>
    <t xml:space="preserve">connected_data
</t>
  </si>
  <si>
    <t xml:space="preserve">openalex_org
</t>
  </si>
  <si>
    <t>himesaka__
as SNA is back on fire, thanks
to NodeXL JSON scraper.. let's
see the battle of Yurimanga popularity
this is the top 3 of Yuri manga
title according to yurimanga keyword
(keyword are 百合漫画 lang:ja) - Citrus
(Yuzu and Mei) - Yagakimi (Koito
and Yuu) - KTKW (Airi and Hinako)
https://t.co/joWpsj76Jn</t>
  </si>
  <si>
    <t xml:space="preserve">prabowo
</t>
  </si>
  <si>
    <t xml:space="preserve">ganjarpranowo
</t>
  </si>
  <si>
    <t xml:space="preserve">aniesbaswedan
</t>
  </si>
  <si>
    <t xml:space="preserve">irwan_dwi_a
</t>
  </si>
  <si>
    <t>samisyrjamaki
@mihkal @jnkka @nodexl Ehdottelen,
että 5. päivä, niin pysytään traditiossa.
Ennakkoon voi toki laittaa viestiä.</t>
  </si>
  <si>
    <t>jnkka
@SamiSyrjamaki @mihkal @nodexl
Eli rummutus aloitetaan ASAP vai
5. syyskuuta?</t>
  </si>
  <si>
    <t>heortyw
This article main of study method
is applied #NodeXL and MeaningCloud
to analyse 17,147 English Tweets
and 16,618 French Tweets about
“occupational safety” in witter.also,used
#sentimentanalysis via machine
learning algorithms. articlelink:https://t.co/yYUOmz3Qar?</t>
  </si>
  <si>
    <t>anningyeye
"Using Social Network Analysis
(SNA), Sentiment Analysis, NodeXL,
clustering algorithms, and Harel-Koren
layout, we uncover opinion leaders
and knowledge sharing patterns
related to construction safety
on Twitter. #SNAnalysis #SentimentAnalysis
#DataVisualization #OpinionLeader</t>
  </si>
  <si>
    <t>pinakilaskar
The V-model from ISO 26262, Road
vehicles -Functional safety. PAS
8800, a new ISO standard specifically
designed for Road Vehicles –Safety
and #AI @guidaautonoma @IoTCommunity
@thinkers360 @officialindiaai @onalytica
@towards_AI @automotive_news @mkai_org
@kcore_analytics @nodexl https://t.co/14LqJE7Bzm</t>
  </si>
  <si>
    <t xml:space="preserve">_thinkbot
</t>
  </si>
  <si>
    <t xml:space="preserve">deeplearningai_
</t>
  </si>
  <si>
    <t xml:space="preserve">pecb
</t>
  </si>
  <si>
    <t xml:space="preserve">kcore_analytics
</t>
  </si>
  <si>
    <t xml:space="preserve">mkai_org
</t>
  </si>
  <si>
    <t xml:space="preserve">automotive_news
</t>
  </si>
  <si>
    <t xml:space="preserve">towards_ai
</t>
  </si>
  <si>
    <t xml:space="preserve">onalytica
</t>
  </si>
  <si>
    <t xml:space="preserve">officialindiaai
</t>
  </si>
  <si>
    <t xml:space="preserve">thinkers360
</t>
  </si>
  <si>
    <t xml:space="preserve">vivatech
</t>
  </si>
  <si>
    <t xml:space="preserve">iotcommunity
</t>
  </si>
  <si>
    <t xml:space="preserve">guidaautonoma
</t>
  </si>
  <si>
    <t>fisheyebox
AI Law @guidaautonoma @IoTCommunity
@VivaTech @thinkers360 @officialindiaai
@onalytica @towards_AI @automotive_news
@mkai_org @kcore_analytics @pecb
@nodexl @deeplearningai_ @_thinkbot
#AI #GenerativeAI #Copyright #intellectualproperty
https://t.co/0DhERSAvKp</t>
  </si>
  <si>
    <t xml:space="preserve">whitehouse
</t>
  </si>
  <si>
    <t xml:space="preserve">robertplewis
</t>
  </si>
  <si>
    <t xml:space="preserve">liuyuxxd
</t>
  </si>
  <si>
    <t>hanssars8
@hanssars8 rootbrian_ sars #NodeXL
https://t.co/OUN0G6fH25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</si>
  <si>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</si>
  <si>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</si>
  <si>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</si>
  <si>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 xml:space="preserve">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t>
  </si>
  <si>
    <t>Workbook Settings 3</t>
  </si>
  <si>
    <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t>
  </si>
  <si>
    <t>Workbook Settings 4</t>
  </si>
  <si>
    <t xml:space="preserve">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t>
  </si>
  <si>
    <t>Workbook Settings 5</t>
  </si>
  <si>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</si>
  <si>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Workbook Settings 6</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</si>
  <si>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</si>
  <si>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Workbook Settings 7</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</si>
  <si>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</si>
  <si>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</si>
  <si>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</si>
  <si>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Workbook Settings 9</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</si>
  <si>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</si>
  <si>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Workbook Settings 10</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</si>
  <si>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</si>
  <si>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Workbook Settings 11</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</si>
  <si>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</si>
  <si>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Workbook Settings 12</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</si>
  <si>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</si>
  <si>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Workbook Settings 13</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</si>
  <si>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</si>
  <si>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Workbook Settings 14</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</si>
  <si>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</si>
  <si>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Workbook Settings 15</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</si>
  <si>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</si>
  <si>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Workbook Settings 16</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</si>
  <si>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t>
  </si>
  <si>
    <t>Workbook Settings 17</t>
  </si>
  <si>
    <t xml:space="preserve">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</si>
  <si>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Workbook Settings 18</t>
  </si>
  <si>
    <t>Edge Weight</t>
  </si>
  <si>
    <t>G1</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</si>
  <si>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</si>
  <si>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</si>
  <si>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</si>
  <si>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</si>
  <si>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</si>
  <si>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</si>
  <si>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</si>
  <si>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</si>
  <si>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</si>
  <si>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</si>
  <si>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</si>
  <si>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</si>
  <si>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</si>
  <si>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</si>
  <si>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</si>
  <si>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</si>
  <si>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</si>
  <si>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</si>
  <si>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</si>
  <si>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</si>
  <si>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</si>
  <si>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</si>
  <si>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</si>
  <si>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</si>
  <si>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</si>
  <si>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</si>
  <si>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</si>
  <si>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</si>
  <si>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</si>
  <si>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</si>
  <si>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</si>
  <si>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</si>
  <si>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</si>
  <si>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</si>
  <si>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</si>
  <si>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</si>
  <si>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</si>
  <si>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</si>
  <si>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top</t>
  </si>
  <si>
    <t>hashtags</t>
  </si>
  <si>
    <t>gt</t>
  </si>
  <si>
    <t>data</t>
  </si>
  <si>
    <t>lt</t>
  </si>
  <si>
    <t>#ai</t>
  </si>
  <si>
    <t>#minätutkin</t>
  </si>
  <si>
    <t>#smprofs</t>
  </si>
  <si>
    <t>thank</t>
  </si>
  <si>
    <t>#nodexl</t>
  </si>
  <si>
    <t>#prprofs</t>
  </si>
  <si>
    <t>#aejmc23</t>
  </si>
  <si>
    <t>analysis</t>
  </si>
  <si>
    <t>#rasismi</t>
  </si>
  <si>
    <t>co</t>
  </si>
  <si>
    <t>jackposobiecc1</t>
  </si>
  <si>
    <t>ja</t>
  </si>
  <si>
    <t>#hallitus</t>
  </si>
  <si>
    <t>#machinelearning</t>
  </si>
  <si>
    <t>#aejmc</t>
  </si>
  <si>
    <t>social</t>
  </si>
  <si>
    <t>insights</t>
  </si>
  <si>
    <t>x</t>
  </si>
  <si>
    <t>using</t>
  </si>
  <si>
    <t>safety</t>
  </si>
  <si>
    <t>#persut</t>
  </si>
  <si>
    <t>#linkedin</t>
  </si>
  <si>
    <t>#bitcoin</t>
  </si>
  <si>
    <t>election</t>
  </si>
  <si>
    <t>machine</t>
  </si>
  <si>
    <t>much</t>
  </si>
  <si>
    <t>clusters</t>
  </si>
  <si>
    <t>come</t>
  </si>
  <si>
    <t>very</t>
  </si>
  <si>
    <t>#permafrost</t>
  </si>
  <si>
    <t>search</t>
  </si>
  <si>
    <t>back</t>
  </si>
  <si>
    <t>cluster</t>
  </si>
  <si>
    <t>#aejmc22</t>
  </si>
  <si>
    <t>intelligence</t>
  </si>
  <si>
    <t>earth</t>
  </si>
  <si>
    <t>algorithm</t>
  </si>
  <si>
    <t>life</t>
  </si>
  <si>
    <t>#intentdata</t>
  </si>
  <si>
    <t>#futureai</t>
  </si>
  <si>
    <t>13</t>
  </si>
  <si>
    <t>use</t>
  </si>
  <si>
    <t>conference</t>
  </si>
  <si>
    <t>mined</t>
  </si>
  <si>
    <t>#perussuomalaiset</t>
  </si>
  <si>
    <t>human</t>
  </si>
  <si>
    <t>#generativeai</t>
  </si>
  <si>
    <t>networks</t>
  </si>
  <si>
    <t>learning</t>
  </si>
  <si>
    <t>thanks</t>
  </si>
  <si>
    <t>re</t>
  </si>
  <si>
    <t>#climatechange</t>
  </si>
  <si>
    <t>kanssa</t>
  </si>
  <si>
    <t>between</t>
  </si>
  <si>
    <t>hijacked</t>
  </si>
  <si>
    <t>day</t>
  </si>
  <si>
    <t>kuten</t>
  </si>
  <si>
    <t>without</t>
  </si>
  <si>
    <t>rummutus</t>
  </si>
  <si>
    <t>system</t>
  </si>
  <si>
    <t>#hallituskriisi</t>
  </si>
  <si>
    <t>#seohashtag</t>
  </si>
  <si>
    <t>tweet</t>
  </si>
  <si>
    <t>#btc</t>
  </si>
  <si>
    <t>over</t>
  </si>
  <si>
    <t>#venturecapital</t>
  </si>
  <si>
    <t>more</t>
  </si>
  <si>
    <t>smith</t>
  </si>
  <si>
    <t>people</t>
  </si>
  <si>
    <t>flawed</t>
  </si>
  <si>
    <t>pro</t>
  </si>
  <si>
    <t>agi</t>
  </si>
  <si>
    <t>kpl</t>
  </si>
  <si>
    <t>#socialmedia</t>
  </si>
  <si>
    <t>tweets</t>
  </si>
  <si>
    <t>facebook</t>
  </si>
  <si>
    <t>powerful</t>
  </si>
  <si>
    <t>#vikramlander</t>
  </si>
  <si>
    <t>25</t>
  </si>
  <si>
    <t>happened</t>
  </si>
  <si>
    <t>2023</t>
  </si>
  <si>
    <t>#generalai</t>
  </si>
  <si>
    <t>#ϙanon</t>
  </si>
  <si>
    <t>#smle2022</t>
  </si>
  <si>
    <t>vehicles</t>
  </si>
  <si>
    <t>again</t>
  </si>
  <si>
    <t>#academictwitter</t>
  </si>
  <si>
    <t>source</t>
  </si>
  <si>
    <t>#artificialintelligence</t>
  </si>
  <si>
    <t>sna</t>
  </si>
  <si>
    <t>#kaivos</t>
  </si>
  <si>
    <t>put</t>
  </si>
  <si>
    <t>että</t>
  </si>
  <si>
    <t>trump</t>
  </si>
  <si>
    <t>uses</t>
  </si>
  <si>
    <t>#hakaristi</t>
  </si>
  <si>
    <t>pak</t>
  </si>
  <si>
    <t>#politiikka</t>
  </si>
  <si>
    <t>sentiment</t>
  </si>
  <si>
    <t>#autonomousvehicles</t>
  </si>
  <si>
    <t>#worldathleticschampionships</t>
  </si>
  <si>
    <t>jack</t>
  </si>
  <si>
    <t>36</t>
  </si>
  <si>
    <t>#phd</t>
  </si>
  <si>
    <t>#research</t>
  </si>
  <si>
    <t>great</t>
  </si>
  <si>
    <t>#india</t>
  </si>
  <si>
    <t>network</t>
  </si>
  <si>
    <t>graphs</t>
  </si>
  <si>
    <t>päivä</t>
  </si>
  <si>
    <t>myös</t>
  </si>
  <si>
    <t>#chandrayaan3</t>
  </si>
  <si>
    <t>remember</t>
  </si>
  <si>
    <t>access</t>
  </si>
  <si>
    <t>#kokoomus</t>
  </si>
  <si>
    <t>tools</t>
  </si>
  <si>
    <t>facts</t>
  </si>
  <si>
    <t>wrong</t>
  </si>
  <si>
    <t>match</t>
  </si>
  <si>
    <t>iso</t>
  </si>
  <si>
    <t>time</t>
  </si>
  <si>
    <t>ennakkoon</t>
  </si>
  <si>
    <t>#indiaonthemoon</t>
  </si>
  <si>
    <t>#privateequity</t>
  </si>
  <si>
    <t>working</t>
  </si>
  <si>
    <t>internal</t>
  </si>
  <si>
    <t>asa2023</t>
  </si>
  <si>
    <t>turn</t>
  </si>
  <si>
    <t>#isro</t>
  </si>
  <si>
    <t>#smc2024</t>
  </si>
  <si>
    <t>semester</t>
  </si>
  <si>
    <t>mobile</t>
  </si>
  <si>
    <t>niin</t>
  </si>
  <si>
    <t>siitä</t>
  </si>
  <si>
    <t>audiences</t>
  </si>
  <si>
    <t>keyword</t>
  </si>
  <si>
    <t>2020</t>
  </si>
  <si>
    <t>check</t>
  </si>
  <si>
    <t>see</t>
  </si>
  <si>
    <t>tunnus</t>
  </si>
  <si>
    <t>#datascience</t>
  </si>
  <si>
    <t>looking</t>
  </si>
  <si>
    <t>let's</t>
  </si>
  <si>
    <t>#kaivokset</t>
  </si>
  <si>
    <t>interference</t>
  </si>
  <si>
    <t>#saamelaiskäräjälaki</t>
  </si>
  <si>
    <t>#verkostoanalyysi</t>
  </si>
  <si>
    <t>same</t>
  </si>
  <si>
    <t>grid</t>
  </si>
  <si>
    <t>truth</t>
  </si>
  <si>
    <t>joku</t>
  </si>
  <si>
    <t>road</t>
  </si>
  <si>
    <t>end</t>
  </si>
  <si>
    <t>yurimanga</t>
  </si>
  <si>
    <t>rasismi</t>
  </si>
  <si>
    <t>#sentimentanalysis</t>
  </si>
  <si>
    <t>algorithms</t>
  </si>
  <si>
    <t>internet</t>
  </si>
  <si>
    <t>flesh</t>
  </si>
  <si>
    <t>coming</t>
  </si>
  <si>
    <t>each</t>
  </si>
  <si>
    <t>tässä</t>
  </si>
  <si>
    <t>others</t>
  </si>
  <si>
    <t>#chandrayaan3landing</t>
  </si>
  <si>
    <t>#amee2023</t>
  </si>
  <si>
    <t>#gephi</t>
  </si>
  <si>
    <t>right</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</si>
  <si>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</si>
  <si>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</si>
  <si>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</si>
  <si>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</si>
  <si>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</si>
  <si>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</si>
  <si>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</si>
  <si>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</si>
  <si>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</si>
  <si>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</si>
  <si>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</si>
  <si>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</si>
  <si>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</si>
  <si>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</si>
  <si>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</si>
  <si>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</si>
  <si>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</si>
  <si>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</si>
  <si>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</si>
  <si>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</si>
  <si>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</si>
  <si>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</si>
  <si>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</si>
  <si>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</si>
  <si>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</si>
  <si>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</si>
  <si>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</si>
  <si>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</si>
  <si>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</si>
  <si>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</si>
  <si>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6pts8qg3pz</t>
  </si>
  <si>
    <t>altright</t>
  </si>
  <si>
    <t>pgsi53zkky</t>
  </si>
  <si>
    <t>href</t>
  </si>
  <si>
    <t>qanon</t>
  </si>
  <si>
    <t>koppa</t>
  </si>
  <si>
    <t>letter</t>
  </si>
  <si>
    <t>greek</t>
  </si>
  <si>
    <t>modernnumeralsign</t>
  </si>
  <si>
    <t>ϙ</t>
  </si>
  <si>
    <t>ladyknightfury</t>
  </si>
  <si>
    <t>censors</t>
  </si>
  <si>
    <t>asa</t>
  </si>
  <si>
    <t>abs2023</t>
  </si>
  <si>
    <t>emca</t>
  </si>
  <si>
    <t>sociology</t>
  </si>
  <si>
    <t>absoc2023</t>
  </si>
  <si>
    <t>sssp2023</t>
  </si>
  <si>
    <t>try</t>
  </si>
  <si>
    <t>give</t>
  </si>
  <si>
    <t>turns</t>
  </si>
  <si>
    <t>matrixes</t>
  </si>
  <si>
    <t>imports</t>
  </si>
  <si>
    <t>tool</t>
  </si>
  <si>
    <t>graphing</t>
  </si>
  <si>
    <t>think</t>
  </si>
  <si>
    <t>sitten</t>
  </si>
  <si>
    <t>joten</t>
  </si>
  <si>
    <t>syntymäpäivä</t>
  </si>
  <si>
    <t>virallinen</t>
  </si>
  <si>
    <t>olla</t>
  </si>
  <si>
    <t>taitaa</t>
  </si>
  <si>
    <t>tottakai</t>
  </si>
  <si>
    <t>vuodelta</t>
  </si>
  <si>
    <t>viime</t>
  </si>
  <si>
    <t>smle2022</t>
  </si>
  <si>
    <t>prprofs</t>
  </si>
  <si>
    <t>aejmc22</t>
  </si>
  <si>
    <t>aikaiseksi</t>
  </si>
  <si>
    <t>tämän</t>
  </si>
  <si>
    <t>saada</t>
  </si>
  <si>
    <t>yritän</t>
  </si>
  <si>
    <t>natsit</t>
  </si>
  <si>
    <t>turpo</t>
  </si>
  <si>
    <t>swastika</t>
  </si>
  <si>
    <t>ilmavoimat</t>
  </si>
  <si>
    <t>erillishakaristi</t>
  </si>
  <si>
    <t>tapiokuusitapio</t>
  </si>
  <si>
    <t>hakaristi</t>
  </si>
  <si>
    <t>guaranteed</t>
  </si>
  <si>
    <t>monetizing</t>
  </si>
  <si>
    <t>specific</t>
  </si>
  <si>
    <t>business</t>
  </si>
  <si>
    <t>expertize</t>
  </si>
  <si>
    <t>learn</t>
  </si>
  <si>
    <t>well</t>
  </si>
  <si>
    <t>eposters</t>
  </si>
  <si>
    <t>eposter</t>
  </si>
  <si>
    <t>bigdatanalytics</t>
  </si>
  <si>
    <t>socailmediamarketing</t>
  </si>
  <si>
    <t>medicaleducation</t>
  </si>
  <si>
    <t>amee2023</t>
  </si>
  <si>
    <t>net</t>
  </si>
  <si>
    <t>lot</t>
  </si>
  <si>
    <t>event</t>
  </si>
  <si>
    <t>attend</t>
  </si>
  <si>
    <t>buzzing</t>
  </si>
  <si>
    <t>glasgow</t>
  </si>
  <si>
    <t>amee</t>
  </si>
  <si>
    <t>join</t>
  </si>
  <si>
    <t>puhettataiteesta</t>
  </si>
  <si>
    <t>tutkimus</t>
  </si>
  <si>
    <t>minaetutkin</t>
  </si>
  <si>
    <t>aihallucination</t>
  </si>
  <si>
    <t>generativeai</t>
  </si>
  <si>
    <t>exactly</t>
  </si>
  <si>
    <t>prove</t>
  </si>
  <si>
    <t>apgiv</t>
  </si>
  <si>
    <t>iv</t>
  </si>
  <si>
    <t>apg</t>
  </si>
  <si>
    <t>l'arctique</t>
  </si>
  <si>
    <t>guérir</t>
  </si>
  <si>
    <t>permettrons</t>
  </si>
  <si>
    <t>développer</t>
  </si>
  <si>
    <t>existantes</t>
  </si>
  <si>
    <t>technologies</t>
  </si>
  <si>
    <t>raccorder</t>
  </si>
  <si>
    <t>boussole</t>
  </si>
  <si>
    <t>vallon</t>
  </si>
  <si>
    <t>pratiquant</t>
  </si>
  <si>
    <t>globall</t>
  </si>
  <si>
    <t>mixte</t>
  </si>
  <si>
    <t>d'ampleurs</t>
  </si>
  <si>
    <t>sociaux</t>
  </si>
  <si>
    <t>projets</t>
  </si>
  <si>
    <t>deux</t>
  </si>
  <si>
    <t>présentant</t>
  </si>
  <si>
    <t>veut</t>
  </si>
  <si>
    <t>sport</t>
  </si>
  <si>
    <t>spore</t>
  </si>
  <si>
    <t>vient</t>
  </si>
  <si>
    <t>sporet</t>
  </si>
  <si>
    <t>8èmevaleurrépublicaine</t>
  </si>
  <si>
    <t>sure</t>
  </si>
  <si>
    <t>bro</t>
  </si>
  <si>
    <t>memo</t>
  </si>
  <si>
    <t>coward</t>
  </si>
  <si>
    <t>lgraphgallery</t>
  </si>
  <si>
    <t>love</t>
  </si>
  <si>
    <t>api</t>
  </si>
  <si>
    <t>kabobs</t>
  </si>
  <si>
    <t>futureai</t>
  </si>
  <si>
    <t>future</t>
  </si>
  <si>
    <t>define</t>
  </si>
  <si>
    <t>aichips</t>
  </si>
  <si>
    <t>geopolitics</t>
  </si>
  <si>
    <t>stone</t>
  </si>
  <si>
    <t>eating</t>
  </si>
  <si>
    <t>σαρκοφάγος</t>
  </si>
  <si>
    <t>λίθος</t>
  </si>
  <si>
    <t>hijack</t>
  </si>
  <si>
    <t>numbers</t>
  </si>
  <si>
    <t>texts</t>
  </si>
  <si>
    <t>diversions</t>
  </si>
  <si>
    <t>harmful</t>
  </si>
  <si>
    <t>invasive</t>
  </si>
  <si>
    <t>proof</t>
  </si>
  <si>
    <t>zvqvow2hot</t>
  </si>
  <si>
    <t>find</t>
  </si>
  <si>
    <t>toolkit</t>
  </si>
  <si>
    <t>osint</t>
  </si>
  <si>
    <t>explore</t>
  </si>
  <si>
    <t>empowers</t>
  </si>
  <si>
    <t>template</t>
  </si>
  <si>
    <t>open</t>
  </si>
  <si>
    <t>free</t>
  </si>
  <si>
    <t>media</t>
  </si>
  <si>
    <t>understand</t>
  </si>
  <si>
    <t>map</t>
  </si>
  <si>
    <t>aioligopolies</t>
  </si>
  <si>
    <t>aicompanies</t>
  </si>
  <si>
    <t>aiforbusiness</t>
  </si>
  <si>
    <t>aicommandments</t>
  </si>
  <si>
    <t>reality</t>
  </si>
  <si>
    <t>political</t>
  </si>
  <si>
    <t>economic</t>
  </si>
  <si>
    <t>shaping</t>
  </si>
  <si>
    <t>oligopolies</t>
  </si>
  <si>
    <t>technology</t>
  </si>
  <si>
    <t>hinako</t>
  </si>
  <si>
    <t>airi</t>
  </si>
  <si>
    <t>ktkw</t>
  </si>
  <si>
    <t>yuu</t>
  </si>
  <si>
    <t>koito</t>
  </si>
  <si>
    <t>yagakimi</t>
  </si>
  <si>
    <t>mei</t>
  </si>
  <si>
    <t>yuzu</t>
  </si>
  <si>
    <t>citrus</t>
  </si>
  <si>
    <t>lang</t>
  </si>
  <si>
    <t>百合漫画</t>
  </si>
  <si>
    <t>according</t>
  </si>
  <si>
    <t>title</t>
  </si>
  <si>
    <t>manga</t>
  </si>
  <si>
    <t>yuri</t>
  </si>
  <si>
    <t>popularity</t>
  </si>
  <si>
    <t>battle</t>
  </si>
  <si>
    <t>scraper</t>
  </si>
  <si>
    <t>json</t>
  </si>
  <si>
    <t>fire</t>
  </si>
  <si>
    <t>good</t>
  </si>
  <si>
    <t>jayehmell</t>
  </si>
  <si>
    <t>millions</t>
  </si>
  <si>
    <t>killed</t>
  </si>
  <si>
    <t>already</t>
  </si>
  <si>
    <t>late</t>
  </si>
  <si>
    <t>sars</t>
  </si>
  <si>
    <t>rootbrian_</t>
  </si>
  <si>
    <t>mika</t>
  </si>
  <si>
    <t>kiitos</t>
  </si>
  <si>
    <t>profit</t>
  </si>
  <si>
    <t>fckoff</t>
  </si>
  <si>
    <t>insufficient</t>
  </si>
  <si>
    <t>users</t>
  </si>
  <si>
    <t>stickiness</t>
  </si>
  <si>
    <t>connection</t>
  </si>
  <si>
    <t>conclusion</t>
  </si>
  <si>
    <t>cnm</t>
  </si>
  <si>
    <t>moore</t>
  </si>
  <si>
    <t>newman</t>
  </si>
  <si>
    <t>clauset</t>
  </si>
  <si>
    <t>obtain</t>
  </si>
  <si>
    <t>paper</t>
  </si>
  <si>
    <t>music</t>
  </si>
  <si>
    <t>socialmedia</t>
  </si>
  <si>
    <t>tuesdayvibe</t>
  </si>
  <si>
    <t>following</t>
  </si>
  <si>
    <t>worth</t>
  </si>
  <si>
    <t>treasures</t>
  </si>
  <si>
    <t>tuesday</t>
  </si>
  <si>
    <t>short</t>
  </si>
  <si>
    <t>monetize</t>
  </si>
  <si>
    <t>apply</t>
  </si>
  <si>
    <t>hard</t>
  </si>
  <si>
    <t>chatgpt</t>
  </si>
  <si>
    <t>way</t>
  </si>
  <si>
    <t>spent</t>
  </si>
  <si>
    <t>week</t>
  </si>
  <si>
    <t>worked</t>
  </si>
  <si>
    <t>fest</t>
  </si>
  <si>
    <t>geek</t>
  </si>
  <si>
    <t>science</t>
  </si>
  <si>
    <t>total</t>
  </si>
  <si>
    <t>tonight</t>
  </si>
  <si>
    <t>packed</t>
  </si>
  <si>
    <t>shit</t>
  </si>
  <si>
    <t>smc2024</t>
  </si>
  <si>
    <t>dashboard</t>
  </si>
  <si>
    <t>powerbi</t>
  </si>
  <si>
    <t>seohashtag</t>
  </si>
  <si>
    <t>sankey</t>
  </si>
  <si>
    <t>botanica</t>
  </si>
  <si>
    <t>flora</t>
  </si>
  <si>
    <t>fatto</t>
  </si>
  <si>
    <t>ben</t>
  </si>
  <si>
    <t>villatorlonia</t>
  </si>
  <si>
    <t>ensimmäisenä</t>
  </si>
  <si>
    <t>tietenkin</t>
  </si>
  <si>
    <t>clearly</t>
  </si>
  <si>
    <t>pilotbeaconx</t>
  </si>
  <si>
    <t>climate</t>
  </si>
  <si>
    <t>climatechange</t>
  </si>
  <si>
    <t>arctic</t>
  </si>
  <si>
    <t>permafrost</t>
  </si>
  <si>
    <t>permanent</t>
  </si>
  <si>
    <t>regret</t>
  </si>
  <si>
    <t>temporary</t>
  </si>
  <si>
    <t>failure</t>
  </si>
  <si>
    <t>quantum</t>
  </si>
  <si>
    <t>backdoor</t>
  </si>
  <si>
    <t>action</t>
  </si>
  <si>
    <t>connected</t>
  </si>
  <si>
    <t>placed</t>
  </si>
  <si>
    <t>forward</t>
  </si>
  <si>
    <t>brought</t>
  </si>
  <si>
    <t>state</t>
  </si>
  <si>
    <t>deep</t>
  </si>
  <si>
    <t>crypto</t>
  </si>
  <si>
    <t>airdrop</t>
  </si>
  <si>
    <t>btc</t>
  </si>
  <si>
    <t>bitcoin</t>
  </si>
  <si>
    <t>esg</t>
  </si>
  <si>
    <t>sustainability</t>
  </si>
  <si>
    <t>environment</t>
  </si>
  <si>
    <t>autonomousvehicles</t>
  </si>
  <si>
    <t>save</t>
  </si>
  <si>
    <t>invented</t>
  </si>
  <si>
    <t>electriccars</t>
  </si>
  <si>
    <t>photography</t>
  </si>
  <si>
    <t>luontokato</t>
  </si>
  <si>
    <t>nature</t>
  </si>
  <si>
    <t>suomi</t>
  </si>
  <si>
    <t>finland</t>
  </si>
  <si>
    <t>forest</t>
  </si>
  <si>
    <t>luonto</t>
  </si>
  <si>
    <t>metsä</t>
  </si>
  <si>
    <t>metsae</t>
  </si>
  <si>
    <t>rkp</t>
  </si>
  <si>
    <t>perussuomalaiset</t>
  </si>
  <si>
    <t>äärioikeisto</t>
  </si>
  <si>
    <t>hallitus</t>
  </si>
  <si>
    <t>hallituskriisi</t>
  </si>
  <si>
    <t>outlets</t>
  </si>
  <si>
    <t>news</t>
  </si>
  <si>
    <t>graph</t>
  </si>
  <si>
    <t>unlawful</t>
  </si>
  <si>
    <t>those</t>
  </si>
  <si>
    <t>irónicamente</t>
  </si>
  <si>
    <t>información</t>
  </si>
  <si>
    <t>extractor</t>
  </si>
  <si>
    <t>bien</t>
  </si>
  <si>
    <t>verificar</t>
  </si>
  <si>
    <t>saber</t>
  </si>
  <si>
    <t>terrible</t>
  </si>
  <si>
    <t>personas</t>
  </si>
  <si>
    <t>vínculos</t>
  </si>
  <si>
    <t>sociales</t>
  </si>
  <si>
    <t>redes</t>
  </si>
  <si>
    <t>espurgar</t>
  </si>
  <si>
    <t>automatizado</t>
  </si>
  <si>
    <t>programa</t>
  </si>
  <si>
    <t>usan</t>
  </si>
  <si>
    <t>ellos</t>
  </si>
  <si>
    <t>manualmente</t>
  </si>
  <si>
    <t>hicieron</t>
  </si>
  <si>
    <t>preguntaron</t>
  </si>
  <si>
    <t>holographic</t>
  </si>
  <si>
    <t>satan</t>
  </si>
  <si>
    <t>mammon</t>
  </si>
  <si>
    <t>serve</t>
  </si>
  <si>
    <t>codes</t>
  </si>
  <si>
    <t>genetic</t>
  </si>
  <si>
    <t>disruption</t>
  </si>
  <si>
    <t>intel</t>
  </si>
  <si>
    <t>compiling</t>
  </si>
  <si>
    <t>analysing</t>
  </si>
  <si>
    <t>stories</t>
  </si>
  <si>
    <t>base</t>
  </si>
  <si>
    <t>dulce</t>
  </si>
  <si>
    <t>grey</t>
  </si>
  <si>
    <t>cut</t>
  </si>
  <si>
    <t>insectoid</t>
  </si>
  <si>
    <t>intelligent</t>
  </si>
  <si>
    <t>artificially</t>
  </si>
  <si>
    <t>inhuman</t>
  </si>
  <si>
    <t>non</t>
  </si>
  <si>
    <t>complete</t>
  </si>
  <si>
    <t>postcode</t>
  </si>
  <si>
    <t>aimed</t>
  </si>
  <si>
    <t>verkostoanalyysi</t>
  </si>
  <si>
    <t>tweeted</t>
  </si>
  <si>
    <t>huomatkaa</t>
  </si>
  <si>
    <t>rajapinta</t>
  </si>
  <si>
    <t>uusi</t>
  </si>
  <si>
    <t>safe</t>
  </si>
  <si>
    <t>realy</t>
  </si>
  <si>
    <t>dogs</t>
  </si>
  <si>
    <t>feral</t>
  </si>
  <si>
    <t>normal</t>
  </si>
  <si>
    <t>issues</t>
  </si>
  <si>
    <t>tancada</t>
  </si>
  <si>
    <t>estigui</t>
  </si>
  <si>
    <t>l'api</t>
  </si>
  <si>
    <t>pena</t>
  </si>
  <si>
    <t>quina</t>
  </si>
  <si>
    <t>coneguda</t>
  </si>
  <si>
    <t>abans</t>
  </si>
  <si>
    <t>xarxa</t>
  </si>
  <si>
    <t>agost</t>
  </si>
  <si>
    <t>quin</t>
  </si>
  <si>
    <t>marketing</t>
  </si>
  <si>
    <t>intentive</t>
  </si>
  <si>
    <t>b2bmarketing</t>
  </si>
  <si>
    <t>b2b</t>
  </si>
  <si>
    <t>abm</t>
  </si>
  <si>
    <t>intentdata</t>
  </si>
  <si>
    <t>war</t>
  </si>
  <si>
    <t>caused</t>
  </si>
  <si>
    <t>machinelearning</t>
  </si>
  <si>
    <t>artificialintelligence</t>
  </si>
  <si>
    <t>thinkingmachines</t>
  </si>
  <si>
    <t>ailiteracy</t>
  </si>
  <si>
    <t>fail</t>
  </si>
  <si>
    <t>literacy</t>
  </si>
  <si>
    <t>universal</t>
  </si>
  <si>
    <t>today</t>
  </si>
  <si>
    <t>maksimina</t>
  </si>
  <si>
    <t>twiittejä</t>
  </si>
  <si>
    <t>ilmaiseksi</t>
  </si>
  <si>
    <t>imuroimaan</t>
  </si>
  <si>
    <t>vielä</t>
  </si>
  <si>
    <t>pystyy</t>
  </si>
  <si>
    <t>generalai</t>
  </si>
  <si>
    <t>machineconsciousness</t>
  </si>
  <si>
    <t>aisingularity</t>
  </si>
  <si>
    <t>before</t>
  </si>
  <si>
    <t>take</t>
  </si>
  <si>
    <t>upon</t>
  </si>
  <si>
    <t>depended</t>
  </si>
  <si>
    <t>singularity</t>
  </si>
  <si>
    <t>anyone</t>
  </si>
  <si>
    <t>entrepreneurship</t>
  </si>
  <si>
    <t>unicorn</t>
  </si>
  <si>
    <t>startups</t>
  </si>
  <si>
    <t>word</t>
  </si>
  <si>
    <t>excel</t>
  </si>
  <si>
    <t>written</t>
  </si>
  <si>
    <t>fiction</t>
  </si>
  <si>
    <t>smmm2025</t>
  </si>
  <si>
    <t>research</t>
  </si>
  <si>
    <t>exploring</t>
  </si>
  <si>
    <t>ll</t>
  </si>
  <si>
    <t>wrap</t>
  </si>
  <si>
    <t>possible</t>
  </si>
  <si>
    <t>successful</t>
  </si>
  <si>
    <t>appreciate</t>
  </si>
  <si>
    <t>sponsors</t>
  </si>
  <si>
    <t>gracious</t>
  </si>
  <si>
    <t>big</t>
  </si>
  <si>
    <t>text</t>
  </si>
  <si>
    <t>meaning</t>
  </si>
  <si>
    <t>show</t>
  </si>
  <si>
    <t>semantic</t>
  </si>
  <si>
    <t>openscience</t>
  </si>
  <si>
    <t>twitterresearchproject</t>
  </si>
  <si>
    <t>datascience</t>
  </si>
  <si>
    <t>result</t>
  </si>
  <si>
    <t>eddie</t>
  </si>
  <si>
    <t>name</t>
  </si>
  <si>
    <t>under</t>
  </si>
  <si>
    <t>surname</t>
  </si>
  <si>
    <t>kerralta</t>
  </si>
  <si>
    <t>aiemmalta</t>
  </si>
  <si>
    <t>llä</t>
  </si>
  <si>
    <t>kuvia</t>
  </si>
  <si>
    <t>näistä</t>
  </si>
  <si>
    <t>teen</t>
  </si>
  <si>
    <t>maga</t>
  </si>
  <si>
    <t>sh</t>
  </si>
  <si>
    <t>piece</t>
  </si>
  <si>
    <t>antisemitic</t>
  </si>
  <si>
    <t>whitesupremacist</t>
  </si>
  <si>
    <t>ϙanon</t>
  </si>
  <si>
    <t>altreich</t>
  </si>
  <si>
    <t>lying</t>
  </si>
  <si>
    <t>cuz</t>
  </si>
  <si>
    <t>jackposobiec's</t>
  </si>
  <si>
    <t>view</t>
  </si>
  <si>
    <t>unable</t>
  </si>
  <si>
    <t>everything</t>
  </si>
  <si>
    <t>satellite</t>
  </si>
  <si>
    <t>transmit</t>
  </si>
  <si>
    <t>starlink</t>
  </si>
  <si>
    <t>nasa</t>
  </si>
  <si>
    <t>phones</t>
  </si>
  <si>
    <t>jobs</t>
  </si>
  <si>
    <t>terrorism</t>
  </si>
  <si>
    <t>launched</t>
  </si>
  <si>
    <t>optics</t>
  </si>
  <si>
    <t>overwrote</t>
  </si>
  <si>
    <t>instagram</t>
  </si>
  <si>
    <t>code</t>
  </si>
  <si>
    <t>original</t>
  </si>
  <si>
    <t>kerralla</t>
  </si>
  <si>
    <t>edellisellä</t>
  </si>
  <si>
    <t>verkostoja</t>
  </si>
  <si>
    <t>raapustaa</t>
  </si>
  <si>
    <t>käyttää</t>
  </si>
  <si>
    <t>voisin</t>
  </si>
  <si>
    <t>ketjuille</t>
  </si>
  <si>
    <t>iresearch</t>
  </si>
  <si>
    <t>jagforskar</t>
  </si>
  <si>
    <t>taas</t>
  </si>
  <si>
    <t>aika</t>
  </si>
  <si>
    <t>oisiko</t>
  </si>
  <si>
    <t>tiede</t>
  </si>
  <si>
    <t>hello</t>
  </si>
  <si>
    <t>vieraslajit</t>
  </si>
  <si>
    <t>auschwitz</t>
  </si>
  <si>
    <t>politiikka</t>
  </si>
  <si>
    <t>puoluekokous</t>
  </si>
  <si>
    <t>ihmisoikeudet</t>
  </si>
  <si>
    <t>saamelaiset</t>
  </si>
  <si>
    <t>saamelaiskäräjälaki</t>
  </si>
  <si>
    <t>saamelaiskaeraejaelaki</t>
  </si>
  <si>
    <t>worldathleticschampionships</t>
  </si>
  <si>
    <t>designed</t>
  </si>
  <si>
    <t>specifically</t>
  </si>
  <si>
    <t>standard</t>
  </si>
  <si>
    <t>functional</t>
  </si>
  <si>
    <t>model</t>
  </si>
  <si>
    <t>phone</t>
  </si>
  <si>
    <t>cell</t>
  </si>
  <si>
    <t>haunted'</t>
  </si>
  <si>
    <t>tormented</t>
  </si>
  <si>
    <t>woman</t>
  </si>
  <si>
    <t>british</t>
  </si>
  <si>
    <t>machineintelligence</t>
  </si>
  <si>
    <t>machinemetaphysics</t>
  </si>
  <si>
    <t>metaphysics</t>
  </si>
  <si>
    <t>need</t>
  </si>
  <si>
    <t>set</t>
  </si>
  <si>
    <t>report</t>
  </si>
  <si>
    <t>investment</t>
  </si>
  <si>
    <t>finance</t>
  </si>
  <si>
    <t>venturecapital</t>
  </si>
  <si>
    <t>privateequity</t>
  </si>
  <si>
    <t>equity</t>
  </si>
  <si>
    <t>private</t>
  </si>
  <si>
    <t>important</t>
  </si>
  <si>
    <t>feel</t>
  </si>
  <si>
    <t>entire</t>
  </si>
  <si>
    <t>automates</t>
  </si>
  <si>
    <t>brains</t>
  </si>
  <si>
    <t>feeds</t>
  </si>
  <si>
    <t>disregard</t>
  </si>
  <si>
    <t>statisticallearning</t>
  </si>
  <si>
    <t>datagovernance</t>
  </si>
  <si>
    <t>loops</t>
  </si>
  <si>
    <t>feedback</t>
  </si>
  <si>
    <t>drift</t>
  </si>
  <si>
    <t>concept</t>
  </si>
  <si>
    <t>variables</t>
  </si>
  <si>
    <t>leaky</t>
  </si>
  <si>
    <t>goes</t>
  </si>
  <si>
    <t>heather</t>
  </si>
  <si>
    <t>parable</t>
  </si>
  <si>
    <t>we2xvnhcon</t>
  </si>
  <si>
    <t>luke</t>
  </si>
  <si>
    <t>judged</t>
  </si>
  <si>
    <t>shall</t>
  </si>
  <si>
    <t>ye</t>
  </si>
  <si>
    <t>judge</t>
  </si>
  <si>
    <t>4wz9zmyg8x</t>
  </si>
  <si>
    <t>spencer</t>
  </si>
  <si>
    <t>richard</t>
  </si>
  <si>
    <t>nazi</t>
  </si>
  <si>
    <t>neo</t>
  </si>
  <si>
    <t>american</t>
  </si>
  <si>
    <t>michaelmas</t>
  </si>
  <si>
    <t>reported</t>
  </si>
  <si>
    <t>kaivoshankelähelläsi</t>
  </si>
  <si>
    <t>ympäristö</t>
  </si>
  <si>
    <t>kaivoslaki</t>
  </si>
  <si>
    <t>kaivokset</t>
  </si>
  <si>
    <t>kaivos</t>
  </si>
  <si>
    <t>fck</t>
  </si>
  <si>
    <t>horrifically</t>
  </si>
  <si>
    <t>mining</t>
  </si>
  <si>
    <t>dutch</t>
  </si>
  <si>
    <t>yes</t>
  </si>
  <si>
    <t>driessen</t>
  </si>
  <si>
    <t>idoli</t>
  </si>
  <si>
    <t>ehkä</t>
  </si>
  <si>
    <t>tägää</t>
  </si>
  <si>
    <t>graafi</t>
  </si>
  <si>
    <t>kuva</t>
  </si>
  <si>
    <t>networkanalytics</t>
  </si>
  <si>
    <t>häsä</t>
  </si>
  <si>
    <t>tutkii</t>
  </si>
  <si>
    <t>mitä</t>
  </si>
  <si>
    <t>osaston</t>
  </si>
  <si>
    <t>tai</t>
  </si>
  <si>
    <t>yliopiston</t>
  </si>
  <si>
    <t>oma</t>
  </si>
  <si>
    <t>mukaan</t>
  </si>
  <si>
    <t>mukaisesti</t>
  </si>
  <si>
    <t>rajoitusten</t>
  </si>
  <si>
    <t>rajapinnan</t>
  </si>
  <si>
    <t>kasaan</t>
  </si>
  <si>
    <t>aineisto</t>
  </si>
  <si>
    <t>saadaan</t>
  </si>
  <si>
    <t>jotta</t>
  </si>
  <si>
    <t>sisää</t>
  </si>
  <si>
    <t>päivän</t>
  </si>
  <si>
    <t>purske</t>
  </si>
  <si>
    <t>tell</t>
  </si>
  <si>
    <t>don</t>
  </si>
  <si>
    <t>ba</t>
  </si>
  <si>
    <t>down</t>
  </si>
  <si>
    <t>smartlab</t>
  </si>
  <si>
    <t>newsemester</t>
  </si>
  <si>
    <t>together</t>
  </si>
  <si>
    <t>excellence</t>
  </si>
  <si>
    <t>achieve</t>
  </si>
  <si>
    <t>journey</t>
  </si>
  <si>
    <t>academic</t>
  </si>
  <si>
    <t>fuel</t>
  </si>
  <si>
    <t>meltwater</t>
  </si>
  <si>
    <t>tableau</t>
  </si>
  <si>
    <t>design</t>
  </si>
  <si>
    <t>smart</t>
  </si>
  <si>
    <t>exciting</t>
  </si>
  <si>
    <t>welcome</t>
  </si>
  <si>
    <t>horizons</t>
  </si>
  <si>
    <t>bagaimana</t>
  </si>
  <si>
    <t>atau</t>
  </si>
  <si>
    <t>pakai</t>
  </si>
  <si>
    <t>scrapingnya</t>
  </si>
  <si>
    <t>ini</t>
  </si>
  <si>
    <t>opinionleader</t>
  </si>
  <si>
    <t>datavisualization</t>
  </si>
  <si>
    <t>sentimentanalysis</t>
  </si>
  <si>
    <t>snanalysis</t>
  </si>
  <si>
    <t>construction</t>
  </si>
  <si>
    <t>related</t>
  </si>
  <si>
    <t>patterns</t>
  </si>
  <si>
    <t>sharing</t>
  </si>
  <si>
    <t>knowledge</t>
  </si>
  <si>
    <t>leaders</t>
  </si>
  <si>
    <t>opinion</t>
  </si>
  <si>
    <t>uncover</t>
  </si>
  <si>
    <t>layout</t>
  </si>
  <si>
    <t>koren</t>
  </si>
  <si>
    <t>harel</t>
  </si>
  <si>
    <t>clustering</t>
  </si>
  <si>
    <t>dataauthenticity</t>
  </si>
  <si>
    <t>dataleakage</t>
  </si>
  <si>
    <t>confidentialcomputing</t>
  </si>
  <si>
    <t>generative</t>
  </si>
  <si>
    <t>manage</t>
  </si>
  <si>
    <t>organisation</t>
  </si>
  <si>
    <t>ff</t>
  </si>
  <si>
    <t>smpc2023</t>
  </si>
  <si>
    <t>make</t>
  </si>
  <si>
    <t>know</t>
  </si>
  <si>
    <t>until</t>
  </si>
  <si>
    <t>evidence</t>
  </si>
  <si>
    <t>discovery</t>
  </si>
  <si>
    <t>requested</t>
  </si>
  <si>
    <t>safely</t>
  </si>
  <si>
    <t>prosecution</t>
  </si>
  <si>
    <t>claiming</t>
  </si>
  <si>
    <t>order</t>
  </si>
  <si>
    <t>protective</t>
  </si>
  <si>
    <t>motion</t>
  </si>
  <si>
    <t>filed</t>
  </si>
  <si>
    <t>go</t>
  </si>
  <si>
    <t>posted</t>
  </si>
  <si>
    <t>donald</t>
  </si>
  <si>
    <t>wow</t>
  </si>
  <si>
    <t>quote</t>
  </si>
  <si>
    <t>symbol</t>
  </si>
  <si>
    <t>aryan</t>
  </si>
  <si>
    <t>graeco</t>
  </si>
  <si>
    <t>note</t>
  </si>
  <si>
    <t>greed</t>
  </si>
  <si>
    <t>conspiracy</t>
  </si>
  <si>
    <t>pol</t>
  </si>
  <si>
    <t>india</t>
  </si>
  <si>
    <t>vikramlander</t>
  </si>
  <si>
    <t>indiaonthemoon</t>
  </si>
  <si>
    <t>chandrayaan3landing</t>
  </si>
  <si>
    <t>chandrayaan3</t>
  </si>
  <si>
    <t>phdchat</t>
  </si>
  <si>
    <t>academia</t>
  </si>
  <si>
    <t>academictwitter</t>
  </si>
  <si>
    <t>metaverse</t>
  </si>
  <si>
    <t>selfdrivingcars</t>
  </si>
  <si>
    <t>cx</t>
  </si>
  <si>
    <t>analogy</t>
  </si>
  <si>
    <t>perfect</t>
  </si>
  <si>
    <t>ltä</t>
  </si>
  <si>
    <t>paljon</t>
  </si>
  <si>
    <t>aiheesta</t>
  </si>
  <si>
    <t>oppinut</t>
  </si>
  <si>
    <t>olen</t>
  </si>
  <si>
    <t>työkalunani</t>
  </si>
  <si>
    <t>ssa</t>
  </si>
  <si>
    <t>verkostoanalyysi'ä</t>
  </si>
  <si>
    <t>eduskunta</t>
  </si>
  <si>
    <t>hallitusohjelma</t>
  </si>
  <si>
    <t>intellectualproperty</t>
  </si>
  <si>
    <t>copyright</t>
  </si>
  <si>
    <t>law</t>
  </si>
  <si>
    <t>yyuomz3qar</t>
  </si>
  <si>
    <t>articlelink</t>
  </si>
  <si>
    <t>used</t>
  </si>
  <si>
    <t>witter</t>
  </si>
  <si>
    <t>occupational</t>
  </si>
  <si>
    <t>french</t>
  </si>
  <si>
    <t>english</t>
  </si>
  <si>
    <t>analyse</t>
  </si>
  <si>
    <t>meaningcloud</t>
  </si>
  <si>
    <t>applied</t>
  </si>
  <si>
    <t>method</t>
  </si>
  <si>
    <t>study</t>
  </si>
  <si>
    <t>main</t>
  </si>
  <si>
    <t>article</t>
  </si>
  <si>
    <t>syyskuuta</t>
  </si>
  <si>
    <t>vai</t>
  </si>
  <si>
    <t>asap</t>
  </si>
  <si>
    <t>aloitetaan</t>
  </si>
  <si>
    <t>eli</t>
  </si>
  <si>
    <t>deeplearning</t>
  </si>
  <si>
    <t>neuralnetworks</t>
  </si>
  <si>
    <t>knowledgereasoning</t>
  </si>
  <si>
    <t>knowledgerepresentation</t>
  </si>
  <si>
    <t>rational</t>
  </si>
  <si>
    <t>horses</t>
  </si>
  <si>
    <t>hold</t>
  </si>
  <si>
    <t>viestillä</t>
  </si>
  <si>
    <t>oitis</t>
  </si>
  <si>
    <t>hengen</t>
  </si>
  <si>
    <t>somemyrsky'</t>
  </si>
  <si>
    <t>olisi</t>
  </si>
  <si>
    <t>viikko</t>
  </si>
  <si>
    <t>tuo</t>
  </si>
  <si>
    <t>yliopistojen</t>
  </si>
  <si>
    <t>yhteistyössä</t>
  </si>
  <si>
    <t>ehkö</t>
  </si>
  <si>
    <t>omaavan</t>
  </si>
  <si>
    <t>seuraajamäärän</t>
  </si>
  <si>
    <t>ison</t>
  </si>
  <si>
    <t>muutaman</t>
  </si>
  <si>
    <t>ennalta</t>
  </si>
  <si>
    <t>sopia</t>
  </si>
  <si>
    <t>viikolla</t>
  </si>
  <si>
    <t>edeltävällä</t>
  </si>
  <si>
    <t>päätös</t>
  </si>
  <si>
    <t>vaikea</t>
  </si>
  <si>
    <t>plcd</t>
  </si>
  <si>
    <t>aejmc2023</t>
  </si>
  <si>
    <t>happy50thcsw</t>
  </si>
  <si>
    <t>nond</t>
  </si>
  <si>
    <t>viestiä</t>
  </si>
  <si>
    <t>laittaa</t>
  </si>
  <si>
    <t>toki</t>
  </si>
  <si>
    <t>voi</t>
  </si>
  <si>
    <t>traditiossa</t>
  </si>
  <si>
    <t>pysytään</t>
  </si>
  <si>
    <t>ehdottelen</t>
  </si>
  <si>
    <t>importers</t>
  </si>
  <si>
    <t>recent</t>
  </si>
  <si>
    <t>menu</t>
  </si>
  <si>
    <t>import</t>
  </si>
  <si>
    <t>please</t>
  </si>
  <si>
    <t>updated</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</si>
  <si>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</si>
  <si>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</si>
  <si>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</si>
  <si>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</si>
  <si>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</si>
  <si>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</si>
  <si>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</si>
  <si>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</si>
  <si>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</si>
  <si>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</si>
  <si>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</si>
  <si>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</si>
  <si>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</si>
  <si>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</si>
  <si>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</si>
  <si>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</si>
  <si>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</si>
  <si>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</si>
  <si>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</si>
  <si>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</si>
  <si>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</si>
  <si>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</si>
  <si>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</si>
  <si>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</si>
  <si>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</si>
  <si>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</si>
  <si>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</si>
  <si>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</si>
  <si>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</si>
  <si>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</si>
  <si>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</si>
  <si>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</si>
  <si>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</si>
  <si>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</si>
  <si>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</si>
  <si>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</si>
  <si>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</si>
  <si>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</si>
  <si>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</si>
  <si>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</si>
  <si>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</si>
  <si>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</si>
  <si>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</si>
  <si>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</si>
  <si>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</si>
  <si>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</si>
  <si>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</si>
  <si>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</si>
  <si>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</si>
  <si>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</si>
  <si>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</si>
  <si>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</si>
  <si>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</si>
  <si>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</si>
  <si>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</si>
  <si>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</si>
  <si>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</si>
  <si>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</si>
  <si>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</si>
  <si>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</si>
  <si>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</si>
  <si>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</si>
  <si>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</si>
  <si>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</si>
  <si>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</si>
  <si>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</si>
  <si>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</si>
  <si>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</si>
  <si>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</si>
  <si>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</si>
  <si>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</si>
  <si>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</si>
  <si>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</si>
  <si>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</si>
  <si>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</si>
  <si>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</si>
  <si>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</si>
  <si>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</si>
  <si>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</si>
  <si>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</si>
  <si>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</si>
  <si>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</si>
  <si>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</si>
  <si>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</si>
  <si>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</si>
  <si>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</si>
  <si>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</si>
  <si>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</si>
  <si>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</si>
  <si>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</si>
  <si>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</si>
  <si>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</si>
  <si>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</si>
  <si>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</si>
  <si>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</si>
  <si>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</si>
  <si>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</si>
  <si>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</si>
  <si>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</si>
  <si>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</si>
  <si>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</si>
  <si>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</si>
  <si>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</si>
  <si>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</si>
  <si>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</si>
  <si>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</si>
  <si>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</si>
  <si>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</si>
  <si>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</si>
  <si>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</si>
  <si>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</si>
  <si>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</si>
  <si>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</si>
  <si>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</si>
  <si>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</si>
  <si>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</si>
  <si>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</si>
  <si>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</si>
  <si>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</si>
  <si>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</si>
  <si>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</si>
  <si>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</si>
  <si>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</si>
  <si>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</si>
  <si>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</si>
  <si>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</si>
  <si>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</si>
  <si>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</si>
  <si>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</si>
  <si>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</si>
  <si>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</si>
  <si>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</si>
  <si>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</si>
  <si>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</si>
  <si>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</si>
  <si>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</si>
  <si>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</si>
  <si>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</si>
  <si>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</si>
  <si>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</si>
  <si>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</si>
  <si>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</si>
  <si>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</si>
  <si>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</si>
  <si>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</si>
  <si>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</si>
  <si>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</si>
  <si>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</si>
  <si>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</si>
  <si>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</si>
  <si>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</si>
  <si>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</si>
  <si>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</si>
  <si>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</si>
  <si>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</si>
  <si>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</si>
  <si>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</si>
  <si>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</si>
  <si>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</si>
  <si>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</si>
  <si>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</si>
  <si>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</si>
  <si>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</si>
  <si>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</si>
  <si>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</si>
  <si>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</si>
  <si>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</si>
  <si>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</si>
  <si>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</si>
  <si>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</si>
  <si>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</si>
  <si>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</si>
  <si>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</si>
  <si>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</si>
  <si>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</si>
  <si>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</si>
  <si>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</si>
  <si>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</si>
  <si>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</si>
  <si>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</si>
  <si>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</si>
  <si>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</si>
  <si>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</si>
  <si>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</si>
  <si>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</si>
  <si>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</si>
  <si>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</si>
  <si>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</si>
  <si>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</si>
  <si>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</si>
  <si>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</si>
  <si>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</si>
  <si>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</si>
  <si>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</si>
  <si>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</si>
  <si>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</si>
  <si>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</si>
  <si>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</si>
  <si>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</si>
  <si>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</si>
  <si>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</si>
  <si>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</si>
  <si>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</si>
  <si>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</si>
  <si>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</si>
  <si>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</si>
  <si>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</si>
  <si>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</si>
  <si>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</si>
  <si>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</si>
  <si>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</si>
  <si>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</si>
  <si>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</si>
  <si>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</si>
  <si>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</si>
  <si>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</si>
  <si>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</si>
  <si>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</si>
  <si>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</si>
  <si>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</si>
  <si>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</si>
  <si>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</si>
  <si>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</si>
  <si>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</si>
  <si>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</si>
  <si>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</si>
  <si>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</si>
  <si>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</si>
  <si>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</si>
  <si>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</si>
  <si>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</si>
  <si>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</si>
  <si>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</si>
  <si>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</si>
  <si>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</si>
  <si>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</si>
  <si>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</si>
  <si>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</si>
  <si>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</si>
  <si>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</si>
  <si>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</si>
  <si>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</si>
  <si>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</si>
  <si>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</si>
  <si>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</si>
  <si>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</si>
  <si>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</si>
  <si>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</si>
  <si>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</si>
  <si>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</si>
  <si>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</si>
  <si>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</si>
  <si>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</si>
  <si>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</si>
  <si>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</si>
  <si>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</si>
  <si>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</si>
  <si>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</si>
  <si>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</si>
  <si>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</si>
  <si>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</si>
  <si>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</si>
  <si>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</si>
  <si>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</si>
  <si>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</si>
  <si>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</si>
  <si>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</si>
  <si>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</si>
  <si>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</si>
  <si>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</si>
  <si>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</si>
  <si>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</si>
  <si>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</si>
  <si>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</si>
  <si>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</si>
  <si>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</si>
  <si>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</si>
  <si>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</si>
  <si>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</si>
  <si>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</si>
  <si>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</si>
  <si>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</si>
  <si>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</si>
  <si>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</si>
  <si>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</si>
  <si>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</si>
  <si>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</si>
  <si>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</si>
  <si>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</si>
  <si>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</si>
  <si>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</si>
  <si>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</si>
  <si>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</si>
  <si>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</si>
  <si>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</si>
  <si>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</si>
  <si>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</si>
  <si>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</si>
  <si>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</si>
  <si>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</si>
  <si>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</si>
  <si>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</si>
  <si>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</si>
  <si>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</si>
  <si>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</si>
  <si>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</si>
  <si>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</si>
  <si>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</si>
  <si>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</si>
  <si>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</si>
  <si>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</si>
  <si>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</si>
  <si>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</si>
  <si>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</si>
  <si>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</si>
  <si>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</si>
  <si>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</si>
  <si>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</si>
  <si>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</si>
  <si>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</si>
  <si>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</si>
  <si>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</si>
  <si>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</si>
  <si>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</si>
  <si>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</si>
  <si>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</si>
  <si>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</si>
  <si>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</si>
  <si>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</si>
  <si>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</si>
  <si>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</si>
  <si>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</si>
  <si>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</si>
  <si>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</si>
  <si>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</si>
  <si>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</si>
  <si>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</si>
  <si>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</si>
  <si>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</si>
  <si>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</si>
  <si>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</si>
  <si>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</si>
  <si>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</si>
  <si>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</si>
  <si>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</si>
  <si>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</si>
  <si>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</si>
  <si>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</si>
  <si>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</si>
  <si>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</si>
  <si>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</si>
  <si>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</si>
  <si>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</si>
  <si>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</si>
  <si>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</si>
  <si>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</si>
  <si>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</si>
  <si>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</si>
  <si>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</si>
  <si>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</si>
  <si>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</si>
  <si>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</si>
  <si>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</si>
  <si>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</si>
  <si>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</si>
  <si>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</si>
  <si>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</si>
  <si>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</si>
  <si>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</si>
  <si>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</si>
  <si>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</si>
  <si>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</si>
  <si>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</si>
  <si>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</si>
  <si>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</si>
  <si>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</si>
  <si>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</si>
  <si>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</si>
  <si>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</si>
  <si>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</si>
  <si>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</si>
  <si>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</si>
  <si>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</si>
  <si>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</si>
  <si>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</si>
  <si>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</si>
  <si>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</si>
  <si>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</si>
  <si>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</si>
  <si>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</si>
  <si>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</si>
  <si>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</si>
  <si>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</si>
  <si>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</si>
  <si>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</si>
  <si>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</si>
  <si>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</si>
  <si>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</si>
  <si>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</si>
  <si>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</si>
  <si>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</si>
  <si>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</si>
  <si>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</si>
  <si>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</si>
  <si>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</si>
  <si>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</si>
  <si>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</si>
  <si>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</si>
  <si>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</si>
  <si>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</si>
  <si>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</si>
  <si>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</si>
  <si>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</si>
  <si>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</si>
  <si>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</si>
  <si>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</si>
  <si>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</si>
  <si>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</si>
  <si>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</si>
  <si>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</si>
  <si>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</si>
  <si>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</si>
  <si>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</si>
  <si>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</si>
  <si>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</si>
  <si>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</si>
  <si>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</si>
  <si>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</si>
  <si>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</si>
  <si>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</si>
  <si>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</si>
  <si>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</si>
  <si>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</si>
  <si>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</si>
  <si>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</si>
  <si>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</si>
  <si>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</si>
  <si>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</si>
  <si>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</si>
  <si>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</si>
  <si>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</si>
  <si>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</si>
  <si>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</si>
  <si>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</si>
  <si>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</si>
  <si>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</si>
  <si>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</si>
  <si>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</si>
  <si>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</si>
  <si>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</si>
  <si>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</si>
  <si>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</si>
  <si>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</si>
  <si>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</si>
  <si>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</si>
  <si>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</si>
  <si>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</si>
  <si>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</si>
  <si>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</si>
  <si>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</si>
  <si>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</si>
  <si>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</si>
  <si>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</si>
  <si>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</si>
  <si>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</si>
  <si>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</si>
  <si>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</si>
  <si>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</si>
  <si>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</si>
  <si>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</si>
  <si>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</si>
  <si>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</si>
  <si>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</si>
  <si>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</si>
  <si>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</si>
  <si>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</si>
  <si>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</si>
  <si>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</si>
  <si>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</si>
  <si>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</si>
  <si>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</si>
  <si>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</si>
  <si>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</si>
  <si>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</si>
  <si>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</si>
  <si>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</si>
  <si>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</si>
  <si>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</si>
  <si>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</si>
  <si>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</si>
  <si>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</si>
  <si>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</si>
  <si>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</si>
  <si>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</si>
  <si>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</si>
  <si>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</si>
  <si>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</si>
  <si>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</si>
  <si>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</si>
  <si>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</si>
  <si>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</si>
  <si>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</si>
  <si>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</si>
  <si>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</si>
  <si>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</si>
  <si>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</si>
  <si>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</si>
  <si>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</si>
  <si>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</si>
  <si>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</si>
  <si>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</si>
  <si>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</si>
  <si>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</si>
  <si>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</si>
  <si>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</si>
  <si>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</si>
  <si>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</si>
  <si>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</si>
  <si>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</si>
  <si>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</si>
  <si>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</si>
  <si>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</si>
  <si>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</si>
  <si>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</si>
  <si>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</si>
  <si>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</si>
  <si>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</si>
  <si>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</si>
  <si>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</si>
  <si>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</si>
  <si>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</si>
  <si>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</si>
  <si>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</si>
  <si>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</si>
  <si>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</si>
  <si>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</si>
  <si>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</si>
  <si>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</si>
  <si>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</si>
  <si>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</si>
  <si>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</si>
  <si>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</si>
  <si>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</si>
  <si>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</si>
  <si>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</si>
  <si>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</si>
  <si>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</si>
  <si>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</si>
  <si>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</si>
  <si>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</si>
  <si>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</si>
  <si>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</si>
  <si>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</si>
  <si>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</si>
  <si>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</si>
  <si>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</si>
  <si>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</si>
  <si>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</si>
  <si>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</si>
  <si>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</si>
  <si>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</si>
  <si>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</si>
  <si>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</si>
  <si>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</si>
  <si>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</si>
  <si>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</si>
  <si>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</si>
  <si>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</si>
  <si>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</si>
  <si>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</si>
  <si>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</si>
  <si>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</si>
  <si>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</si>
  <si>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</si>
  <si>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</si>
  <si>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</si>
  <si>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</si>
  <si>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</si>
  <si>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</si>
  <si>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</si>
  <si>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</si>
  <si>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</si>
  <si>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</si>
  <si>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</si>
  <si>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</si>
  <si>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</si>
  <si>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</si>
  <si>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</si>
  <si>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</si>
  <si>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</si>
  <si>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</si>
  <si>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</si>
  <si>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</si>
  <si>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</si>
  <si>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</si>
  <si>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</si>
  <si>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</si>
  <si>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</si>
  <si>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</si>
  <si>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</si>
  <si>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</si>
  <si>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</si>
  <si>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</si>
  <si>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</si>
  <si>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</si>
  <si>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</si>
  <si>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</si>
  <si>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</si>
  <si>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</si>
  <si>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</si>
  <si>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</si>
  <si>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</si>
  <si>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</si>
  <si>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</si>
  <si>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</si>
  <si>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</si>
  <si>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</si>
  <si>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</si>
  <si>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</si>
  <si>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</si>
  <si>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</si>
  <si>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</si>
  <si>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</si>
  <si>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</si>
  <si>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</si>
  <si>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</si>
  <si>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</si>
  <si>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</si>
  <si>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</si>
  <si>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</si>
  <si>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</si>
  <si>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</si>
  <si>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</si>
  <si>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</si>
  <si>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</si>
  <si>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</si>
  <si>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</si>
  <si>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</si>
  <si>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</si>
  <si>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</si>
  <si>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</si>
  <si>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</si>
  <si>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</si>
  <si>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</si>
  <si>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</si>
  <si>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</si>
  <si>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</si>
  <si>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</si>
  <si>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</si>
  <si>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</si>
  <si>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</si>
  <si>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</si>
  <si>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</si>
  <si>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</si>
  <si>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</si>
  <si>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</si>
  <si>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</si>
  <si>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</si>
  <si>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</si>
  <si>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</si>
  <si>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</si>
  <si>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</si>
  <si>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</si>
  <si>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</si>
  <si>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</si>
  <si>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</si>
  <si>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</si>
  <si>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</si>
  <si>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</si>
  <si>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</si>
  <si>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</si>
  <si>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</si>
  <si>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</si>
  <si>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</si>
  <si>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</si>
  <si>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</si>
  <si>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</si>
  <si>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</si>
  <si>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</si>
  <si>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</si>
  <si>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</si>
  <si>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</si>
  <si>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</si>
  <si>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</si>
  <si>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</si>
  <si>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</si>
  <si>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</si>
  <si>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</si>
  <si>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</si>
  <si>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</si>
  <si>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</si>
  <si>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</si>
  <si>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</si>
  <si>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</si>
  <si>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</si>
  <si>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</si>
  <si>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</si>
  <si>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</si>
  <si>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</si>
  <si>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</si>
  <si>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</si>
  <si>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</si>
  <si>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</si>
  <si>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</si>
  <si>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</si>
  <si>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</si>
  <si>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</si>
  <si>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</si>
  <si>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</si>
  <si>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</si>
  <si>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</si>
  <si>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</si>
  <si>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</si>
  <si>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</si>
  <si>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</si>
  <si>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</si>
  <si>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</si>
  <si>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</si>
  <si>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</si>
  <si>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</si>
  <si>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</si>
  <si>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</si>
  <si>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</si>
  <si>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</si>
  <si>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</si>
  <si>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</si>
  <si>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</si>
  <si>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</si>
  <si>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</si>
  <si>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</si>
  <si>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</si>
  <si>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</si>
  <si>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</si>
  <si>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</si>
  <si>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</si>
  <si>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</si>
  <si>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</si>
  <si>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</si>
  <si>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</si>
  <si>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</si>
  <si>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</si>
  <si>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</si>
  <si>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</si>
  <si>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</si>
  <si>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</si>
  <si>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</si>
  <si>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</si>
  <si>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</si>
  <si>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</si>
  <si>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</si>
  <si>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</si>
  <si>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</si>
  <si>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</si>
  <si>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</si>
  <si>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</si>
  <si>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</si>
  <si>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</si>
  <si>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</si>
  <si>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</si>
  <si>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</si>
  <si>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</si>
  <si>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</si>
  <si>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</si>
  <si>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</si>
  <si>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</si>
  <si>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</si>
  <si>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</si>
  <si>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</si>
  <si>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</si>
  <si>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</si>
  <si>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</si>
  <si>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</si>
  <si>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</si>
  <si>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</si>
  <si>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</si>
  <si>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</si>
  <si>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</si>
  <si>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</si>
  <si>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</si>
  <si>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</si>
  <si>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</si>
  <si>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</si>
  <si>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</si>
  <si>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</si>
  <si>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</si>
  <si>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</si>
  <si>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</si>
  <si>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</si>
  <si>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</si>
  <si>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</si>
  <si>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</si>
  <si>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</si>
  <si>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</si>
  <si>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</si>
  <si>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</si>
  <si>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</si>
  <si>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</si>
  <si>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</si>
  <si>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</si>
  <si>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</si>
  <si>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</si>
  <si>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</si>
  <si>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</si>
  <si>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</si>
  <si>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</si>
  <si>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</si>
  <si>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</si>
  <si>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</si>
  <si>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</si>
  <si>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</si>
  <si>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</si>
  <si>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</si>
  <si>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</si>
  <si>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</si>
  <si>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</si>
  <si>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</si>
  <si>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</si>
  <si>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</si>
  <si>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</si>
  <si>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</si>
  <si>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</si>
  <si>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</si>
  <si>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</si>
  <si>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</si>
  <si>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</si>
  <si>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</si>
  <si>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</si>
  <si>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</si>
  <si>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</si>
  <si>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</si>
  <si>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</si>
  <si>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</si>
  <si>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</si>
  <si>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</si>
  <si>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</si>
  <si>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</si>
  <si>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</si>
  <si>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</si>
  <si>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</si>
  <si>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</si>
  <si>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</si>
  <si>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</si>
  <si>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</si>
  <si>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</si>
  <si>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</si>
  <si>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</si>
  <si>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</si>
  <si>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</si>
  <si>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</si>
  <si>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</si>
  <si>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</si>
  <si>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</si>
  <si>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</si>
  <si>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</si>
  <si>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</si>
  <si>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</si>
  <si>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</si>
  <si>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</si>
  <si>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</si>
  <si>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</si>
  <si>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</si>
  <si>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</si>
  <si>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</si>
  <si>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</si>
  <si>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</si>
  <si>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</si>
  <si>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</si>
  <si>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</si>
  <si>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</si>
  <si>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</si>
  <si>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</si>
  <si>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</si>
  <si>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</si>
  <si>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</si>
  <si>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</si>
  <si>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</si>
  <si>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</si>
  <si>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</si>
  <si>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</si>
  <si>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</si>
  <si>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</si>
  <si>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</si>
  <si>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</si>
  <si>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</si>
  <si>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</si>
  <si>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</si>
  <si>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</si>
  <si>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</si>
  <si>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</si>
  <si>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</si>
  <si>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</si>
  <si>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</si>
  <si>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</si>
  <si>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</si>
  <si>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</si>
  <si>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</si>
  <si>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</si>
  <si>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</si>
  <si>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</si>
  <si>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</si>
  <si>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</si>
  <si>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</si>
  <si>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</si>
  <si>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</si>
  <si>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</si>
  <si>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</si>
  <si>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</si>
  <si>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</si>
  <si>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</si>
  <si>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</si>
  <si>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</si>
  <si>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</si>
  <si>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</si>
  <si>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</si>
  <si>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</si>
  <si>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</si>
  <si>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</si>
  <si>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</si>
  <si>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</si>
  <si>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</si>
  <si>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</si>
  <si>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</si>
  <si>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</si>
  <si>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</si>
  <si>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</si>
  <si>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</si>
  <si>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</si>
  <si>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</si>
  <si>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</si>
  <si>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</si>
  <si>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</si>
  <si>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</si>
  <si>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</si>
  <si>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</si>
  <si>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</si>
  <si>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</si>
  <si>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</si>
  <si>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</si>
  <si>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</si>
  <si>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</si>
  <si>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</si>
  <si>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</si>
  <si>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</si>
  <si>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</si>
  <si>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</si>
  <si>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</si>
  <si>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</si>
  <si>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</si>
  <si>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</si>
  <si>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</si>
  <si>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</si>
  <si>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</si>
  <si>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</si>
  <si>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</si>
  <si>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</si>
  <si>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</si>
  <si>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</si>
  <si>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</si>
  <si>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</si>
  <si>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</si>
  <si>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</si>
  <si>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</si>
  <si>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</si>
  <si>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</si>
  <si>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</si>
  <si>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</si>
  <si>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</si>
  <si>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</si>
  <si>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</si>
  <si>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</si>
  <si>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</si>
  <si>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</si>
  <si>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</si>
  <si>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</si>
  <si>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</si>
  <si>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</si>
  <si>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</si>
  <si>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</si>
  <si>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</si>
  <si>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</si>
  <si>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</si>
  <si>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</si>
  <si>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</si>
  <si>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</si>
  <si>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</si>
  <si>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</si>
  <si>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</si>
  <si>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</si>
  <si>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</si>
  <si>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</si>
  <si>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</si>
  <si>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</si>
  <si>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</si>
  <si>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</si>
  <si>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</si>
  <si>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</si>
  <si>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</si>
  <si>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</si>
  <si>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</si>
  <si>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</si>
  <si>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</si>
  <si>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</si>
  <si>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</si>
  <si>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</si>
  <si>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</si>
  <si>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</si>
  <si>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</si>
  <si>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</si>
  <si>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</si>
  <si>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</si>
  <si>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</si>
  <si>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</si>
  <si>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</si>
  <si>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</si>
  <si>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</si>
  <si>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</si>
  <si>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</si>
  <si>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</si>
  <si>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</si>
  <si>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</si>
  <si>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</si>
  <si>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</si>
  <si>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</si>
  <si>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</si>
  <si>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</si>
  <si>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</si>
  <si>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</si>
  <si>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</si>
  <si>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</si>
  <si>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</si>
  <si>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</si>
  <si>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</si>
  <si>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</si>
  <si>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</si>
  <si>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</si>
  <si>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</si>
  <si>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</si>
  <si>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</si>
  <si>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</si>
  <si>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</si>
  <si>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</si>
  <si>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</si>
  <si>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</si>
  <si>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</si>
  <si>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</si>
  <si>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</si>
  <si>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</si>
  <si>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</si>
  <si>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</si>
  <si>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</si>
  <si>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</si>
  <si>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</si>
  <si>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</si>
  <si>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</si>
  <si>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</si>
  <si>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</si>
  <si>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</si>
  <si>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</si>
  <si>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</si>
  <si>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</si>
  <si>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</si>
  <si>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</si>
  <si>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</si>
  <si>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</si>
  <si>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</si>
  <si>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</si>
  <si>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</si>
  <si>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</si>
  <si>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</si>
  <si>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</si>
  <si>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</si>
  <si>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</si>
  <si>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</si>
  <si>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</si>
  <si>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</si>
  <si>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</si>
  <si>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</si>
  <si>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</si>
  <si>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</si>
  <si>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</si>
  <si>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</si>
  <si>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</si>
  <si>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</si>
  <si>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</si>
  <si>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</si>
  <si>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</si>
  <si>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</si>
  <si>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</si>
  <si>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</si>
  <si>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</si>
  <si>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</si>
  <si>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</si>
  <si>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</si>
  <si>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</si>
  <si>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</si>
  <si>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</si>
  <si>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</si>
  <si>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</si>
  <si>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</si>
  <si>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</si>
  <si>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</si>
  <si>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</si>
  <si>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</si>
  <si>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</si>
  <si>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</si>
  <si>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</si>
  <si>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</si>
  <si>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</si>
  <si>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</si>
  <si>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</si>
  <si>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</si>
  <si>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</si>
  <si>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</si>
  <si>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</si>
  <si>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</si>
  <si>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</si>
  <si>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</si>
  <si>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</si>
  <si>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</si>
  <si>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</si>
  <si>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</si>
  <si>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</si>
  <si>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</si>
  <si>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</si>
  <si>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</si>
  <si>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</si>
  <si>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</si>
  <si>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</si>
  <si>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</si>
  <si>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</si>
  <si>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</si>
  <si>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</si>
  <si>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</si>
  <si>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</si>
  <si>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</si>
  <si>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</si>
  <si>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</si>
  <si>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</si>
  <si>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</si>
  <si>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</si>
  <si>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</si>
  <si>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</si>
  <si>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</si>
  <si>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</si>
  <si>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</si>
  <si>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</si>
  <si>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</si>
  <si>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</si>
  <si>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</si>
  <si>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</si>
  <si>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</si>
  <si>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</si>
  <si>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</si>
  <si>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</si>
  <si>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</si>
  <si>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</si>
  <si>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</si>
  <si>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</si>
  <si>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</si>
  <si>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</si>
  <si>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</si>
  <si>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</si>
  <si>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</si>
  <si>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</si>
  <si>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</si>
  <si>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</si>
  <si>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</si>
  <si>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</si>
  <si>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</si>
  <si>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</si>
  <si>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</si>
  <si>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</si>
  <si>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</si>
  <si>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</si>
  <si>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</si>
  <si>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</si>
  <si>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</si>
  <si>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</si>
  <si>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</si>
  <si>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</si>
  <si>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</si>
  <si>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</si>
  <si>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</si>
  <si>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</si>
  <si>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</si>
  <si>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</si>
  <si>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</si>
  <si>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</si>
  <si>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</si>
  <si>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</si>
  <si>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</si>
  <si>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</si>
  <si>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</si>
  <si>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</si>
  <si>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</si>
  <si>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</si>
  <si>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</si>
  <si>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</si>
  <si>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</si>
  <si>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</si>
  <si>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</si>
  <si>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</si>
  <si>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</si>
  <si>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</si>
  <si>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</si>
  <si>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</si>
  <si>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</si>
  <si>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</si>
  <si>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</si>
  <si>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</si>
  <si>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</si>
  <si>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</si>
  <si>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</si>
  <si>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</si>
  <si>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</si>
  <si>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</si>
  <si>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</si>
  <si>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</si>
  <si>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</si>
  <si>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</si>
  <si>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</si>
  <si>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</si>
  <si>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</si>
  <si>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</si>
  <si>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</si>
  <si>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</si>
  <si>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</si>
  <si>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</si>
  <si>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</si>
  <si>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</si>
  <si>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</si>
  <si>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</si>
  <si>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</si>
  <si>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</si>
  <si>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</si>
  <si>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</si>
  <si>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</si>
  <si>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</si>
  <si>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</si>
  <si>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</si>
  <si>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</si>
  <si>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</si>
  <si>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</si>
  <si>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</si>
  <si>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</si>
  <si>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</si>
  <si>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</si>
  <si>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</si>
  <si>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</si>
  <si>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</si>
  <si>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</si>
  <si>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</si>
  <si>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</si>
  <si>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</si>
  <si>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</si>
  <si>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</si>
  <si>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</si>
  <si>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</si>
  <si>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</si>
  <si>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</si>
  <si>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</si>
  <si>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</si>
  <si>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</si>
  <si>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</si>
  <si>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</si>
  <si>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</si>
  <si>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</si>
  <si>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</si>
  <si>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</si>
  <si>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</si>
  <si>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</si>
  <si>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</si>
  <si>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</si>
  <si>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</si>
  <si>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</si>
  <si>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</si>
  <si>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</si>
  <si>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</si>
  <si>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</si>
  <si>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</si>
  <si>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</si>
  <si>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</si>
  <si>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</si>
  <si>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</si>
  <si>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</si>
  <si>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</si>
  <si>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</si>
  <si>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</si>
  <si>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</si>
  <si>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</si>
  <si>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</si>
  <si>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</si>
  <si>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</si>
  <si>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</si>
  <si>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</si>
  <si>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</si>
  <si>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</si>
  <si>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</si>
  <si>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</si>
  <si>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</si>
  <si>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</si>
  <si>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</si>
  <si>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</si>
  <si>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</si>
  <si>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</si>
  <si>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</si>
  <si>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</si>
  <si>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</si>
  <si>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</si>
  <si>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</si>
  <si>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</si>
  <si>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</si>
  <si>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</si>
  <si>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</si>
  <si>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</si>
  <si>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</si>
  <si>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</si>
  <si>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</si>
  <si>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</si>
  <si>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</si>
  <si>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</si>
  <si>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</si>
  <si>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</si>
  <si>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</si>
  <si>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</si>
  <si>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</si>
  <si>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</si>
  <si>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</si>
  <si>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</si>
  <si>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</si>
  <si>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</si>
  <si>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</si>
  <si>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</si>
  <si>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</si>
  <si>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</si>
  <si>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</si>
  <si>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</si>
  <si>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</si>
  <si>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</si>
  <si>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</si>
  <si>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</si>
  <si>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</si>
  <si>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</si>
  <si>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</si>
  <si>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</si>
  <si>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</si>
  <si>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</si>
  <si>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</si>
  <si>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</si>
  <si>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</si>
  <si>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</si>
  <si>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</si>
  <si>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</si>
  <si>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</si>
  <si>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</si>
  <si>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</si>
  <si>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</si>
  <si>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</si>
  <si>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</si>
  <si>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</si>
  <si>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</si>
  <si>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</si>
  <si>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</si>
  <si>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</si>
  <si>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</si>
  <si>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</si>
  <si>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</si>
  <si>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</si>
  <si>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</si>
  <si>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</si>
  <si>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</si>
  <si>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</si>
  <si>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</si>
  <si>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</si>
  <si>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</si>
  <si>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</si>
  <si>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</si>
  <si>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</si>
  <si>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</si>
  <si>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</si>
  <si>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</si>
  <si>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</si>
  <si>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</si>
  <si>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</si>
  <si>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</si>
  <si>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</si>
  <si>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</si>
  <si>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</si>
  <si>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</si>
  <si>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</si>
  <si>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</si>
  <si>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</si>
  <si>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</si>
  <si>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</si>
  <si>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</si>
  <si>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</si>
  <si>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</si>
  <si>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</si>
  <si>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</si>
  <si>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</si>
  <si>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</si>
  <si>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</si>
  <si>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</si>
  <si>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</si>
  <si>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</si>
  <si>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</si>
  <si>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</si>
  <si>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</si>
  <si>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</si>
  <si>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</si>
  <si>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</si>
  <si>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</si>
  <si>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</si>
  <si>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</si>
  <si>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</si>
  <si>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</si>
  <si>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</si>
  <si>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</si>
  <si>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</si>
  <si>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</si>
  <si>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</si>
  <si>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</si>
  <si>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</si>
  <si>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</si>
  <si>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</si>
  <si>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</si>
  <si>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</si>
  <si>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</si>
  <si>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</si>
  <si>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</si>
  <si>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</si>
  <si>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</si>
  <si>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</si>
  <si>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</si>
  <si>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</si>
  <si>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</si>
  <si>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</si>
  <si>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</si>
  <si>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</si>
  <si>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</si>
  <si>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</si>
  <si>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</si>
  <si>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</si>
  <si>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</si>
  <si>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</si>
  <si>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</si>
  <si>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</si>
  <si>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</si>
  <si>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</si>
  <si>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</si>
  <si>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</si>
  <si>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</si>
  <si>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</si>
  <si>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</si>
  <si>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</si>
  <si>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</si>
  <si>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</si>
  <si>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</si>
  <si>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</si>
  <si>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</si>
  <si>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</si>
  <si>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</si>
  <si>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</si>
  <si>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</si>
  <si>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</si>
  <si>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</si>
  <si>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</si>
  <si>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</si>
  <si>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</si>
  <si>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</si>
  <si>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</si>
  <si>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</si>
  <si>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</si>
  <si>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</si>
  <si>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</si>
  <si>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</si>
  <si>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</si>
  <si>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</si>
  <si>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</si>
  <si>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</si>
  <si>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</si>
  <si>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</si>
  <si>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</si>
  <si>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</si>
  <si>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</si>
  <si>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</si>
  <si>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</si>
  <si>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</si>
  <si>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</si>
  <si>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</si>
  <si>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</si>
  <si>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</si>
  <si>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</si>
  <si>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</si>
  <si>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</si>
  <si>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</si>
  <si>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</si>
  <si>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</si>
  <si>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</si>
  <si>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</si>
  <si>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</si>
  <si>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</si>
  <si>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</si>
  <si>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</si>
  <si>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</si>
  <si>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</si>
  <si>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</si>
  <si>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</si>
  <si>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</si>
  <si>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</si>
  <si>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</si>
  <si>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</si>
  <si>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</si>
  <si>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</si>
  <si>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</si>
  <si>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</si>
  <si>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</si>
  <si>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</si>
  <si>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</si>
  <si>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</si>
  <si>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</si>
  <si>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</si>
  <si>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</si>
  <si>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</si>
  <si>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</si>
  <si>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</si>
  <si>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</si>
  <si>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</si>
  <si>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</si>
  <si>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</si>
  <si>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</si>
  <si>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</si>
  <si>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</si>
  <si>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</si>
  <si>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</si>
  <si>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</si>
  <si>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</si>
  <si>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</si>
  <si>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</si>
  <si>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</si>
  <si>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</si>
  <si>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</si>
  <si>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</si>
  <si>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</si>
  <si>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</si>
  <si>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</si>
  <si>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</si>
  <si>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</si>
  <si>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</si>
  <si>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</si>
  <si>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</si>
  <si>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</si>
  <si>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</si>
  <si>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</si>
  <si>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</si>
  <si>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</si>
  <si>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</si>
  <si>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</si>
  <si>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</si>
  <si>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</si>
  <si>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</si>
  <si>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</si>
  <si>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</si>
  <si>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</si>
  <si>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</si>
  <si>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</si>
  <si>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</si>
  <si>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</si>
  <si>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</si>
  <si>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</si>
  <si>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</si>
  <si>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</si>
  <si>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</si>
  <si>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</si>
  <si>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</si>
  <si>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</si>
  <si>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</si>
  <si>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</si>
  <si>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</si>
  <si>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</si>
  <si>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</si>
  <si>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</si>
  <si>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</si>
  <si>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</si>
  <si>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</si>
  <si>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</si>
  <si>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</si>
  <si>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</si>
  <si>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</si>
  <si>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</si>
  <si>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</si>
  <si>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</si>
  <si>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</si>
  <si>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</si>
  <si>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</si>
  <si>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</si>
  <si>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</si>
  <si>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</si>
  <si>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</si>
  <si>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</si>
  <si>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</si>
  <si>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</si>
  <si>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</si>
  <si>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</si>
  <si>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</si>
  <si>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</si>
  <si>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</si>
  <si>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</si>
  <si>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</si>
  <si>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</si>
  <si>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</si>
  <si>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</si>
  <si>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</si>
  <si>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</si>
  <si>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</si>
  <si>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</si>
  <si>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</si>
  <si>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</si>
  <si>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</si>
  <si>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</si>
  <si>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</si>
  <si>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</si>
  <si>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</si>
  <si>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</si>
  <si>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</si>
  <si>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</si>
  <si>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</si>
  <si>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</si>
  <si>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</si>
  <si>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</si>
  <si>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</si>
  <si>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</si>
  <si>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</si>
  <si>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</si>
  <si>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</si>
  <si>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</si>
  <si>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</si>
  <si>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</si>
  <si>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</si>
  <si>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</si>
  <si>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</si>
  <si>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</si>
  <si>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</si>
  <si>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</si>
  <si>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</si>
  <si>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</si>
  <si>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</si>
  <si>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</si>
  <si>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</si>
  <si>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</si>
  <si>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</si>
  <si>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</si>
  <si>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</si>
  <si>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</si>
  <si>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</si>
  <si>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</si>
  <si>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</si>
  <si>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</si>
  <si>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</si>
  <si>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</si>
  <si>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</si>
  <si>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</si>
  <si>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</si>
  <si>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</si>
  <si>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</si>
  <si>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</si>
  <si>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</si>
  <si>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</si>
  <si>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</si>
  <si>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</si>
  <si>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</si>
  <si>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</si>
  <si>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</si>
  <si>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</si>
  <si>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</si>
  <si>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</si>
  <si>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</si>
  <si>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</si>
  <si>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</si>
  <si>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</si>
  <si>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</si>
  <si>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</si>
  <si>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</si>
  <si>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</si>
  <si>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</si>
  <si>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</si>
  <si>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</si>
  <si>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</si>
  <si>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</si>
  <si>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</si>
  <si>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</si>
  <si>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</si>
  <si>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</si>
  <si>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</si>
  <si>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</si>
  <si>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</si>
  <si>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</si>
  <si>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</si>
  <si>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</si>
  <si>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</si>
  <si>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</si>
  <si>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</si>
  <si>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</si>
  <si>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</si>
  <si>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</si>
  <si>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</si>
  <si>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</si>
  <si>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</si>
  <si>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</si>
  <si>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</si>
  <si>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</si>
  <si>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</si>
  <si>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</si>
  <si>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</si>
  <si>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</si>
  <si>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</si>
  <si>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</si>
  <si>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</si>
  <si>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</si>
  <si>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</si>
  <si>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</si>
  <si>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</si>
  <si>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</si>
  <si>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</si>
  <si>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</si>
  <si>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</si>
  <si>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</si>
  <si>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</si>
  <si>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</si>
  <si>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</si>
  <si>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</si>
  <si>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</si>
  <si>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</si>
  <si>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</si>
  <si>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</si>
  <si>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</si>
  <si>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</si>
  <si>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</si>
  <si>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</si>
  <si>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</si>
  <si>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</si>
  <si>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</si>
  <si>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</si>
  <si>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</si>
  <si>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</si>
  <si>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</si>
  <si>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</si>
  <si>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</si>
  <si>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</si>
  <si>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</si>
  <si>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</si>
  <si>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</si>
  <si>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</si>
  <si>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</si>
  <si>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</si>
  <si>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</si>
  <si>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</si>
  <si>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</si>
  <si>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</si>
  <si>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</si>
  <si>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</si>
  <si>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</si>
  <si>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</si>
  <si>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</si>
  <si>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</si>
  <si>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</si>
  <si>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</si>
  <si>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</si>
  <si>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</si>
  <si>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</si>
  <si>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</si>
  <si>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</si>
  <si>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</si>
  <si>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</si>
  <si>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</si>
  <si>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</si>
  <si>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</si>
  <si>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</si>
  <si>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</si>
  <si>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</si>
  <si>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</si>
  <si>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</si>
  <si>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</si>
  <si>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</si>
  <si>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</si>
  <si>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</si>
  <si>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</si>
  <si>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</si>
  <si>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</si>
  <si>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</si>
  <si>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</si>
  <si>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</si>
  <si>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</si>
  <si>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</si>
  <si>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</si>
  <si>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</si>
  <si>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</si>
  <si>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</si>
  <si>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</si>
  <si>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</si>
  <si>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</si>
  <si>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</si>
  <si>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</si>
  <si>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</si>
  <si>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</si>
  <si>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</si>
  <si>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</si>
  <si>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</si>
  <si>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</si>
  <si>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</si>
  <si>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</si>
  <si>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</si>
  <si>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</si>
  <si>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</si>
  <si>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</si>
  <si>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</si>
  <si>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</si>
  <si>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</si>
  <si>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</si>
  <si>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</si>
  <si>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</si>
  <si>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</si>
  <si>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</si>
  <si>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</si>
  <si>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</si>
  <si>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</si>
  <si>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</si>
  <si>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</si>
  <si>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</si>
  <si>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</si>
  <si>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</si>
  <si>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</si>
  <si>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</si>
  <si>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</si>
  <si>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</si>
  <si>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</si>
  <si>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</si>
  <si>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</si>
  <si>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</si>
  <si>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</si>
  <si>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</si>
  <si>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</si>
  <si>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</si>
  <si>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</si>
  <si>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</si>
  <si>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</si>
  <si>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</si>
  <si>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</si>
  <si>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</si>
  <si>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</si>
  <si>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</si>
  <si>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</si>
  <si>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</si>
  <si>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</si>
  <si>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</si>
  <si>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</si>
  <si>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</si>
  <si>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</si>
  <si>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</si>
  <si>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</si>
  <si>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</si>
  <si>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</si>
  <si>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</si>
  <si>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</si>
  <si>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</si>
  <si>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</si>
  <si>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</si>
  <si>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</si>
  <si>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</si>
  <si>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</si>
  <si>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</si>
  <si>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</si>
  <si>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</si>
  <si>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</si>
  <si>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</si>
  <si>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</si>
  <si>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</si>
  <si>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</si>
  <si>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</si>
  <si>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</si>
  <si>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</si>
  <si>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</si>
  <si>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</si>
  <si>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</si>
  <si>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</si>
  <si>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</si>
  <si>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</si>
  <si>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</si>
  <si>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</si>
  <si>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</si>
  <si>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</si>
  <si>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</si>
  <si>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</si>
  <si>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</si>
  <si>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</si>
  <si>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</si>
  <si>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</si>
  <si>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</si>
  <si>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</si>
  <si>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</si>
  <si>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</si>
  <si>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</si>
  <si>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</si>
  <si>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</si>
  <si>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</si>
  <si>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</si>
  <si>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</si>
  <si>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</si>
  <si>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</si>
  <si>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</si>
  <si>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</si>
  <si>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</si>
  <si>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</si>
  <si>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</si>
  <si>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</si>
  <si>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</si>
  <si>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</si>
  <si>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</si>
  <si>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</si>
  <si>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</si>
  <si>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</si>
  <si>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</si>
  <si>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</si>
  <si>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</si>
  <si>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</si>
  <si>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</si>
  <si>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</si>
  <si>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</si>
  <si>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</si>
  <si>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</si>
  <si>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</si>
  <si>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</si>
  <si>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</si>
  <si>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</si>
  <si>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</si>
  <si>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</si>
  <si>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</si>
  <si>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</si>
  <si>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</si>
  <si>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</si>
  <si>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</si>
  <si>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</si>
  <si>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</si>
  <si>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</si>
  <si>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</si>
  <si>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</si>
  <si>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</si>
  <si>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</si>
  <si>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</si>
  <si>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</si>
  <si>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</si>
  <si>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</si>
  <si>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</si>
  <si>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</si>
  <si>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</si>
  <si>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</si>
  <si>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</si>
  <si>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</si>
  <si>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</si>
  <si>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</si>
  <si>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</si>
  <si>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</si>
  <si>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</si>
  <si>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</si>
  <si>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</si>
  <si>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</si>
  <si>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</si>
  <si>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</si>
  <si>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</si>
  <si>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</si>
  <si>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</si>
  <si>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</si>
  <si>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</si>
  <si>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</si>
  <si>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</si>
  <si>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</si>
  <si>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</si>
  <si>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</si>
  <si>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</si>
  <si>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</si>
  <si>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</si>
  <si>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</si>
  <si>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</si>
  <si>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</si>
  <si>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</si>
  <si>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</si>
  <si>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</si>
  <si>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</si>
  <si>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</si>
  <si>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</si>
  <si>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</si>
  <si>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</si>
  <si>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</si>
  <si>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</si>
  <si>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</si>
  <si>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</si>
  <si>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</si>
  <si>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</si>
  <si>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</si>
  <si>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</si>
  <si>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</si>
  <si>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</si>
  <si>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</si>
  <si>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</si>
  <si>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</si>
  <si>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</si>
  <si>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</si>
  <si>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</si>
  <si>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</si>
  <si>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</si>
  <si>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</si>
  <si>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</si>
  <si>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</si>
  <si>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</si>
  <si>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</si>
  <si>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</si>
  <si>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</si>
  <si>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</si>
  <si>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</si>
  <si>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</si>
  <si>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</si>
  <si>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</si>
  <si>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</si>
  <si>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</si>
  <si>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</si>
  <si>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</si>
  <si>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</si>
  <si>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</si>
  <si>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</si>
  <si>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</si>
  <si>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</si>
  <si>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</si>
  <si>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</si>
  <si>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</si>
  <si>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</si>
  <si>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</si>
  <si>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</si>
  <si>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</si>
  <si>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</si>
  <si>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</si>
  <si>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</si>
  <si>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</si>
  <si>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</si>
  <si>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</si>
  <si>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</si>
  <si>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</si>
  <si>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</si>
  <si>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</si>
  <si>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</si>
  <si>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</si>
  <si>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</si>
  <si>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</si>
  <si>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</si>
  <si>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</si>
  <si>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</si>
  <si>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</si>
  <si>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</si>
  <si>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</si>
  <si>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</si>
  <si>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</si>
  <si>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</si>
  <si>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</si>
  <si>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</si>
  <si>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</si>
  <si>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</si>
  <si>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</si>
  <si>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</si>
  <si>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</si>
  <si>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</si>
  <si>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</si>
  <si>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</si>
  <si>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</si>
  <si>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</si>
  <si>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</si>
  <si>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</si>
  <si>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</si>
  <si>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</si>
  <si>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</si>
  <si>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</si>
  <si>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</si>
  <si>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</si>
  <si>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</si>
  <si>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</si>
  <si>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</si>
  <si>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</si>
  <si>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</si>
  <si>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</si>
  <si>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</si>
  <si>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</si>
  <si>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</si>
  <si>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</si>
  <si>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</si>
  <si>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</si>
  <si>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</si>
  <si>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</si>
  <si>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</si>
  <si>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</si>
  <si>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</si>
  <si>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</si>
  <si>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</si>
  <si>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</si>
  <si>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</si>
  <si>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</si>
  <si>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</si>
  <si>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</si>
  <si>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</si>
  <si>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</si>
  <si>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</si>
  <si>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</si>
  <si>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</si>
  <si>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</si>
  <si>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</si>
  <si>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</si>
  <si>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</si>
  <si>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</si>
  <si>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</si>
  <si>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</si>
  <si>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</si>
  <si>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</si>
  <si>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</si>
  <si>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</si>
  <si>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</si>
  <si>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</si>
  <si>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</si>
  <si>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</si>
  <si>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</si>
  <si>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</si>
  <si>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</si>
  <si>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</si>
  <si>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</si>
  <si>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</si>
  <si>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</si>
  <si>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</si>
  <si>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</si>
  <si>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</si>
  <si>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</si>
  <si>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</si>
  <si>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</si>
  <si>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</si>
  <si>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</si>
  <si>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</si>
  <si>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</si>
  <si>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</si>
  <si>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</si>
  <si>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</si>
  <si>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</si>
  <si>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</si>
  <si>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</si>
  <si>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</si>
  <si>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</si>
  <si>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</si>
  <si>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</si>
  <si>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</si>
  <si>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</si>
  <si>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</si>
  <si>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</si>
  <si>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</si>
  <si>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</si>
  <si>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</si>
  <si>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</si>
  <si>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</si>
  <si>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</si>
  <si>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</si>
  <si>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</si>
  <si>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</si>
  <si>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</si>
  <si>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</si>
  <si>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</si>
  <si>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</si>
  <si>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</si>
  <si>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</si>
  <si>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</si>
  <si>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</si>
  <si>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</si>
  <si>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</si>
  <si>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</si>
  <si>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</si>
  <si>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</si>
  <si>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</si>
  <si>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</si>
  <si>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</si>
  <si>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</si>
  <si>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</si>
  <si>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</si>
  <si>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</si>
  <si>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</si>
  <si>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</si>
  <si>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</si>
  <si>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</si>
  <si>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</si>
  <si>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</si>
  <si>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</si>
  <si>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</si>
  <si>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</si>
  <si>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</si>
  <si>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</si>
  <si>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</si>
  <si>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</si>
  <si>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</si>
  <si>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</si>
  <si>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</si>
  <si>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</si>
  <si>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</si>
  <si>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</si>
  <si>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</si>
  <si>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</si>
  <si>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</si>
  <si>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</si>
  <si>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</si>
  <si>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</si>
  <si>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</si>
  <si>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</si>
  <si>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</si>
  <si>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</si>
  <si>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</si>
  <si>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</si>
  <si>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</si>
  <si>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</si>
  <si>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</si>
  <si>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</si>
  <si>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</si>
  <si>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</si>
  <si>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</si>
  <si>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</si>
  <si>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</si>
  <si>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</si>
  <si>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</si>
  <si>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</si>
  <si>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</si>
  <si>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</si>
  <si>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</si>
  <si>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</si>
  <si>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</si>
  <si>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</si>
  <si>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</si>
  <si>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</si>
  <si>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</si>
  <si>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</si>
  <si>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</si>
  <si>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</si>
  <si>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</si>
  <si>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</si>
  <si>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</si>
  <si>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</si>
  <si>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</si>
  <si>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</si>
  <si>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</si>
  <si>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</si>
  <si>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</si>
  <si>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</si>
  <si>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</si>
  <si>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</si>
  <si>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</si>
  <si>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</si>
  <si>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</si>
  <si>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</si>
  <si>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</si>
  <si>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</si>
  <si>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</si>
  <si>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</si>
  <si>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</si>
  <si>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</si>
  <si>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</si>
  <si>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</si>
  <si>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</si>
  <si>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</si>
  <si>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</si>
  <si>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</si>
  <si>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</si>
  <si>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</si>
  <si>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</si>
  <si>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</si>
  <si>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</si>
  <si>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</si>
  <si>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</si>
  <si>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</si>
  <si>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</si>
  <si>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</si>
  <si>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</si>
  <si>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</si>
  <si>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</si>
  <si>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</si>
  <si>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</si>
  <si>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</si>
  <si>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</si>
  <si>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</si>
  <si>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</si>
  <si>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</si>
  <si>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</si>
  <si>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</si>
  <si>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</si>
  <si>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</si>
  <si>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</si>
  <si>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</si>
  <si>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</si>
  <si>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</si>
  <si>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</si>
  <si>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</si>
  <si>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</si>
  <si>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</si>
  <si>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</si>
  <si>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</si>
  <si>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</si>
  <si>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</si>
  <si>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</si>
  <si>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</si>
  <si>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</si>
  <si>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</si>
  <si>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</si>
  <si>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</si>
  <si>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</si>
  <si>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</si>
  <si>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</si>
  <si>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</si>
  <si>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</si>
  <si>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</si>
  <si>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</si>
  <si>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</si>
  <si>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</si>
  <si>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</si>
  <si>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</si>
  <si>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</si>
  <si>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</si>
  <si>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</si>
  <si>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</si>
  <si>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</si>
  <si>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</si>
  <si>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</si>
  <si>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</si>
  <si>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</si>
  <si>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</si>
  <si>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</si>
  <si>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</si>
  <si>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</si>
  <si>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</si>
  <si>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</si>
  <si>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</si>
  <si>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</si>
  <si>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</si>
  <si>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</si>
  <si>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</si>
  <si>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</si>
  <si>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</si>
  <si>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</si>
  <si>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</si>
  <si>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</si>
  <si>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</si>
  <si>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</si>
  <si>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</si>
  <si>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</si>
  <si>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</si>
  <si>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</si>
  <si>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</si>
  <si>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</si>
  <si>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</si>
  <si>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</si>
  <si>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</si>
  <si>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</si>
  <si>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</si>
  <si>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</si>
  <si>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</si>
  <si>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</si>
  <si>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</si>
  <si>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</si>
  <si>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</si>
  <si>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</si>
  <si>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</si>
  <si>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</si>
  <si>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</si>
  <si>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</si>
  <si>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</si>
  <si>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</si>
  <si>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</si>
  <si>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</si>
  <si>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</si>
  <si>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</si>
  <si>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</si>
  <si>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</si>
  <si>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</si>
  <si>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</si>
  <si>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</si>
  <si>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</si>
  <si>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</si>
  <si>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</si>
  <si>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</si>
  <si>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</si>
  <si>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</si>
  <si>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</si>
  <si>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</si>
  <si>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</si>
  <si>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</si>
  <si>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</si>
  <si>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</si>
  <si>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</si>
  <si>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</si>
  <si>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</si>
  <si>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</si>
  <si>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</si>
  <si>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</si>
  <si>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</si>
  <si>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</si>
  <si>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</si>
  <si>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</si>
  <si>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</si>
  <si>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</si>
  <si>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</si>
  <si>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</si>
  <si>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</si>
  <si>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</si>
  <si>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</si>
  <si>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</si>
  <si>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</si>
  <si>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</si>
  <si>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</si>
  <si>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</si>
  <si>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</si>
  <si>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</si>
  <si>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</si>
  <si>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</si>
  <si>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</si>
  <si>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</si>
  <si>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</si>
  <si>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</si>
  <si>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</si>
  <si>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</si>
  <si>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</si>
  <si>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</si>
  <si>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</si>
  <si>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</si>
  <si>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</si>
  <si>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</si>
  <si>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</si>
  <si>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</si>
  <si>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</si>
  <si>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</si>
  <si>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</si>
  <si>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</si>
  <si>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</si>
  <si>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</si>
  <si>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</si>
  <si>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</si>
  <si>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</si>
  <si>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</si>
  <si>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</si>
  <si>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</si>
  <si>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</si>
  <si>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</si>
  <si>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</si>
  <si>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</si>
  <si>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</si>
  <si>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</si>
  <si>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</si>
  <si>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</si>
  <si>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</si>
  <si>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</si>
  <si>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</si>
  <si>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</si>
  <si>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</si>
  <si>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</si>
  <si>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</si>
  <si>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</si>
  <si>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</si>
  <si>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</si>
  <si>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</si>
  <si>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</si>
  <si>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</si>
  <si>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</si>
  <si>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</si>
  <si>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</si>
  <si>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</si>
  <si>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</si>
  <si>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</si>
  <si>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</si>
  <si>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</si>
  <si>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</si>
  <si>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</si>
  <si>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</si>
  <si>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</si>
  <si>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</si>
  <si>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</si>
  <si>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</si>
  <si>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</si>
  <si>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</si>
  <si>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</si>
  <si>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</si>
  <si>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</si>
  <si>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</si>
  <si>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</si>
  <si>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</si>
  <si>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</si>
  <si>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</si>
  <si>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</si>
  <si>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</si>
  <si>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</si>
  <si>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</si>
  <si>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</si>
  <si>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</si>
  <si>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</si>
  <si>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</si>
  <si>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</si>
  <si>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</si>
  <si>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</si>
  <si>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</si>
  <si>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</si>
  <si>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</si>
  <si>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</si>
  <si>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</si>
  <si>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</si>
  <si>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</si>
  <si>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</si>
  <si>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</si>
  <si>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</si>
  <si>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</si>
  <si>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</si>
  <si>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</si>
  <si>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</si>
  <si>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</si>
  <si>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</si>
  <si>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</si>
  <si>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</si>
  <si>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</si>
  <si>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</si>
  <si>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</si>
  <si>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</si>
  <si>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</si>
  <si>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</si>
  <si>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</si>
  <si>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</si>
  <si>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</si>
  <si>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</si>
  <si>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</si>
  <si>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</si>
  <si>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</si>
  <si>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</si>
  <si>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</si>
  <si>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</si>
  <si>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</si>
  <si>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</si>
  <si>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</si>
  <si>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</si>
  <si>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</si>
  <si>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</si>
  <si>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</si>
  <si>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</si>
  <si>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</si>
  <si>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</si>
  <si>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</si>
  <si>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</si>
  <si>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</si>
  <si>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</si>
  <si>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</si>
  <si>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</si>
  <si>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</si>
  <si>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</si>
  <si>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</si>
  <si>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</si>
  <si>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</si>
  <si>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</si>
  <si>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</si>
  <si>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</si>
  <si>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</si>
  <si>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</si>
  <si>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</si>
  <si>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</si>
  <si>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</si>
  <si>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</si>
  <si>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</si>
  <si>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</si>
  <si>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</si>
  <si>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</si>
  <si>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</si>
  <si>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</si>
  <si>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</si>
  <si>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</si>
  <si>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</si>
  <si>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</si>
  <si>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</si>
  <si>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</si>
  <si>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</si>
  <si>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</si>
  <si>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</si>
  <si>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</si>
  <si>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</si>
  <si>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</si>
  <si>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</si>
  <si>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</si>
  <si>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</si>
  <si>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</si>
  <si>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</si>
  <si>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</si>
  <si>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</si>
  <si>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</si>
  <si>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</si>
  <si>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</si>
  <si>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</si>
  <si>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</si>
  <si>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</si>
  <si>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</si>
  <si>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</si>
  <si>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</si>
  <si>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</si>
  <si>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</si>
  <si>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</si>
  <si>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</si>
  <si>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</si>
  <si>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</si>
  <si>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</si>
  <si>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</si>
  <si>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</si>
  <si>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</si>
  <si>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</si>
  <si>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</si>
  <si>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</si>
  <si>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</si>
  <si>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</si>
  <si>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</si>
  <si>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</si>
  <si>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</si>
  <si>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</si>
  <si>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</si>
  <si>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</si>
  <si>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</si>
  <si>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</si>
  <si>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</si>
  <si>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</si>
  <si>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</si>
  <si>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</si>
  <si>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</si>
  <si>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</si>
  <si>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</si>
  <si>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</si>
  <si>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</si>
  <si>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</si>
  <si>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</si>
  <si>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</si>
  <si>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</si>
  <si>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</si>
  <si>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</si>
  <si>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</si>
  <si>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</si>
  <si>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</si>
  <si>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</si>
  <si>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</si>
  <si>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</si>
  <si>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</si>
  <si>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</si>
  <si>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</si>
  <si>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</si>
  <si>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</si>
  <si>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</si>
  <si>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</si>
  <si>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</si>
  <si>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</si>
  <si>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</si>
  <si>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</si>
  <si>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</si>
  <si>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</si>
  <si>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</si>
  <si>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</si>
  <si>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</si>
  <si>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</si>
  <si>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</si>
  <si>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</si>
  <si>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</si>
  <si>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</si>
  <si>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</si>
  <si>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</si>
  <si>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</si>
  <si>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</si>
  <si>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</si>
  <si>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</si>
  <si>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</si>
  <si>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</si>
  <si>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</si>
  <si>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</si>
  <si>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</si>
  <si>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</si>
  <si>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</si>
  <si>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</si>
  <si>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</si>
  <si>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</si>
  <si>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</si>
  <si>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</si>
  <si>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</si>
  <si>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</si>
  <si>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</si>
  <si>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</si>
  <si>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</si>
  <si>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</si>
  <si>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</si>
  <si>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</si>
  <si>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</si>
  <si>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</si>
  <si>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</si>
  <si>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</si>
  <si>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</si>
  <si>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</si>
  <si>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</si>
  <si>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</si>
  <si>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</si>
  <si>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</si>
  <si>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</si>
  <si>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</si>
  <si>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</si>
  <si>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</si>
  <si>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</si>
  <si>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</si>
  <si>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</si>
  <si>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</si>
  <si>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</si>
  <si>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</si>
  <si>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</si>
  <si>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</si>
  <si>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</si>
  <si>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</si>
  <si>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</si>
  <si>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</si>
  <si>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</si>
  <si>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</si>
  <si>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</si>
  <si>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</si>
  <si>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</si>
  <si>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</si>
  <si>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</si>
  <si>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</si>
  <si>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</si>
  <si>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</si>
  <si>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</si>
  <si>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</si>
  <si>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</si>
  <si>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</si>
  <si>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</si>
  <si>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</si>
  <si>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</si>
  <si>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</si>
  <si>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</si>
  <si>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</si>
  <si>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</si>
  <si>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</si>
  <si>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</si>
  <si>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</si>
  <si>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</si>
  <si>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</si>
  <si>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</si>
  <si>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</si>
  <si>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</si>
  <si>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</si>
  <si>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</si>
  <si>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</si>
  <si>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</si>
  <si>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</si>
  <si>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</si>
  <si>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</si>
  <si>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</si>
  <si>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</si>
  <si>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</si>
  <si>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</si>
  <si>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</si>
  <si>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</si>
  <si>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</si>
  <si>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</si>
  <si>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</si>
  <si>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</si>
  <si>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</si>
  <si>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</si>
  <si>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</si>
  <si>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</si>
  <si>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</si>
  <si>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</si>
  <si>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</si>
  <si>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</si>
  <si>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</si>
  <si>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</si>
  <si>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</si>
  <si>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</si>
  <si>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</si>
  <si>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</si>
  <si>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</si>
  <si>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</si>
  <si>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</si>
  <si>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</si>
  <si>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</si>
  <si>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</si>
  <si>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</si>
  <si>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</si>
  <si>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</si>
  <si>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</si>
  <si>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</si>
  <si>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</si>
  <si>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</si>
  <si>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</si>
  <si>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</si>
  <si>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</si>
  <si>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</si>
  <si>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</si>
  <si>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</si>
  <si>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</si>
  <si>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</si>
  <si>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</si>
  <si>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</si>
  <si>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</si>
  <si>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</si>
  <si>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</si>
  <si>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</si>
  <si>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</si>
  <si>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</si>
  <si>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</si>
  <si>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</si>
  <si>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</si>
  <si>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</si>
  <si>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</si>
  <si>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</si>
  <si>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</si>
  <si>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</si>
  <si>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</si>
  <si>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</si>
  <si>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</si>
  <si>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</si>
  <si>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</si>
  <si>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</si>
  <si>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</si>
  <si>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</si>
  <si>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</si>
  <si>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</si>
  <si>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</si>
  <si>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</si>
  <si>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</si>
  <si>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</si>
  <si>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</si>
  <si>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</si>
  <si>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</si>
  <si>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</si>
  <si>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</si>
  <si>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</si>
  <si>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</si>
  <si>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</si>
  <si>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</si>
  <si>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</si>
  <si>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</si>
  <si>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</si>
  <si>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</si>
  <si>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</si>
  <si>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</si>
  <si>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</si>
  <si>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</si>
  <si>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</si>
  <si>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</si>
  <si>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</si>
  <si>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</si>
  <si>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</si>
  <si>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</si>
  <si>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</si>
  <si>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</si>
  <si>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</si>
  <si>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</si>
  <si>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</si>
  <si>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</si>
  <si>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</si>
  <si>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</si>
  <si>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</si>
  <si>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</si>
  <si>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</si>
  <si>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</si>
  <si>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</si>
  <si>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</si>
  <si>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</si>
  <si>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</si>
  <si>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</si>
  <si>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</si>
  <si>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</si>
  <si>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</si>
  <si>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</si>
  <si>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</si>
  <si>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</si>
  <si>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</si>
  <si>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</si>
  <si>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</si>
  <si>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</si>
  <si>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</si>
  <si>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</si>
  <si>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</si>
  <si>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</si>
  <si>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</si>
  <si>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</si>
  <si>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</si>
  <si>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</si>
  <si>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</si>
  <si>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</si>
  <si>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</si>
  <si>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</si>
  <si>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</si>
  <si>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</si>
  <si>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</si>
  <si>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</si>
  <si>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</si>
  <si>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</si>
  <si>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</si>
  <si>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</si>
  <si>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</si>
  <si>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</si>
  <si>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</si>
  <si>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</si>
  <si>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</si>
  <si>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</si>
  <si>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</si>
  <si>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</si>
  <si>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</si>
  <si>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</si>
  <si>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</si>
  <si>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</si>
  <si>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</si>
  <si>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</si>
  <si>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</si>
  <si>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</si>
  <si>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</si>
  <si>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</si>
  <si>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</si>
  <si>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</si>
  <si>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</si>
  <si>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</si>
  <si>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</si>
  <si>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</si>
  <si>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</si>
  <si>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</si>
  <si>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</si>
  <si>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</si>
  <si>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</si>
  <si>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</si>
  <si>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</si>
  <si>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</si>
  <si>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</si>
  <si>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</si>
  <si>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</si>
  <si>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</si>
  <si>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</si>
  <si>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</si>
  <si>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</si>
  <si>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</si>
  <si>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</si>
  <si>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</si>
  <si>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</si>
  <si>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</si>
  <si>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</si>
  <si>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</si>
  <si>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</si>
  <si>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</si>
  <si>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</si>
  <si>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</si>
  <si>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</si>
  <si>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</si>
  <si>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</si>
  <si>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</si>
  <si>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</si>
  <si>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</si>
  <si>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</si>
  <si>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</si>
  <si>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</si>
  <si>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</si>
  <si>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</si>
  <si>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</si>
  <si>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</si>
  <si>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</si>
  <si>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</si>
  <si>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</si>
  <si>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</si>
  <si>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</si>
  <si>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</si>
  <si>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</si>
  <si>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</si>
  <si>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</si>
  <si>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</si>
  <si>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</si>
  <si>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</si>
  <si>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</si>
  <si>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</si>
  <si>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</si>
  <si>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</si>
  <si>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</si>
  <si>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</si>
  <si>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</si>
  <si>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</si>
  <si>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</si>
  <si>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</si>
  <si>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</si>
  <si>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</si>
  <si>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</si>
  <si>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</si>
  <si>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</si>
  <si>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</si>
  <si>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</si>
  <si>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</si>
  <si>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</si>
  <si>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</si>
  <si>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</si>
  <si>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</si>
  <si>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</si>
  <si>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</si>
  <si>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</si>
  <si>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</si>
  <si>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</si>
  <si>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</si>
  <si>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</si>
  <si>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</si>
  <si>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</si>
  <si>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</si>
  <si>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</si>
  <si>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</si>
  <si>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</si>
  <si>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</si>
  <si>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</si>
  <si>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</si>
  <si>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</si>
  <si>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</si>
  <si>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</si>
  <si>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</si>
  <si>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</si>
  <si>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</si>
  <si>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</si>
  <si>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</si>
  <si>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</si>
  <si>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</si>
  <si>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</si>
  <si>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</si>
  <si>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</si>
  <si>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</si>
  <si>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</si>
  <si>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</si>
  <si>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</si>
  <si>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</si>
  <si>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</si>
  <si>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</si>
  <si>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</si>
  <si>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</si>
  <si>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</si>
  <si>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</si>
  <si>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</si>
  <si>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</si>
  <si>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</si>
  <si>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</si>
  <si>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</si>
  <si>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</si>
  <si>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</si>
  <si>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</si>
  <si>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</si>
  <si>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</si>
  <si>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</si>
  <si>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</si>
  <si>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</si>
  <si>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</si>
  <si>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</si>
  <si>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</si>
  <si>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</si>
  <si>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</si>
  <si>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</si>
  <si>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</si>
  <si>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</si>
  <si>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</si>
  <si>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</si>
  <si>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</si>
  <si>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</si>
  <si>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</si>
  <si>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</si>
  <si>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</si>
  <si>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</si>
  <si>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</si>
  <si>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</si>
  <si>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</si>
  <si>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</si>
  <si>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</si>
  <si>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</si>
  <si>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</si>
  <si>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</si>
  <si>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</si>
  <si>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</si>
  <si>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</si>
  <si>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</si>
  <si>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</si>
  <si>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</si>
  <si>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</si>
  <si>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</si>
  <si>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</si>
  <si>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</si>
  <si>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</si>
  <si>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</si>
  <si>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</si>
  <si>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</si>
  <si>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</si>
  <si>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</si>
  <si>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</si>
  <si>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</si>
  <si>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</si>
  <si>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</si>
  <si>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</si>
  <si>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</si>
  <si>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</si>
  <si>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</si>
  <si>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</si>
  <si>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</si>
  <si>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</si>
  <si>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</si>
  <si>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</si>
  <si>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</si>
  <si>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</si>
  <si>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</si>
  <si>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</si>
  <si>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</si>
  <si>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</si>
  <si>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</si>
  <si>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</si>
  <si>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</si>
  <si>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</si>
  <si>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</si>
  <si>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</si>
  <si>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</si>
  <si>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</si>
  <si>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</si>
  <si>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</si>
  <si>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</si>
  <si>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</si>
  <si>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</si>
  <si>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</si>
  <si>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</si>
  <si>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</si>
  <si>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</si>
  <si>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</si>
  <si>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</si>
  <si>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</si>
  <si>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</si>
  <si>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</si>
  <si>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</si>
  <si>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</si>
  <si>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</si>
  <si>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</si>
  <si>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</si>
  <si>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</si>
  <si>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</si>
  <si>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</si>
  <si>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</si>
  <si>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</si>
  <si>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</si>
  <si>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</si>
  <si>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</si>
  <si>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</si>
  <si>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</si>
  <si>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</si>
  <si>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</si>
  <si>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</si>
  <si>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</si>
  <si>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</si>
  <si>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</si>
  <si>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</si>
  <si>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</si>
  <si>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</si>
  <si>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</si>
  <si>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</si>
  <si>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</si>
  <si>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</si>
  <si>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</si>
  <si>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</si>
  <si>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</si>
  <si>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</si>
  <si>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</si>
  <si>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</si>
  <si>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</si>
  <si>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</si>
  <si>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</si>
  <si>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</si>
  <si>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</si>
  <si>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</si>
  <si>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</si>
  <si>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</si>
  <si>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</si>
  <si>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</si>
  <si>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</si>
  <si>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</si>
  <si>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</si>
  <si>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</si>
  <si>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</si>
  <si>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</si>
  <si>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</si>
  <si>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</si>
  <si>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</si>
  <si>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</si>
  <si>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</si>
  <si>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</si>
  <si>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</si>
  <si>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</si>
  <si>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</si>
  <si>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</si>
  <si>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</si>
  <si>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</si>
  <si>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</si>
  <si>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</si>
  <si>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</si>
  <si>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</si>
  <si>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</si>
  <si>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</si>
  <si>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</si>
  <si>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</si>
  <si>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</si>
  <si>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</si>
  <si>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</si>
  <si>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</si>
  <si>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</si>
  <si>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</si>
  <si>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</si>
  <si>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</si>
  <si>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</si>
  <si>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</si>
  <si>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</si>
  <si>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</si>
  <si>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</si>
  <si>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</si>
  <si>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</si>
  <si>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</si>
  <si>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</si>
  <si>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</si>
  <si>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</si>
  <si>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</si>
  <si>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</si>
  <si>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</si>
  <si>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</si>
  <si>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</si>
  <si>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</si>
  <si>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</si>
  <si>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</si>
  <si>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</si>
  <si>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</si>
  <si>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</si>
  <si>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</si>
  <si>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</si>
  <si>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</si>
  <si>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</si>
  <si>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</si>
  <si>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</si>
  <si>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</si>
  <si>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</si>
  <si>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</si>
  <si>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</si>
  <si>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</si>
  <si>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</si>
  <si>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</si>
  <si>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</si>
  <si>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</si>
  <si>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</si>
  <si>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</si>
  <si>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</si>
  <si>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</si>
  <si>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</si>
  <si>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</si>
  <si>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</si>
  <si>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</si>
  <si>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</si>
  <si>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</si>
  <si>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</si>
  <si>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</si>
  <si>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</si>
  <si>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</si>
  <si>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</si>
  <si>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</si>
  <si>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</si>
  <si>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</si>
  <si>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</si>
  <si>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</si>
  <si>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</si>
  <si>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</si>
  <si>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</si>
  <si>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</si>
  <si>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</si>
  <si>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</si>
  <si>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</si>
  <si>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</si>
  <si>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</si>
  <si>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</si>
  <si>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</si>
  <si>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</si>
  <si>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</si>
  <si>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</si>
  <si>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</si>
  <si>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</si>
  <si>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</si>
  <si>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</si>
  <si>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</si>
  <si>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</si>
  <si>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</si>
  <si>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</si>
  <si>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</si>
  <si>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</si>
  <si>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</si>
  <si>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</si>
  <si>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</si>
  <si>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</si>
  <si>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</si>
  <si>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</si>
  <si>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</si>
  <si>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</si>
  <si>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</si>
  <si>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</si>
  <si>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</si>
  <si>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</si>
  <si>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</si>
  <si>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</si>
  <si>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</si>
  <si>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</si>
  <si>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</si>
  <si>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</si>
  <si>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</si>
  <si>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</si>
  <si>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</si>
  <si>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</si>
  <si>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</si>
  <si>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</si>
  <si>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</si>
  <si>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</si>
  <si>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</si>
  <si>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</si>
  <si>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</si>
  <si>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</si>
  <si>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</si>
  <si>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</si>
  <si>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</si>
  <si>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</si>
  <si>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</si>
  <si>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</si>
  <si>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</si>
  <si>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</si>
  <si>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</si>
  <si>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</si>
  <si>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</si>
  <si>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</si>
  <si>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</si>
  <si>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</si>
  <si>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</si>
  <si>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</si>
  <si>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</si>
  <si>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</si>
  <si>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</si>
  <si>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</si>
  <si>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</si>
  <si>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</si>
  <si>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</si>
  <si>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</si>
  <si>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</si>
  <si>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</si>
  <si>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</si>
  <si>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</si>
  <si>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</si>
  <si>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</si>
  <si>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</si>
  <si>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</si>
  <si>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</si>
  <si>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</si>
  <si>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</si>
  <si>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</si>
  <si>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</si>
  <si>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</si>
  <si>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</si>
  <si>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</si>
  <si>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</si>
  <si>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</si>
  <si>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</si>
  <si>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</si>
  <si>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</si>
  <si>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</si>
  <si>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</si>
  <si>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</si>
  <si>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</si>
  <si>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</si>
  <si>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</si>
  <si>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</si>
  <si>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</si>
  <si>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</si>
  <si>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</si>
  <si>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</si>
  <si>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</si>
  <si>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</si>
  <si>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</si>
  <si>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</si>
  <si>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</si>
  <si>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</si>
  <si>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</si>
  <si>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</si>
  <si>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</si>
  <si>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</si>
  <si>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</si>
  <si>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</si>
  <si>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</si>
  <si>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</si>
  <si>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</si>
  <si>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</si>
  <si>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</si>
  <si>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</si>
  <si>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</si>
  <si>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</si>
  <si>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</si>
  <si>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</si>
  <si>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</si>
  <si>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</si>
  <si>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</si>
  <si>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</si>
  <si>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</si>
  <si>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</si>
  <si>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</si>
  <si>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</si>
  <si>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</si>
  <si>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</si>
  <si>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</si>
  <si>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</si>
  <si>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</si>
  <si>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</si>
  <si>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</si>
  <si>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</si>
  <si>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</si>
  <si>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</si>
  <si>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</si>
  <si>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</si>
  <si>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</si>
  <si>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</si>
  <si>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</si>
  <si>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</si>
  <si>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</si>
  <si>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</si>
  <si>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</si>
  <si>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</si>
  <si>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</si>
  <si>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</si>
  <si>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</si>
  <si>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</si>
  <si>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</si>
  <si>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</si>
  <si>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</si>
  <si>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</si>
  <si>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</si>
  <si>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</si>
  <si>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</si>
  <si>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</si>
  <si>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</si>
  <si>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</si>
  <si>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</si>
  <si>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</si>
  <si>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</si>
  <si>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</si>
  <si>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</si>
  <si>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</si>
  <si>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</si>
  <si>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</si>
  <si>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</si>
  <si>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</si>
  <si>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</si>
  <si>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</si>
  <si>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</si>
  <si>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</si>
  <si>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</si>
  <si>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</si>
  <si>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</si>
  <si>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</si>
  <si>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</si>
  <si>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</si>
  <si>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</si>
  <si>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</si>
  <si>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</si>
  <si>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</si>
  <si>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</si>
  <si>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</si>
  <si>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</si>
  <si>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</si>
  <si>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</si>
  <si>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</si>
  <si>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</si>
  <si>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</si>
  <si>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</si>
  <si>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</si>
  <si>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</si>
  <si>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</si>
  <si>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</si>
  <si>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</si>
  <si>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</si>
  <si>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</si>
  <si>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</si>
  <si>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</si>
  <si>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</si>
  <si>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</si>
  <si>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</si>
  <si>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</si>
  <si>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</si>
  <si>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</si>
  <si>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</si>
  <si>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</si>
  <si>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</si>
  <si>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</si>
  <si>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</si>
  <si>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</si>
  <si>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</si>
  <si>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</si>
  <si>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</si>
  <si>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</si>
  <si>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</si>
  <si>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</si>
  <si>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</si>
  <si>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</si>
  <si>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</si>
  <si>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</si>
  <si>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</si>
  <si>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</si>
  <si>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</si>
  <si>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</si>
  <si>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</si>
  <si>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</si>
  <si>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</si>
  <si>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</si>
  <si>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</si>
  <si>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</si>
  <si>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</si>
  <si>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</si>
  <si>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</si>
  <si>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</si>
  <si>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</si>
  <si>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</si>
  <si>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</si>
  <si>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</si>
  <si>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</si>
  <si>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</si>
  <si>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</si>
  <si>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</si>
  <si>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</si>
  <si>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</si>
  <si>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</si>
  <si>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</si>
  <si>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</si>
  <si>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</si>
  <si>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</si>
  <si>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</si>
  <si>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</si>
  <si>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</si>
  <si>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</si>
  <si>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</si>
  <si>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</si>
  <si>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</si>
  <si>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</si>
  <si>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</si>
  <si>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</si>
  <si>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</si>
  <si>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</si>
  <si>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</si>
  <si>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</si>
  <si>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</si>
  <si>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</si>
  <si>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</si>
  <si>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</si>
  <si>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</si>
  <si>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</si>
  <si>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</si>
  <si>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</si>
  <si>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</si>
  <si>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</si>
  <si>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</si>
  <si>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</si>
  <si>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</si>
  <si>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</si>
  <si>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</si>
  <si>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</si>
  <si>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</si>
  <si>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</si>
  <si>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</si>
  <si>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</si>
  <si>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</si>
  <si>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</si>
  <si>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</si>
  <si>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</si>
  <si>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</si>
  <si>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</si>
  <si>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</si>
  <si>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</si>
  <si>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</si>
  <si>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</si>
  <si>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</si>
  <si>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</si>
  <si>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</si>
  <si>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</si>
  <si>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</si>
  <si>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</si>
  <si>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</si>
  <si>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</si>
  <si>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</si>
  <si>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</si>
  <si>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</si>
  <si>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</si>
  <si>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</si>
  <si>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</si>
  <si>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</si>
  <si>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</si>
  <si>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</si>
  <si>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</si>
  <si>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</si>
  <si>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</si>
  <si>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</si>
  <si>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</si>
  <si>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</si>
  <si>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</si>
  <si>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</si>
  <si>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</si>
  <si>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</si>
  <si>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</si>
  <si>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</si>
  <si>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</si>
  <si>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</si>
  <si>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</si>
  <si>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</si>
  <si>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</si>
  <si>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</si>
  <si>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</si>
  <si>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</si>
  <si>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</si>
  <si>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</si>
  <si>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</si>
  <si>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</si>
  <si>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</si>
  <si>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</si>
  <si>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</si>
  <si>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</si>
  <si>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</si>
  <si>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</si>
  <si>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</si>
  <si>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</si>
  <si>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</si>
  <si>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</si>
  <si>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</si>
  <si>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</si>
  <si>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</si>
  <si>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</si>
  <si>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</si>
  <si>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</si>
  <si>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</si>
  <si>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</si>
  <si>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</si>
  <si>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</si>
  <si>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</si>
  <si>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</si>
  <si>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</si>
  <si>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</si>
  <si>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</si>
  <si>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</si>
  <si>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</si>
  <si>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</si>
  <si>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</si>
  <si>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</si>
  <si>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</si>
  <si>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</si>
  <si>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</si>
  <si>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</si>
  <si>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</si>
  <si>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</si>
  <si>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</si>
  <si>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</si>
  <si>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</si>
  <si>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</si>
  <si>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</si>
  <si>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</si>
  <si>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</si>
  <si>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</si>
  <si>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</si>
  <si>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</si>
  <si>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</si>
  <si>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</si>
  <si>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</si>
  <si>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</si>
  <si>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</si>
  <si>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</si>
  <si>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</si>
  <si>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</si>
  <si>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</si>
  <si>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</si>
  <si>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</si>
  <si>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</si>
  <si>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</si>
  <si>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</si>
  <si>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</si>
  <si>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</si>
  <si>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</si>
  <si>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</si>
  <si>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</si>
  <si>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</si>
  <si>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</si>
  <si>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</si>
  <si>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</si>
  <si>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</si>
  <si>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</si>
  <si>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</si>
  <si>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</si>
  <si>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</si>
  <si>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</si>
  <si>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</si>
  <si>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</si>
  <si>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</si>
  <si>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</si>
  <si>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</si>
  <si>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</si>
  <si>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</si>
  <si>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</si>
  <si>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</si>
  <si>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</si>
  <si>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</si>
  <si>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</si>
  <si>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</si>
  <si>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</si>
  <si>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</si>
  <si>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</si>
  <si>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</si>
  <si>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</si>
  <si>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</si>
  <si>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</si>
  <si>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</si>
  <si>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</si>
  <si>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</si>
  <si>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</si>
  <si>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</si>
  <si>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</si>
  <si>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</si>
  <si>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</si>
  <si>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</si>
  <si>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</si>
  <si>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</si>
  <si>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</si>
  <si>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</si>
  <si>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</si>
  <si>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</si>
  <si>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</si>
  <si>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</si>
  <si>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</si>
  <si>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</si>
  <si>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</si>
  <si>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</si>
  <si>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</si>
  <si>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</si>
  <si>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</si>
  <si>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</si>
  <si>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</si>
  <si>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</si>
  <si>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</si>
  <si>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</si>
  <si>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</si>
  <si>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</si>
  <si>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</si>
  <si>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</si>
  <si>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</si>
  <si>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</si>
  <si>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</si>
  <si>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</si>
  <si>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</si>
  <si>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</si>
  <si>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</si>
  <si>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</si>
  <si>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</si>
  <si>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</si>
  <si>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</si>
  <si>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</si>
  <si>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</si>
  <si>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</si>
  <si>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</si>
  <si>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</si>
  <si>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</si>
  <si>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</si>
  <si>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</si>
  <si>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</si>
  <si>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</si>
  <si>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</si>
  <si>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</si>
  <si>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</si>
  <si>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</si>
  <si>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</si>
  <si>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</si>
  <si>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</si>
  <si>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</si>
  <si>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</si>
  <si>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</si>
  <si>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</si>
  <si>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</si>
  <si>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</si>
  <si>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</si>
  <si>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</si>
  <si>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</si>
  <si>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</si>
  <si>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</si>
  <si>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</si>
  <si>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</si>
  <si>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</si>
  <si>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</si>
  <si>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</si>
  <si>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</si>
  <si>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</si>
  <si>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</si>
  <si>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</si>
  <si>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</si>
  <si>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</si>
  <si>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</si>
  <si>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</si>
  <si>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</si>
  <si>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</si>
  <si>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</si>
  <si>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</si>
  <si>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</si>
  <si>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</si>
  <si>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</si>
  <si>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</si>
  <si>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</si>
  <si>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</si>
  <si>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</si>
  <si>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</si>
  <si>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</si>
  <si>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</si>
  <si>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</si>
  <si>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</si>
  <si>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</si>
  <si>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</si>
  <si>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</si>
  <si>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</si>
  <si>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</si>
  <si>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</si>
  <si>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</si>
  <si>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</si>
  <si>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</si>
  <si>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</si>
  <si>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</si>
  <si>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</si>
  <si>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</si>
  <si>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</si>
  <si>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</si>
  <si>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</si>
  <si>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</si>
  <si>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</si>
  <si>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</si>
  <si>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</si>
  <si>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</si>
  <si>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</si>
  <si>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</si>
  <si>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</si>
  <si>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</si>
  <si>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</si>
  <si>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</si>
  <si>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</si>
  <si>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</si>
  <si>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</si>
  <si>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</si>
  <si>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</si>
  <si>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</si>
  <si>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</si>
  <si>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</si>
  <si>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</si>
  <si>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</si>
  <si>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</si>
  <si>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</si>
  <si>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</si>
  <si>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</si>
  <si>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</si>
  <si>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</si>
  <si>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</si>
  <si>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</si>
  <si>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</si>
  <si>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</si>
  <si>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</si>
  <si>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</si>
  <si>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</si>
  <si>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</si>
  <si>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</si>
  <si>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</si>
  <si>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</si>
  <si>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</si>
  <si>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</si>
  <si>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</si>
  <si>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</si>
  <si>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</si>
  <si>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</si>
  <si>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</si>
  <si>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</si>
  <si>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</si>
  <si>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</si>
  <si>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</si>
  <si>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</si>
  <si>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</si>
  <si>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</si>
  <si>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</si>
  <si>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</si>
  <si>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</si>
  <si>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</si>
  <si>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</si>
  <si>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</si>
  <si>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</si>
  <si>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</si>
  <si>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</si>
  <si>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</si>
  <si>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</si>
  <si>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</si>
  <si>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</si>
  <si>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</si>
  <si>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</si>
  <si>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</si>
  <si>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</si>
  <si>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</si>
  <si>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</si>
  <si>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</si>
  <si>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</si>
  <si>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</si>
  <si>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</si>
  <si>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</si>
  <si>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</si>
  <si>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</si>
  <si>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</si>
  <si>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</si>
  <si>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</si>
  <si>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</si>
  <si>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</si>
  <si>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</si>
  <si>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</si>
  <si>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</si>
  <si>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</si>
  <si>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</si>
  <si>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</si>
  <si>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</si>
  <si>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</si>
  <si>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</si>
  <si>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</si>
  <si>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</si>
  <si>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</si>
  <si>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</si>
  <si>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</si>
  <si>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</si>
  <si>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</si>
  <si>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</si>
  <si>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</si>
  <si>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</si>
  <si>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</si>
  <si>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</si>
  <si>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</si>
  <si>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</si>
  <si>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</si>
  <si>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</si>
  <si>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</si>
  <si>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</si>
  <si>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</si>
  <si>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</si>
  <si>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</si>
  <si>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</si>
  <si>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</si>
  <si>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</si>
  <si>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</si>
  <si>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</si>
  <si>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</si>
  <si>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</si>
  <si>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</si>
  <si>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</si>
  <si>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</si>
  <si>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</si>
  <si>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</si>
  <si>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</si>
  <si>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</si>
  <si>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</si>
  <si>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</si>
  <si>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</si>
  <si>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</si>
  <si>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</si>
  <si>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</si>
  <si>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</si>
  <si>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</si>
  <si>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</si>
  <si>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</si>
  <si>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</si>
  <si>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</si>
  <si>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</si>
  <si>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</si>
  <si>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</si>
  <si>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</si>
  <si>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</si>
  <si>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</si>
  <si>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</si>
  <si>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</si>
  <si>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</si>
  <si>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</si>
  <si>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</si>
  <si>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</si>
  <si>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</si>
  <si>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</si>
  <si>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</si>
  <si>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</si>
  <si>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</si>
  <si>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</si>
  <si>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</si>
  <si>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</si>
  <si>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</si>
  <si>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</si>
  <si>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</si>
  <si>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</si>
  <si>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</si>
  <si>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</si>
  <si>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</si>
  <si>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</si>
  <si>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</si>
  <si>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</si>
  <si>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</si>
  <si>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</si>
  <si>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</si>
  <si>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</si>
  <si>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</si>
  <si>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</si>
  <si>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</si>
  <si>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</si>
  <si>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</si>
  <si>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</si>
  <si>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</si>
  <si>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</si>
  <si>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</si>
  <si>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</si>
  <si>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</si>
  <si>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</si>
  <si>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</si>
  <si>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</si>
  <si>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</si>
  <si>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</si>
  <si>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</si>
  <si>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</si>
  <si>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</si>
  <si>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</si>
  <si>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</si>
  <si>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</si>
  <si>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</si>
  <si>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</si>
  <si>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</si>
  <si>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</si>
  <si>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</si>
  <si>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</si>
  <si>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</si>
  <si>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</si>
  <si>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</si>
  <si>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</si>
  <si>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</si>
  <si>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</si>
  <si>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</si>
  <si>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</si>
  <si>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</si>
  <si>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</si>
  <si>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</si>
  <si>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</si>
  <si>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</si>
  <si>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</si>
  <si>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</si>
  <si>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</si>
  <si>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</si>
  <si>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</si>
  <si>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</si>
  <si>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</si>
  <si>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</si>
  <si>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</si>
  <si>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</si>
  <si>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</si>
  <si>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</si>
  <si>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</si>
  <si>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</si>
  <si>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</si>
  <si>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</si>
  <si>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</si>
  <si>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</si>
  <si>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</si>
  <si>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</si>
  <si>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</si>
  <si>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</si>
  <si>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</si>
  <si>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</si>
  <si>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</si>
  <si>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</si>
  <si>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</si>
  <si>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</si>
  <si>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</si>
  <si>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</si>
  <si>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</si>
  <si>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</si>
  <si>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</si>
  <si>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</si>
  <si>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</si>
  <si>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</si>
  <si>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</si>
  <si>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</si>
  <si>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</si>
  <si>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</si>
  <si>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</si>
  <si>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</si>
  <si>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</si>
  <si>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</si>
  <si>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</si>
  <si>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</si>
  <si>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</si>
  <si>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</si>
  <si>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</si>
  <si>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</si>
  <si>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</si>
  <si>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</si>
  <si>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</si>
  <si>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</si>
  <si>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</si>
  <si>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</si>
  <si>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</si>
  <si>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</si>
  <si>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</si>
  <si>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</si>
  <si>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</si>
  <si>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</si>
  <si>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</si>
  <si>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</si>
  <si>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</si>
  <si>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</si>
  <si>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</si>
  <si>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</si>
  <si>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</si>
  <si>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</si>
  <si>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</si>
  <si>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</si>
  <si>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</si>
  <si>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</si>
  <si>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</si>
  <si>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</si>
  <si>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</si>
  <si>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</si>
  <si>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</si>
  <si>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</si>
  <si>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</si>
  <si>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</si>
  <si>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</si>
  <si>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</si>
  <si>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</si>
  <si>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</si>
  <si>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</si>
  <si>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</si>
  <si>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</si>
  <si>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</si>
  <si>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</si>
  <si>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</si>
  <si>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</si>
  <si>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</si>
  <si>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</si>
  <si>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</si>
  <si>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</si>
  <si>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</si>
  <si>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</si>
  <si>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</si>
  <si>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</si>
  <si>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</si>
  <si>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</si>
  <si>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</si>
  <si>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</si>
  <si>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</si>
  <si>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</si>
  <si>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</si>
  <si>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</si>
  <si>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</si>
  <si>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</si>
  <si>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</si>
  <si>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</si>
  <si>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</si>
  <si>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</si>
  <si>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</si>
  <si>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</si>
  <si>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</si>
  <si>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</si>
  <si>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</si>
  <si>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</si>
  <si>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</si>
  <si>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</si>
  <si>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</si>
  <si>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</si>
  <si>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</si>
  <si>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</si>
  <si>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</si>
  <si>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</si>
  <si>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</si>
  <si>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</si>
  <si>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</si>
  <si>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</si>
  <si>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</si>
  <si>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</si>
  <si>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</si>
  <si>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</si>
  <si>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</si>
  <si>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</si>
  <si>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</si>
  <si>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</si>
  <si>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</si>
  <si>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</si>
  <si>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</si>
  <si>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</si>
  <si>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</si>
  <si>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</si>
  <si>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</si>
  <si>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</si>
  <si>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</si>
  <si>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</si>
  <si>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</si>
  <si>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</si>
  <si>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</si>
  <si>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</si>
  <si>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</si>
  <si>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</si>
  <si>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</si>
  <si>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</si>
  <si>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</si>
  <si>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</si>
  <si>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</si>
  <si>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</si>
  <si>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</si>
  <si>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</si>
  <si>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</si>
  <si>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</si>
  <si>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</si>
  <si>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</si>
  <si>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</si>
  <si>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</si>
  <si>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</si>
  <si>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</si>
  <si>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</si>
  <si>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</si>
  <si>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</si>
  <si>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</si>
  <si>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</si>
  <si>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</si>
  <si>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</si>
  <si>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</si>
  <si>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</si>
  <si>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</si>
  <si>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</si>
  <si>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</si>
  <si>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</si>
  <si>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</si>
  <si>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</si>
  <si>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</si>
  <si>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</si>
  <si>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</si>
  <si>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</si>
  <si>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</si>
  <si>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</si>
  <si>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</si>
  <si>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</si>
  <si>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</si>
  <si>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</si>
  <si>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</si>
  <si>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</si>
  <si>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</si>
  <si>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</si>
  <si>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</si>
  <si>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</si>
  <si>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</si>
  <si>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</si>
  <si>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</si>
  <si>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</si>
  <si>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</si>
  <si>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</si>
  <si>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</si>
  <si>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</si>
  <si>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</si>
  <si>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</si>
  <si>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</si>
  <si>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</si>
  <si>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</si>
  <si>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</si>
  <si>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</si>
  <si>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</si>
  <si>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</si>
  <si>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</si>
  <si>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</si>
  <si>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</si>
  <si>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</si>
  <si>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</si>
  <si>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</si>
  <si>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</si>
  <si>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</si>
  <si>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</si>
  <si>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</si>
  <si>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</si>
  <si>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</si>
  <si>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</si>
  <si>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</si>
  <si>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</si>
  <si>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</si>
  <si>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</si>
  <si>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</si>
  <si>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</si>
  <si>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</si>
  <si>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</si>
  <si>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</si>
  <si>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</si>
  <si>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</si>
  <si>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</si>
  <si>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</si>
  <si>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</si>
  <si>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</si>
  <si>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</si>
  <si>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</si>
  <si>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</si>
  <si>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</si>
  <si>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</si>
  <si>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</si>
  <si>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</si>
  <si>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</si>
  <si>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</si>
  <si>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</si>
  <si>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</si>
  <si>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</si>
  <si>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</si>
  <si>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</si>
  <si>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</si>
  <si>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</si>
  <si>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</si>
  <si>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</si>
  <si>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</si>
  <si>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</si>
  <si>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</si>
  <si>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</si>
  <si>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</si>
  <si>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</si>
  <si>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</si>
  <si>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</si>
  <si>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</si>
  <si>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</si>
  <si>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</si>
  <si>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</si>
  <si>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</si>
  <si>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</si>
  <si>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</si>
  <si>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</si>
  <si>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</si>
  <si>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</si>
  <si>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</si>
  <si>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</si>
  <si>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</si>
  <si>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</si>
  <si>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</si>
  <si>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</si>
  <si>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</si>
  <si>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</si>
  <si>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</si>
  <si>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</si>
  <si>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</si>
  <si>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</si>
  <si>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</si>
  <si>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</si>
  <si>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</si>
  <si>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</si>
  <si>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</si>
  <si>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</si>
  <si>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</si>
  <si>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</si>
  <si>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</si>
  <si>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</si>
  <si>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</si>
  <si>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</si>
  <si>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</si>
  <si>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</si>
  <si>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</si>
  <si>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</si>
  <si>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</si>
  <si>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</si>
  <si>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</si>
  <si>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</si>
  <si>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</si>
  <si>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</si>
  <si>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</si>
  <si>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</si>
  <si>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</si>
  <si>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</si>
  <si>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</si>
  <si>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</si>
  <si>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</si>
  <si>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</si>
  <si>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</si>
  <si>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</si>
  <si>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</si>
  <si>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</si>
  <si>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</si>
  <si>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</si>
  <si>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</si>
  <si>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</si>
  <si>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</si>
  <si>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</si>
  <si>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</si>
  <si>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</si>
  <si>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</si>
  <si>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</si>
  <si>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</si>
  <si>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</si>
  <si>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</si>
  <si>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</si>
  <si>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</si>
  <si>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</si>
  <si>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</si>
  <si>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</si>
  <si>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</si>
  <si>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</si>
  <si>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</si>
  <si>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</si>
  <si>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</si>
  <si>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</si>
  <si>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</si>
  <si>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</si>
  <si>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</si>
  <si>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</si>
  <si>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</si>
  <si>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</si>
  <si>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</si>
  <si>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</si>
  <si>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</si>
  <si>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</si>
  <si>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</si>
  <si>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</si>
  <si>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</si>
  <si>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</si>
  <si>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</si>
  <si>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</si>
  <si>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</si>
  <si>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</si>
  <si>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</si>
  <si>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</si>
  <si>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</si>
  <si>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</si>
  <si>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</si>
  <si>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</si>
  <si>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</si>
  <si>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</si>
  <si>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</si>
  <si>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</si>
  <si>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</si>
  <si>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</si>
  <si>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</si>
  <si>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</si>
  <si>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</si>
  <si>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</si>
  <si>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</si>
  <si>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</si>
  <si>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</si>
  <si>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</si>
  <si>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</si>
  <si>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</si>
  <si>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</si>
  <si>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</si>
  <si>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</si>
  <si>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</si>
  <si>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</si>
  <si>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</si>
  <si>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</si>
  <si>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</si>
  <si>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</si>
  <si>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</si>
  <si>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</si>
  <si>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</si>
  <si>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</si>
  <si>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</si>
  <si>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</si>
  <si>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</si>
  <si>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</si>
  <si>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</si>
  <si>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</si>
  <si>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</si>
  <si>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</si>
  <si>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</si>
  <si>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</si>
  <si>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</si>
  <si>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</si>
  <si>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</si>
  <si>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</si>
  <si>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</si>
  <si>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</si>
  <si>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</si>
  <si>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</si>
  <si>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</si>
  <si>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</si>
  <si>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</si>
  <si>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</si>
  <si>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</si>
  <si>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</si>
  <si>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</si>
  <si>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</si>
  <si>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</si>
  <si>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</si>
  <si>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</si>
  <si>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</si>
  <si>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</si>
  <si>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</si>
  <si>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</si>
  <si>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</si>
  <si>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</si>
  <si>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</si>
  <si>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</si>
  <si>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</si>
  <si>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</si>
  <si>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</si>
  <si>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</si>
  <si>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</si>
  <si>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</si>
  <si>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</si>
  <si>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</si>
  <si>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</si>
  <si>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</si>
  <si>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</si>
  <si>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</si>
  <si>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</si>
  <si>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</si>
  <si>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</si>
  <si>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</si>
  <si>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</si>
  <si>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</si>
  <si>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</si>
  <si>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</si>
  <si>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</si>
  <si>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</si>
  <si>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</si>
  <si>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</si>
  <si>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</si>
  <si>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</si>
  <si>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</si>
  <si>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</si>
  <si>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</si>
  <si>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</si>
  <si>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</si>
  <si>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</si>
  <si>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</si>
  <si>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</si>
  <si>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</si>
  <si>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</si>
  <si>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</si>
  <si>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</si>
  <si>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</si>
  <si>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</si>
  <si>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</si>
  <si>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</si>
  <si>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</si>
  <si>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</si>
  <si>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</si>
  <si>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</si>
  <si>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</si>
  <si>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</si>
  <si>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</si>
  <si>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</si>
  <si>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</si>
  <si>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</si>
  <si>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</si>
  <si>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</si>
  <si>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</si>
  <si>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</si>
  <si>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</si>
  <si>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</si>
  <si>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</si>
  <si>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</si>
  <si>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</si>
  <si>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</si>
  <si>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</si>
  <si>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</si>
  <si>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</si>
  <si>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</si>
  <si>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</si>
  <si>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</si>
  <si>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</si>
  <si>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</si>
  <si>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</si>
  <si>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</si>
  <si>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</si>
  <si>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</si>
  <si>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</si>
  <si>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</si>
  <si>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</si>
  <si>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</si>
  <si>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</si>
  <si>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</si>
  <si>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</si>
  <si>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</si>
  <si>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</si>
  <si>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</si>
  <si>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</si>
  <si>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</si>
  <si>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</si>
  <si>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</si>
  <si>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</si>
  <si>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</si>
  <si>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</si>
  <si>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</si>
  <si>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</si>
  <si>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</si>
  <si>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</si>
  <si>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</si>
  <si>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</si>
  <si>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</si>
  <si>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</si>
  <si>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</si>
  <si>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</si>
  <si>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</si>
  <si>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</si>
  <si>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</si>
  <si>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</si>
  <si>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</si>
  <si>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</si>
  <si>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</si>
  <si>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</si>
  <si>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</si>
  <si>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</si>
  <si>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</si>
  <si>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</si>
  <si>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</si>
  <si>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</si>
  <si>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</si>
  <si>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</si>
  <si>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</si>
  <si>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</si>
  <si>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</si>
  <si>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</si>
  <si>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</si>
  <si>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</si>
  <si>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</si>
  <si>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</si>
  <si>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</si>
  <si>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</si>
  <si>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</si>
  <si>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</si>
  <si>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</si>
  <si>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</si>
  <si>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</si>
  <si>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</si>
  <si>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</si>
  <si>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</si>
  <si>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</si>
  <si>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</si>
  <si>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</si>
  <si>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</si>
  <si>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</si>
  <si>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</si>
  <si>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</si>
  <si>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</si>
  <si>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</si>
  <si>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</si>
  <si>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</si>
  <si>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</si>
  <si>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</si>
  <si>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</si>
  <si>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</si>
  <si>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</si>
  <si>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</si>
  <si>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</si>
  <si>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</si>
  <si>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</si>
  <si>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</si>
  <si>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</si>
  <si>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</si>
  <si>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</si>
  <si>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</si>
  <si>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</si>
  <si>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</si>
  <si>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</si>
  <si>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</si>
  <si>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</si>
  <si>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</si>
  <si>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</si>
  <si>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</si>
  <si>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</si>
  <si>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</si>
  <si>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</si>
  <si>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</si>
  <si>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</si>
  <si>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</si>
  <si>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</si>
  <si>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</si>
  <si>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</si>
  <si>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</si>
  <si>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</si>
  <si>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</si>
  <si>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</si>
  <si>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</si>
  <si>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</si>
  <si>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</si>
  <si>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</si>
  <si>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</si>
  <si>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</si>
  <si>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</si>
  <si>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</si>
  <si>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</si>
  <si>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</si>
  <si>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</si>
  <si>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</si>
  <si>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</si>
  <si>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</si>
  <si>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</si>
  <si>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</si>
  <si>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</si>
  <si>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</si>
  <si>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</si>
  <si>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</si>
  <si>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</si>
  <si>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</si>
  <si>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</si>
  <si>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</si>
  <si>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</si>
  <si>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</si>
  <si>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</si>
  <si>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</si>
  <si>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</si>
  <si>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</si>
  <si>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</si>
  <si>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</si>
  <si>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</si>
  <si>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</si>
  <si>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</si>
  <si>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</si>
  <si>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</si>
  <si>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</si>
  <si>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</si>
  <si>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</si>
  <si>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</si>
  <si>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</si>
  <si>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</si>
  <si>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</si>
  <si>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</si>
  <si>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</si>
  <si>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</si>
  <si>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</si>
  <si>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</si>
  <si>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</si>
  <si>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</si>
  <si>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</si>
  <si>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</si>
  <si>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</si>
  <si>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</si>
  <si>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</si>
  <si>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</si>
  <si>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</si>
  <si>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</si>
  <si>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</si>
  <si>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</si>
  <si>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</si>
  <si>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</si>
  <si>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</si>
  <si>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</si>
  <si>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</si>
  <si>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</si>
  <si>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</si>
  <si>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</si>
  <si>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</si>
  <si>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</si>
  <si>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</si>
  <si>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</si>
  <si>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</si>
  <si>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</si>
  <si>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</si>
  <si>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</si>
  <si>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</si>
  <si>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</si>
  <si>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</si>
  <si>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</si>
  <si>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</si>
  <si>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</si>
  <si>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</si>
  <si>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</si>
  <si>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</si>
  <si>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</si>
  <si>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</si>
  <si>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</si>
  <si>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</si>
  <si>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</si>
  <si>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</si>
  <si>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</si>
  <si>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</si>
  <si>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</si>
  <si>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</si>
  <si>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</si>
  <si>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</si>
  <si>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</si>
  <si>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</si>
  <si>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</si>
  <si>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</si>
  <si>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</si>
  <si>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</si>
  <si>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</si>
  <si>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</si>
  <si>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</si>
  <si>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</si>
  <si>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</si>
  <si>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</si>
  <si>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</si>
  <si>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</si>
  <si>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</si>
  <si>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</si>
  <si>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</si>
  <si>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</si>
  <si>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</si>
  <si>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</si>
  <si>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</si>
  <si>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</si>
  <si>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</si>
  <si>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</si>
  <si>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</si>
  <si>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</si>
  <si>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</si>
  <si>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</si>
  <si>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</si>
  <si>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</si>
  <si>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</si>
  <si>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</si>
  <si>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</si>
  <si>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</si>
  <si>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</si>
  <si>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</si>
  <si>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</si>
  <si>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</si>
  <si>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</si>
  <si>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</si>
  <si>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</si>
  <si>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</si>
  <si>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</si>
  <si>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</si>
  <si>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</si>
  <si>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</si>
  <si>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</si>
  <si>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</si>
  <si>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</si>
  <si>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</si>
  <si>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</si>
  <si>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</si>
  <si>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</si>
  <si>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</si>
  <si>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</si>
  <si>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</si>
  <si>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</si>
  <si>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</si>
  <si>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</si>
  <si>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</si>
  <si>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</si>
  <si>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</si>
  <si>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</si>
  <si>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</si>
  <si>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</si>
  <si>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</si>
  <si>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</si>
  <si>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</si>
  <si>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</si>
  <si>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</si>
  <si>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</si>
  <si>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</si>
  <si>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</si>
  <si>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</si>
  <si>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</si>
  <si>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</si>
  <si>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</si>
  <si>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</si>
  <si>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</si>
  <si>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</si>
  <si>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</si>
  <si>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</si>
  <si>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</si>
  <si>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</si>
  <si>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</si>
  <si>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</si>
  <si>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</si>
  <si>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</si>
  <si>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</si>
  <si>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</si>
  <si>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</si>
  <si>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</si>
  <si>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</si>
  <si>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</si>
  <si>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</si>
  <si>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</si>
  <si>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</si>
  <si>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</si>
  <si>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</si>
  <si>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</si>
  <si>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</si>
  <si>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</si>
  <si>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</si>
  <si>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</si>
  <si>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</si>
  <si>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</si>
  <si>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</si>
  <si>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</si>
  <si>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</si>
  <si>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</si>
  <si>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</si>
  <si>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</si>
  <si>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</si>
  <si>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</si>
  <si>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</si>
  <si>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</si>
  <si>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</si>
  <si>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</si>
  <si>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</si>
  <si>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</si>
  <si>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</si>
  <si>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</si>
  <si>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</si>
  <si>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</si>
  <si>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</si>
  <si>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</si>
  <si>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</si>
  <si>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</si>
  <si>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</si>
  <si>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</si>
  <si>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</si>
  <si>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</si>
  <si>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</si>
  <si>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</si>
  <si>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</si>
  <si>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</si>
  <si>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</si>
  <si>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</si>
  <si>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</si>
  <si>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</si>
  <si>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</si>
  <si>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</si>
  <si>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</si>
  <si>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</si>
  <si>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</si>
  <si>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</si>
  <si>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</si>
  <si>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</si>
  <si>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</si>
  <si>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</si>
  <si>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</si>
  <si>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</si>
  <si>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</si>
  <si>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</si>
  <si>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</si>
  <si>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</si>
  <si>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</si>
  <si>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</si>
  <si>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</si>
  <si>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</si>
  <si>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</si>
  <si>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</si>
  <si>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</si>
  <si>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</si>
  <si>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</si>
  <si>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</si>
  <si>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</si>
  <si>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</si>
  <si>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</si>
  <si>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</si>
  <si>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</si>
  <si>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</si>
  <si>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</si>
  <si>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</si>
  <si>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</si>
  <si>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</si>
  <si>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</si>
  <si>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</si>
  <si>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</si>
  <si>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</si>
  <si>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</si>
  <si>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</si>
  <si>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</si>
  <si>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</si>
  <si>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</si>
  <si>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</si>
  <si>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</si>
  <si>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</si>
  <si>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</si>
  <si>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</si>
  <si>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</si>
  <si>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</si>
  <si>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</si>
  <si>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</si>
  <si>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</si>
  <si>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</si>
  <si>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</si>
  <si>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</si>
  <si>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</si>
  <si>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</si>
  <si>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</si>
  <si>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</si>
  <si>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</si>
  <si>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</si>
  <si>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</si>
  <si>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</si>
  <si>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</si>
  <si>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</si>
  <si>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</si>
  <si>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</si>
  <si>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</si>
  <si>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</si>
  <si>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</si>
  <si>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</si>
  <si>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</si>
  <si>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</si>
  <si>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</si>
  <si>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</si>
  <si>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</si>
  <si>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</si>
  <si>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</si>
  <si>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</si>
  <si>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</si>
  <si>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</si>
  <si>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</si>
  <si>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</si>
  <si>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</si>
  <si>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</si>
  <si>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</si>
  <si>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</si>
  <si>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</si>
  <si>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</si>
  <si>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</si>
  <si>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</si>
  <si>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</si>
  <si>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</si>
  <si>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</si>
  <si>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</si>
  <si>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</si>
  <si>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</si>
  <si>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</si>
  <si>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</si>
  <si>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</si>
  <si>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</si>
  <si>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</si>
  <si>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</si>
  <si>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</si>
  <si>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</si>
  <si>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</si>
  <si>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</si>
  <si>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</si>
  <si>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</si>
  <si>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</si>
  <si>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</si>
  <si>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</si>
  <si>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</si>
  <si>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</si>
  <si>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</si>
  <si>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</si>
  <si>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</si>
  <si>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</si>
  <si>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</si>
  <si>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</si>
  <si>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</si>
  <si>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</si>
  <si>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</si>
  <si>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</si>
  <si>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</si>
  <si>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</si>
  <si>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</si>
  <si>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</si>
  <si>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</si>
  <si>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</si>
  <si>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</si>
  <si>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</si>
  <si>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</si>
  <si>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</si>
  <si>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</si>
  <si>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</si>
  <si>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</si>
  <si>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</si>
  <si>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</si>
  <si>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</si>
  <si>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</si>
  <si>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</si>
  <si>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</si>
  <si>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</si>
  <si>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</si>
  <si>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</si>
  <si>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</si>
  <si>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</si>
  <si>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</si>
  <si>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</si>
  <si>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</si>
  <si>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</si>
  <si>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</si>
  <si>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</si>
  <si>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</si>
  <si>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</si>
  <si>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</si>
  <si>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</si>
  <si>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</si>
  <si>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</si>
  <si>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</si>
  <si>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</si>
  <si>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</si>
  <si>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</si>
  <si>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</si>
  <si>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</si>
  <si>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</si>
  <si>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</si>
  <si>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</si>
  <si>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</si>
  <si>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</si>
  <si>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</si>
  <si>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</si>
  <si>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</si>
  <si>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</si>
  <si>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</si>
  <si>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</si>
  <si>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</si>
  <si>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</si>
  <si>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</si>
  <si>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</si>
  <si>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</si>
  <si>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</si>
  <si>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</si>
  <si>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</si>
  <si>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</si>
  <si>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</si>
  <si>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</si>
  <si>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</si>
  <si>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</si>
  <si>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</si>
  <si>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</si>
  <si>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</si>
  <si>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</si>
  <si>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</si>
  <si>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</si>
  <si>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</si>
  <si>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</si>
  <si>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</si>
  <si>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</si>
  <si>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</si>
  <si>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</si>
  <si>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</si>
  <si>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</si>
  <si>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</si>
  <si>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</si>
  <si>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</si>
  <si>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</si>
  <si>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</si>
  <si>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</si>
  <si>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</si>
  <si>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</si>
  <si>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</si>
  <si>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</si>
  <si>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</si>
  <si>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</si>
  <si>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</si>
  <si>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</si>
  <si>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</si>
  <si>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</si>
  <si>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</si>
  <si>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</si>
  <si>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</si>
  <si>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</si>
  <si>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</si>
  <si>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</si>
  <si>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</si>
  <si>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</si>
  <si>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</si>
  <si>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</si>
  <si>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</si>
  <si>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</si>
  <si>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</si>
  <si>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</si>
  <si>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</si>
  <si>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</si>
  <si>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</si>
  <si>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</si>
  <si>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</si>
  <si>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</si>
  <si>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</si>
  <si>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</si>
  <si>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</si>
  <si>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</si>
  <si>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</si>
  <si>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</si>
  <si>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</si>
  <si>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</si>
  <si>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</si>
  <si>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</si>
  <si>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</si>
  <si>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</si>
  <si>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</si>
  <si>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</si>
  <si>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</si>
  <si>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</si>
  <si>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</si>
  <si>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</si>
  <si>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</si>
  <si>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</si>
  <si>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</si>
  <si>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</si>
  <si>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</si>
  <si>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</si>
  <si>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</si>
  <si>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</si>
  <si>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</si>
  <si>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</si>
  <si>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</si>
  <si>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</si>
  <si>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</si>
  <si>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</si>
  <si>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</si>
  <si>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</si>
  <si>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</si>
  <si>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</si>
  <si>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</si>
  <si>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</si>
  <si>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</si>
  <si>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</si>
  <si>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</si>
  <si>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</si>
  <si>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</si>
  <si>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</si>
  <si>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</si>
  <si>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</si>
  <si>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</si>
  <si>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</si>
  <si>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</si>
  <si>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</si>
  <si>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</si>
  <si>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</si>
  <si>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</si>
  <si>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</si>
  <si>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</si>
  <si>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</si>
  <si>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</si>
  <si>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</si>
  <si>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</si>
  <si>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</si>
  <si>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</si>
  <si>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</si>
  <si>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</si>
  <si>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</si>
  <si>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</si>
  <si>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</si>
  <si>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</si>
  <si>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</si>
  <si>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</si>
  <si>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</si>
  <si>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</si>
  <si>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</si>
  <si>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</si>
  <si>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</si>
  <si>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</si>
  <si>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</si>
  <si>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</si>
  <si>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</si>
  <si>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</si>
  <si>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</si>
  <si>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</si>
  <si>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</si>
  <si>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</si>
  <si>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</si>
  <si>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</si>
  <si>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</si>
  <si>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</si>
  <si>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</si>
  <si>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</si>
  <si>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</si>
  <si>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</si>
  <si>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</si>
  <si>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</si>
  <si>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</si>
  <si>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</si>
  <si>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</si>
  <si>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</si>
  <si>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</si>
  <si>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</si>
  <si>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</si>
  <si>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</si>
  <si>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</si>
  <si>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</si>
  <si>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</si>
  <si>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</si>
  <si>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</si>
  <si>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</si>
  <si>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</si>
  <si>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</si>
  <si>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</si>
  <si>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</si>
  <si>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</si>
  <si>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</si>
  <si>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</si>
  <si>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</si>
  <si>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</si>
  <si>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</si>
  <si>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</si>
  <si>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</si>
  <si>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</si>
  <si>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</si>
  <si>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</si>
  <si>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</si>
  <si>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</si>
  <si>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</si>
  <si>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</si>
  <si>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</si>
  <si>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</si>
  <si>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</si>
  <si>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</si>
  <si>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</si>
  <si>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</si>
  <si>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</si>
  <si>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</si>
  <si>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</si>
  <si>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</si>
  <si>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</si>
  <si>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</si>
  <si>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</si>
  <si>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</si>
  <si>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</si>
  <si>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</si>
  <si>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</si>
  <si>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</si>
  <si>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</si>
  <si>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</si>
  <si>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</si>
  <si>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</si>
  <si>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</si>
  <si>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</si>
  <si>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</si>
  <si>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</si>
  <si>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</si>
  <si>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</si>
  <si>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</si>
  <si>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</si>
  <si>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</si>
  <si>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</si>
  <si>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</si>
  <si>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</si>
  <si>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</si>
  <si>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</si>
  <si>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</si>
  <si>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</si>
  <si>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</si>
  <si>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</si>
  <si>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</si>
  <si>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</si>
  <si>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</si>
  <si>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</si>
  <si>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</si>
  <si>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</si>
  <si>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</si>
  <si>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</si>
  <si>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</si>
  <si>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</si>
  <si>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</si>
  <si>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</si>
  <si>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</si>
  <si>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</si>
  <si>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</si>
  <si>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</si>
  <si>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</si>
  <si>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</si>
  <si>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</si>
  <si>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</si>
  <si>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</si>
  <si>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</si>
  <si>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</si>
  <si>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</si>
  <si>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</si>
  <si>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</si>
  <si>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</si>
  <si>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</si>
  <si>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</si>
  <si>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</si>
  <si>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</si>
  <si>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</si>
  <si>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</si>
  <si>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</si>
  <si>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</si>
  <si>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</si>
  <si>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</si>
  <si>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</si>
  <si>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</si>
  <si>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</si>
  <si>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</si>
  <si>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</si>
  <si>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</si>
  <si>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</si>
  <si>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</si>
  <si>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</si>
  <si>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</si>
  <si>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</si>
  <si>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</si>
  <si>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</si>
  <si>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</si>
  <si>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</si>
  <si>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</si>
  <si>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</si>
  <si>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</si>
  <si>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</si>
  <si>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</si>
  <si>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</si>
  <si>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</si>
  <si>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</si>
  <si>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</si>
  <si>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</si>
  <si>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</si>
  <si>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</si>
  <si>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</si>
  <si>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</si>
  <si>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</si>
  <si>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</si>
  <si>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</si>
  <si>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</si>
  <si>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</si>
  <si>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</si>
  <si>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</si>
  <si>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</si>
  <si>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</si>
  <si>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</si>
  <si>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</si>
  <si>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</si>
  <si>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</si>
  <si>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</si>
  <si>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</si>
  <si>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</si>
  <si>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</si>
  <si>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</si>
  <si>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</si>
  <si>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</si>
  <si>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</si>
  <si>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</si>
  <si>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</si>
  <si>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</si>
  <si>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</si>
  <si>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</si>
  <si>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</si>
  <si>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</si>
  <si>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</si>
  <si>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</si>
  <si>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</si>
  <si>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</si>
  <si>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</si>
  <si>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</si>
  <si>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</si>
  <si>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</si>
  <si>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</si>
  <si>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</si>
  <si>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</si>
  <si>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</si>
  <si>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</si>
  <si>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</si>
  <si>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</si>
  <si>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</si>
  <si>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</si>
  <si>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</si>
  <si>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</si>
  <si>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</si>
  <si>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</si>
  <si>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</si>
  <si>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</si>
  <si>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</si>
  <si>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</si>
  <si>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</si>
  <si>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</si>
  <si>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</si>
  <si>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</si>
  <si>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</si>
  <si>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</si>
  <si>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</si>
  <si>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</si>
  <si>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</si>
  <si>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</si>
  <si>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</si>
  <si>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</si>
  <si>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</si>
  <si>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</si>
  <si>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</si>
  <si>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</si>
  <si>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</si>
  <si>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</si>
  <si>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</si>
  <si>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</si>
  <si>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</si>
  <si>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</si>
  <si>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</si>
  <si>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</si>
  <si>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</si>
  <si>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</si>
  <si>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</si>
  <si>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</si>
  <si>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</si>
  <si>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</si>
  <si>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</si>
  <si>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</si>
  <si>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</si>
  <si>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</si>
  <si>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</si>
  <si>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</si>
  <si>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</si>
  <si>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</si>
  <si>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</si>
  <si>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</si>
  <si>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</si>
  <si>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</si>
  <si>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</si>
  <si>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</si>
  <si>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</si>
  <si>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</si>
  <si>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</si>
  <si>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</si>
  <si>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</si>
  <si>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</si>
  <si>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</si>
  <si>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</si>
  <si>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</si>
  <si>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</si>
  <si>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</si>
  <si>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</si>
  <si>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</si>
  <si>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</si>
  <si>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</si>
  <si>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</si>
  <si>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</si>
  <si>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</si>
  <si>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</si>
  <si>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</si>
  <si>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</si>
  <si>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</si>
  <si>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</si>
  <si>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</si>
  <si>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</si>
  <si>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</si>
  <si>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</si>
  <si>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</si>
  <si>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</si>
  <si>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</si>
  <si>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</si>
  <si>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</si>
  <si>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</si>
  <si>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</si>
  <si>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</si>
  <si>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</si>
  <si>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</si>
  <si>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</si>
  <si>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</si>
  <si>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</si>
  <si>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</si>
  <si>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</si>
  <si>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</si>
  <si>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</si>
  <si>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</si>
  <si>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</si>
  <si>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</si>
  <si>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</si>
  <si>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</si>
  <si>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</si>
  <si>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</si>
  <si>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</si>
  <si>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</si>
  <si>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</si>
  <si>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</si>
  <si>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</si>
  <si>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</si>
  <si>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</si>
  <si>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</si>
  <si>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</si>
  <si>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</si>
  <si>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</si>
  <si>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</si>
  <si>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</si>
  <si>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</si>
  <si>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</si>
  <si>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</si>
  <si>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</si>
  <si>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</si>
  <si>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</si>
  <si>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</si>
  <si>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</si>
  <si>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</si>
  <si>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</si>
  <si>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</si>
  <si>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</si>
  <si>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</si>
  <si>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</si>
  <si>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</si>
  <si>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</si>
  <si>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</si>
  <si>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</si>
  <si>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</si>
  <si>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</si>
  <si>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</si>
  <si>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</si>
  <si>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</si>
  <si>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</si>
  <si>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</si>
  <si>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</si>
  <si>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</si>
  <si>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</si>
  <si>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</si>
  <si>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</si>
  <si>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</si>
  <si>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</si>
  <si>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</si>
  <si>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</si>
  <si>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</si>
  <si>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</si>
  <si>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</si>
  <si>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</si>
  <si>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</si>
  <si>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</si>
  <si>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</si>
  <si>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</si>
  <si>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</si>
  <si>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</si>
  <si>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</si>
  <si>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</si>
  <si>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</si>
  <si>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</si>
  <si>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</si>
  <si>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</si>
  <si>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</si>
  <si>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</si>
  <si>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</si>
  <si>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</si>
  <si>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</si>
  <si>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</si>
  <si>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</si>
  <si>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</si>
  <si>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</si>
  <si>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</si>
  <si>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</si>
  <si>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</si>
  <si>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</si>
  <si>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</si>
  <si>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</si>
  <si>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</si>
  <si>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</si>
  <si>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</si>
  <si>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</si>
  <si>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</si>
  <si>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</si>
  <si>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</si>
  <si>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</si>
  <si>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</si>
  <si>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</si>
  <si>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</si>
  <si>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</si>
  <si>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</si>
  <si>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</si>
  <si>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</si>
  <si>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</si>
  <si>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</si>
  <si>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</si>
  <si>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</si>
  <si>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</si>
  <si>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</si>
  <si>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</si>
  <si>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</si>
  <si>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</si>
  <si>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</si>
  <si>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</si>
  <si>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</si>
  <si>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</si>
  <si>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</si>
  <si>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</si>
  <si>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</si>
  <si>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</si>
  <si>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</si>
  <si>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</si>
  <si>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</si>
  <si>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</si>
  <si>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</si>
  <si>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</si>
  <si>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</si>
  <si>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</si>
  <si>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</si>
  <si>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</si>
  <si>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</si>
  <si>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</si>
  <si>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</si>
  <si>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</si>
  <si>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</si>
  <si>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</si>
  <si>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</si>
  <si>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</si>
  <si>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</si>
  <si>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</si>
  <si>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</si>
  <si>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</si>
  <si>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</si>
  <si>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</si>
  <si>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</si>
  <si>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</si>
  <si>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</si>
  <si>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</si>
  <si>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</si>
  <si>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</si>
  <si>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</si>
  <si>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</si>
  <si>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</si>
  <si>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</si>
  <si>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</si>
  <si>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</si>
  <si>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</si>
  <si>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</si>
  <si>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</si>
  <si>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</si>
  <si>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</si>
  <si>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</si>
  <si>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</si>
  <si>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</si>
  <si>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</si>
  <si>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</si>
  <si>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</si>
  <si>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</si>
  <si>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</si>
  <si>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</si>
  <si>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</si>
  <si>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</si>
  <si>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</si>
  <si>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</si>
  <si>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</si>
  <si>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</si>
  <si>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</si>
  <si>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</si>
  <si>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</si>
  <si>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</si>
  <si>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</si>
  <si>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</si>
  <si>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</si>
  <si>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</si>
  <si>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</si>
  <si>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</si>
  <si>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</si>
  <si>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</si>
  <si>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</si>
  <si>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</si>
  <si>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</si>
  <si>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</si>
  <si>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</si>
  <si>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</si>
  <si>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</si>
  <si>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</si>
  <si>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</si>
  <si>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</si>
  <si>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</si>
  <si>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</si>
  <si>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</si>
  <si>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</si>
  <si>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</si>
  <si>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</si>
  <si>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</si>
  <si>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</si>
  <si>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</si>
  <si>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</si>
  <si>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</si>
  <si>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</si>
  <si>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</si>
  <si>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</si>
  <si>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</si>
  <si>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</si>
  <si>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</si>
  <si>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</si>
  <si>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</si>
  <si>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</si>
  <si>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</si>
  <si>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</si>
  <si>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</si>
  <si>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</si>
  <si>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</si>
  <si>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</si>
  <si>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</si>
  <si>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</si>
  <si>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</si>
  <si>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</si>
  <si>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</si>
  <si>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</si>
  <si>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</si>
  <si>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</si>
  <si>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</si>
  <si>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</si>
  <si>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</si>
  <si>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</si>
  <si>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</si>
  <si>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</si>
  <si>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</si>
  <si>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</si>
  <si>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</si>
  <si>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</si>
  <si>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</si>
  <si>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</si>
  <si>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</si>
  <si>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</si>
  <si>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</si>
  <si>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</si>
  <si>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</si>
  <si>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</si>
  <si>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</si>
  <si>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</si>
  <si>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</si>
  <si>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</si>
  <si>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</si>
  <si>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</si>
  <si>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</si>
  <si>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</si>
  <si>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</si>
  <si>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</si>
  <si>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</si>
  <si>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</si>
  <si>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</si>
  <si>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</si>
  <si>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</si>
  <si>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</si>
  <si>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</si>
  <si>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</si>
  <si>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</si>
  <si>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</si>
  <si>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</si>
  <si>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</si>
  <si>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</si>
  <si>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</si>
  <si>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</si>
  <si>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</si>
  <si>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</si>
  <si>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</si>
  <si>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</si>
  <si>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</si>
  <si>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</si>
  <si>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</si>
  <si>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</si>
  <si>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</si>
  <si>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</si>
  <si>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</si>
  <si>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</si>
  <si>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</si>
  <si>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</si>
  <si>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</si>
  <si>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</si>
  <si>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</si>
  <si>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</si>
  <si>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</si>
  <si>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</si>
  <si>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</si>
  <si>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</si>
  <si>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</si>
  <si>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</si>
  <si>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</si>
  <si>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</si>
  <si>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</si>
  <si>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</si>
  <si>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</si>
  <si>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</si>
  <si>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</si>
  <si>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</si>
  <si>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</si>
  <si>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</si>
  <si>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</si>
  <si>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</si>
  <si>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</si>
  <si>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</si>
  <si>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</si>
  <si>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</si>
  <si>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</si>
  <si>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</si>
  <si>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</si>
  <si>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</si>
  <si>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</si>
  <si>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</si>
  <si>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</si>
  <si>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</si>
  <si>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</si>
  <si>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</si>
  <si>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</si>
  <si>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</si>
  <si>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</si>
  <si>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</si>
  <si>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</si>
  <si>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</si>
  <si>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</si>
  <si>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</si>
  <si>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</si>
  <si>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</si>
  <si>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</si>
  <si>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</si>
  <si>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</si>
  <si>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</si>
  <si>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</si>
  <si>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</si>
  <si>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</si>
  <si>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</si>
  <si>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</si>
  <si>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</si>
  <si>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</si>
  <si>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</si>
  <si>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</si>
  <si>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</si>
  <si>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</si>
  <si>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</si>
  <si>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</si>
  <si>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</si>
  <si>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</si>
  <si>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</si>
  <si>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</si>
  <si>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</si>
  <si>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</si>
  <si>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</si>
  <si>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</si>
  <si>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</si>
  <si>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</si>
  <si>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</si>
  <si>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</si>
  <si>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</si>
  <si>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</si>
  <si>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</si>
  <si>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</si>
  <si>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</si>
  <si>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</si>
  <si>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</si>
  <si>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</si>
  <si>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</si>
  <si>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</si>
  <si>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</si>
  <si>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</si>
  <si>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</si>
  <si>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</si>
  <si>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</si>
  <si>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</si>
  <si>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</si>
  <si>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</si>
  <si>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</si>
  <si>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</si>
  <si>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</si>
  <si>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</si>
  <si>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</si>
  <si>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</si>
  <si>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</si>
  <si>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</si>
  <si>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</si>
  <si>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</si>
  <si>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</si>
  <si>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</si>
  <si>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</si>
  <si>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</si>
  <si>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</si>
  <si>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</si>
  <si>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</si>
  <si>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</si>
  <si>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</si>
  <si>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</si>
  <si>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</si>
  <si>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</si>
  <si>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</si>
  <si>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</si>
  <si>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</si>
  <si>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</si>
  <si>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</si>
  <si>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</si>
  <si>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</si>
  <si>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</si>
  <si>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</si>
  <si>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</si>
  <si>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</si>
  <si>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</si>
  <si>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</si>
  <si>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</si>
  <si>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</si>
  <si>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</si>
  <si>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</si>
  <si>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</si>
  <si>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</si>
  <si>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</si>
  <si>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</si>
  <si>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</si>
  <si>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</si>
  <si>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</si>
  <si>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</si>
  <si>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</si>
  <si>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</si>
  <si>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</si>
  <si>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</si>
  <si>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</si>
  <si>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</si>
  <si>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</si>
  <si>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</si>
  <si>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</si>
  <si>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</si>
  <si>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</si>
  <si>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</si>
  <si>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</si>
  <si>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</si>
  <si>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</si>
  <si>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</si>
  <si>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</si>
  <si>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</si>
  <si>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</si>
  <si>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</si>
  <si>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</si>
  <si>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</si>
  <si>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</si>
  <si>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</si>
  <si>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</si>
  <si>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</si>
  <si>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</si>
  <si>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</si>
  <si>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</si>
  <si>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</si>
  <si>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</si>
  <si>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</si>
  <si>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</si>
  <si>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</si>
  <si>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</si>
  <si>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</si>
  <si>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</si>
  <si>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</si>
  <si>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</si>
  <si>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</si>
  <si>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</si>
  <si>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</si>
  <si>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</si>
  <si>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</si>
  <si>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</si>
  <si>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</si>
  <si>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</si>
  <si>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</si>
  <si>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</si>
  <si>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</si>
  <si>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</si>
  <si>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</si>
  <si>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</si>
  <si>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</si>
  <si>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</si>
  <si>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</si>
  <si>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</si>
  <si>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</si>
  <si>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</si>
  <si>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</si>
  <si>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</si>
  <si>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</si>
  <si>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</si>
  <si>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</si>
  <si>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</si>
  <si>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</si>
  <si>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</si>
  <si>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</si>
  <si>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</si>
  <si>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</si>
  <si>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</si>
  <si>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</si>
  <si>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</si>
  <si>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</si>
  <si>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</si>
  <si>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</si>
  <si>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</si>
  <si>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</si>
  <si>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</si>
  <si>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</si>
  <si>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</si>
  <si>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</si>
  <si>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</si>
  <si>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</si>
  <si>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</si>
  <si>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</si>
  <si>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</si>
  <si>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</si>
  <si>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</si>
  <si>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</si>
  <si>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</si>
  <si>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</si>
  <si>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</si>
  <si>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</si>
  <si>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</si>
  <si>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</si>
  <si>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</si>
  <si>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</si>
  <si>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</si>
  <si>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</si>
  <si>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</si>
  <si>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</si>
  <si>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</si>
  <si>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</si>
  <si>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</si>
  <si>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</si>
  <si>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</si>
  <si>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</si>
  <si>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</si>
  <si>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</si>
  <si>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</si>
  <si>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</si>
  <si>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</si>
  <si>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</si>
  <si>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</si>
  <si>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</si>
  <si>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</si>
  <si>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</si>
  <si>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</si>
  <si>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</si>
  <si>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</si>
  <si>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</si>
  <si>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</si>
  <si>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</si>
  <si>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</si>
  <si>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</si>
  <si>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</si>
  <si>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</si>
  <si>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</si>
  <si>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</si>
  <si>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</si>
  <si>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</si>
  <si>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</si>
  <si>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</si>
  <si>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</si>
  <si>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</si>
  <si>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</si>
  <si>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</si>
  <si>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</si>
  <si>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</si>
  <si>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</si>
  <si>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</si>
  <si>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</si>
  <si>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</si>
  <si>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</si>
  <si>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</si>
  <si>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</si>
  <si>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</si>
  <si>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</si>
  <si>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</si>
  <si>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</si>
  <si>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</si>
  <si>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</si>
  <si>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</si>
  <si>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</si>
  <si>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</si>
  <si>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</si>
  <si>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</si>
  <si>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</si>
  <si>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</si>
  <si>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</si>
  <si>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</si>
  <si>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</si>
  <si>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</si>
  <si>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</si>
  <si>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</si>
  <si>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</si>
  <si>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</si>
  <si>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</si>
  <si>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</si>
  <si>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</si>
  <si>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</si>
  <si>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</si>
  <si>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</si>
  <si>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</si>
  <si>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</si>
  <si>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</si>
  <si>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</si>
  <si>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</si>
  <si>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</si>
  <si>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</si>
  <si>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</si>
  <si>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</si>
  <si>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</si>
  <si>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</si>
  <si>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</si>
  <si>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</si>
  <si>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</si>
  <si>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</si>
  <si>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</si>
  <si>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</si>
  <si>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</si>
  <si>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</si>
  <si>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</si>
  <si>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</si>
  <si>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</si>
  <si>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</si>
  <si>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</si>
  <si>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</si>
  <si>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</si>
  <si>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</si>
  <si>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</si>
  <si>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</si>
  <si>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</si>
  <si>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</si>
  <si>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</si>
  <si>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</si>
  <si>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</si>
  <si>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</si>
  <si>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</si>
  <si>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</si>
  <si>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</si>
  <si>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</si>
  <si>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</si>
  <si>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</si>
  <si>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</si>
  <si>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</si>
  <si>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</si>
  <si>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</si>
  <si>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</si>
  <si>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</si>
  <si>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</si>
  <si>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</si>
  <si>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</si>
  <si>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</si>
  <si>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</si>
  <si>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</si>
  <si>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</si>
  <si>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</si>
  <si>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</si>
  <si>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</si>
  <si>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</si>
  <si>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</si>
  <si>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</si>
  <si>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</si>
  <si>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</si>
  <si>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</si>
  <si>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</si>
  <si>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</si>
  <si>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</si>
  <si>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</si>
  <si>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</si>
  <si>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</si>
  <si>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</si>
  <si>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</si>
  <si>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</si>
  <si>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</si>
  <si>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</si>
  <si>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</si>
  <si>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</si>
  <si>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</si>
  <si>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</si>
  <si>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</si>
  <si>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</si>
  <si>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</si>
  <si>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</si>
  <si>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</si>
  <si>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</si>
  <si>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</si>
  <si>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</si>
  <si>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</si>
  <si>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</si>
  <si>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</si>
  <si>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</si>
  <si>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</si>
  <si>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</si>
  <si>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</si>
  <si>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</si>
  <si>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</si>
  <si>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</si>
  <si>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</si>
  <si>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</si>
  <si>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</si>
  <si>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</si>
  <si>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</si>
  <si>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</si>
  <si>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</si>
  <si>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</si>
  <si>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</si>
  <si>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</si>
  <si>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</si>
  <si>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</si>
  <si>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</si>
  <si>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</si>
  <si>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</si>
  <si>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</si>
  <si>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</si>
  <si>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</si>
  <si>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</si>
  <si>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</si>
  <si>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</si>
  <si>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</si>
  <si>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</si>
  <si>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</si>
  <si>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</si>
  <si>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</si>
  <si>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</si>
  <si>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</si>
  <si>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</si>
  <si>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</si>
  <si>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</si>
  <si>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</si>
  <si>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</si>
  <si>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</si>
  <si>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</si>
  <si>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</si>
  <si>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</si>
  <si>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</si>
  <si>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</si>
  <si>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</si>
  <si>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</si>
  <si>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</si>
  <si>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</si>
  <si>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</si>
  <si>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</si>
  <si>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</si>
  <si>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</si>
  <si>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</si>
  <si>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</si>
  <si>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</si>
  <si>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</si>
  <si>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</si>
  <si>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</si>
  <si>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</si>
  <si>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</si>
  <si>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</si>
  <si>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</si>
  <si>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</si>
  <si>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</si>
  <si>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</si>
  <si>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</si>
  <si>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</si>
  <si>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</si>
  <si>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</si>
  <si>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</si>
  <si>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</si>
  <si>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</si>
  <si>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</si>
  <si>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</si>
  <si>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</si>
  <si>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</si>
  <si>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</si>
  <si>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</si>
  <si>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</si>
  <si>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</si>
  <si>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</si>
  <si>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</si>
  <si>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</si>
  <si>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</si>
  <si>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</si>
  <si>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</si>
  <si>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</si>
  <si>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</si>
  <si>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</si>
  <si>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</si>
  <si>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</si>
  <si>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</si>
  <si>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</si>
  <si>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</si>
  <si>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</si>
  <si>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</si>
  <si>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</si>
  <si>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</si>
  <si>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</si>
  <si>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</si>
  <si>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</si>
  <si>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</si>
  <si>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</si>
  <si>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</si>
  <si>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</si>
  <si>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</si>
  <si>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</si>
  <si>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</si>
  <si>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</si>
  <si>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</si>
  <si>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</si>
  <si>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</si>
  <si>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</si>
  <si>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</si>
  <si>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</si>
  <si>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</si>
  <si>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</si>
  <si>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</si>
  <si>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</si>
  <si>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</si>
  <si>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</si>
  <si>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</si>
  <si>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</si>
  <si>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</si>
  <si>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</si>
  <si>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</si>
  <si>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</si>
  <si>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</si>
  <si>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</si>
  <si>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</si>
  <si>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</si>
  <si>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</si>
  <si>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</si>
  <si>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</si>
  <si>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</si>
  <si>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</si>
  <si>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</si>
  <si>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</si>
  <si>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</si>
  <si>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</si>
  <si>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</si>
  <si>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</si>
  <si>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</si>
  <si>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</si>
  <si>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</si>
  <si>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</si>
  <si>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</si>
  <si>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</si>
  <si>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</si>
  <si>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</si>
  <si>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</si>
  <si>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</si>
  <si>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</si>
  <si>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</si>
  <si>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</si>
  <si>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</si>
  <si>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</si>
  <si>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</si>
  <si>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</si>
  <si>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</si>
  <si>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</si>
  <si>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</si>
  <si>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</si>
  <si>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</si>
  <si>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</si>
  <si>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</si>
  <si>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</si>
  <si>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</si>
  <si>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</si>
  <si>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</si>
  <si>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</si>
  <si>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</si>
  <si>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</si>
  <si>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</si>
  <si>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</si>
  <si>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</si>
  <si>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</si>
  <si>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</si>
  <si>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</si>
  <si>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</si>
  <si>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</si>
  <si>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</si>
  <si>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</si>
  <si>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</si>
  <si>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</si>
  <si>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</si>
  <si>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</si>
  <si>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</si>
  <si>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</si>
  <si>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</si>
  <si>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</si>
  <si>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</si>
  <si>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</si>
  <si>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</si>
  <si>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</si>
  <si>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</si>
  <si>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</si>
  <si>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</si>
  <si>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</si>
  <si>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</si>
  <si>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</si>
  <si>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</si>
  <si>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</si>
  <si>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</si>
  <si>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</si>
  <si>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</si>
  <si>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</si>
  <si>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</si>
  <si>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</si>
  <si>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</si>
  <si>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</si>
  <si>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</si>
  <si>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</si>
  <si>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</si>
  <si>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</si>
  <si>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</si>
  <si>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</si>
  <si>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</si>
  <si>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</si>
  <si>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</si>
  <si>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</si>
  <si>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</si>
  <si>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</si>
  <si>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</si>
  <si>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</si>
  <si>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</si>
  <si>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</si>
  <si>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</si>
  <si>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</si>
  <si>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</si>
  <si>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</si>
  <si>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</si>
  <si>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</si>
  <si>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</si>
  <si>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</si>
  <si>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</si>
  <si>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</si>
  <si>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</si>
  <si>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</si>
  <si>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</si>
  <si>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</si>
  <si>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</si>
  <si>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</si>
  <si>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</si>
  <si>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</si>
  <si>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</si>
  <si>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</si>
  <si>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</si>
  <si>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</si>
  <si>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</si>
  <si>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</si>
  <si>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</si>
  <si>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</si>
  <si>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</si>
  <si>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</si>
  <si>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</si>
  <si>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</si>
  <si>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</si>
  <si>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</si>
  <si>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</si>
  <si>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</si>
  <si>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</si>
  <si>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</si>
  <si>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</si>
  <si>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</si>
  <si>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</si>
  <si>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</si>
  <si>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</si>
  <si>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</si>
  <si>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</si>
  <si>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</si>
  <si>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</si>
  <si>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</si>
  <si>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</si>
  <si>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</si>
  <si>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</si>
  <si>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</si>
  <si>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</si>
  <si>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</si>
  <si>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</si>
  <si>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</si>
  <si>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</si>
  <si>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</si>
  <si>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</si>
  <si>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</si>
  <si>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</si>
  <si>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</si>
  <si>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</si>
  <si>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</si>
  <si>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</si>
  <si>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</si>
  <si>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</si>
  <si>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</si>
  <si>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</si>
  <si>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</si>
  <si>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</si>
  <si>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</si>
  <si>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</si>
  <si>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</si>
  <si>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</si>
  <si>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</si>
  <si>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</si>
  <si>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</si>
  <si>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</si>
  <si>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</si>
  <si>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</si>
  <si>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</si>
  <si>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</si>
  <si>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</si>
  <si>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</si>
  <si>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</si>
  <si>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</si>
  <si>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</si>
  <si>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</si>
  <si>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</si>
  <si>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</si>
  <si>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</si>
  <si>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</si>
  <si>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</si>
  <si>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</si>
  <si>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</si>
  <si>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</si>
  <si>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</si>
  <si>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</si>
  <si>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</si>
  <si>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</si>
  <si>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</si>
  <si>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</si>
  <si>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</si>
  <si>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</si>
  <si>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</si>
  <si>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</si>
  <si>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</si>
  <si>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</si>
  <si>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</si>
  <si>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</si>
  <si>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</si>
  <si>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</si>
  <si>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</si>
  <si>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</si>
  <si>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</si>
  <si>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</si>
  <si>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</si>
  <si>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</si>
  <si>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</si>
  <si>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</si>
  <si>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</si>
  <si>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</si>
  <si>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</si>
  <si>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</si>
  <si>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</si>
  <si>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</si>
  <si>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</si>
  <si>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</si>
  <si>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</si>
  <si>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</si>
  <si>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</si>
  <si>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</si>
  <si>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</si>
  <si>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</si>
  <si>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</si>
  <si>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</si>
  <si>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</si>
  <si>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</si>
  <si>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</si>
  <si>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</si>
  <si>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</si>
  <si>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</si>
  <si>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</si>
  <si>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</si>
  <si>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</si>
  <si>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</si>
  <si>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</si>
  <si>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</si>
  <si>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</si>
  <si>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</si>
  <si>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</si>
  <si>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</si>
  <si>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</si>
  <si>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</si>
  <si>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</si>
  <si>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</si>
  <si>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</si>
  <si>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</si>
  <si>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</si>
  <si>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</si>
  <si>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</si>
  <si>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</si>
  <si>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</si>
  <si>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</si>
  <si>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</si>
  <si>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</si>
  <si>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</si>
  <si>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</si>
  <si>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</si>
  <si>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</si>
  <si>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</si>
  <si>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</si>
  <si>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</si>
  <si>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</si>
  <si>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</si>
  <si>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</si>
  <si>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</si>
  <si>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</si>
  <si>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</si>
  <si>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</si>
  <si>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</si>
  <si>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</si>
  <si>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</si>
  <si>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</si>
  <si>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</si>
  <si>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</si>
  <si>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</si>
  <si>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</si>
  <si>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</si>
  <si>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</si>
  <si>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</si>
  <si>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</si>
  <si>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</si>
  <si>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</si>
  <si>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</si>
  <si>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</si>
  <si>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</si>
  <si>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</si>
  <si>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</si>
  <si>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</si>
  <si>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</si>
  <si>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</si>
  <si>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</si>
  <si>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</si>
  <si>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</si>
  <si>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</si>
  <si>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</si>
  <si>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</si>
  <si>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</si>
  <si>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</si>
  <si>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</si>
  <si>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</si>
  <si>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</si>
  <si>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</si>
  <si>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</si>
  <si>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</si>
  <si>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</si>
  <si>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</si>
  <si>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</si>
  <si>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</si>
  <si>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</si>
  <si>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</si>
  <si>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</si>
  <si>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</si>
  <si>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</si>
  <si>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</si>
  <si>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</si>
  <si>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</si>
  <si>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</si>
  <si>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</si>
  <si>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</si>
  <si>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</si>
  <si>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</si>
  <si>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</si>
  <si>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</si>
  <si>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</si>
  <si>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</si>
  <si>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</si>
  <si>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</si>
  <si>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</si>
  <si>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</si>
  <si>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</si>
  <si>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</si>
  <si>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</si>
  <si>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</si>
  <si>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</si>
  <si>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</si>
  <si>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</si>
  <si>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</si>
  <si>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</si>
  <si>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</si>
  <si>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</si>
  <si>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</si>
  <si>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</si>
  <si>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</si>
  <si>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</si>
  <si>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</si>
  <si>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</si>
  <si>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</si>
  <si>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</si>
  <si>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</si>
  <si>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</si>
  <si>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</si>
  <si>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</si>
  <si>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</si>
  <si>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</si>
  <si>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</si>
  <si>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</si>
  <si>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</si>
  <si>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</si>
  <si>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</si>
  <si>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</si>
  <si>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</si>
  <si>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</si>
  <si>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</si>
  <si>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</si>
  <si>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</si>
  <si>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</si>
  <si>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</si>
  <si>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</si>
  <si>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</si>
  <si>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</si>
  <si>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</si>
  <si>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</si>
  <si>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</si>
  <si>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</si>
  <si>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</si>
  <si>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</si>
  <si>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</si>
  <si>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</si>
  <si>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</si>
  <si>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</si>
  <si>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</si>
  <si>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</si>
  <si>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</si>
  <si>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</si>
  <si>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</si>
  <si>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</si>
  <si>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</si>
  <si>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</si>
  <si>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</si>
  <si>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</si>
  <si>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</si>
  <si>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</si>
  <si>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</si>
  <si>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</si>
  <si>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</si>
  <si>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</si>
  <si>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</si>
  <si>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</si>
  <si>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</si>
  <si>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</si>
  <si>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</si>
  <si>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</si>
  <si>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</si>
  <si>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</si>
  <si>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</si>
  <si>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</si>
  <si>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</si>
  <si>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</si>
  <si>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</si>
  <si>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</si>
  <si>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</si>
  <si>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</si>
  <si>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</si>
  <si>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</si>
  <si>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</si>
  <si>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</si>
  <si>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</si>
  <si>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</si>
  <si>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</si>
  <si>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</si>
  <si>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</si>
  <si>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</si>
  <si>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</si>
  <si>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</si>
  <si>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</si>
  <si>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</si>
  <si>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</si>
  <si>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</si>
  <si>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</si>
  <si>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</si>
  <si>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</si>
  <si>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</si>
  <si>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</si>
  <si>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</si>
  <si>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</si>
  <si>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</si>
  <si>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</si>
  <si>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</si>
  <si>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</si>
  <si>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</si>
  <si>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</si>
  <si>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</si>
  <si>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</si>
  <si>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</si>
  <si>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</si>
  <si>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</si>
  <si>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</si>
  <si>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</si>
  <si>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</si>
  <si>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</si>
  <si>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</si>
  <si>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</si>
  <si>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</si>
  <si>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</si>
  <si>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</si>
  <si>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</si>
  <si>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</si>
  <si>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</si>
  <si>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</si>
  <si>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</si>
  <si>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</si>
  <si>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</si>
  <si>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</si>
  <si>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</si>
  <si>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</si>
  <si>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</si>
  <si>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</si>
  <si>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</si>
  <si>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</si>
  <si>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</si>
  <si>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</si>
  <si>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</si>
  <si>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</si>
  <si>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</si>
  <si>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</si>
  <si>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</si>
  <si>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</si>
  <si>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</si>
  <si>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</si>
  <si>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</si>
  <si>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</si>
  <si>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</si>
  <si>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</si>
  <si>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</si>
  <si>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</si>
  <si>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</si>
  <si>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</si>
  <si>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</si>
  <si>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</si>
  <si>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</si>
  <si>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</si>
  <si>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</si>
  <si>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</si>
  <si>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</si>
  <si>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</si>
  <si>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</si>
  <si>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</si>
  <si>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</si>
  <si>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</si>
  <si>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</si>
  <si>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</si>
  <si>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</si>
  <si>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</si>
  <si>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</si>
  <si>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</si>
  <si>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</si>
  <si>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</si>
  <si>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</si>
  <si>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</si>
  <si>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</si>
  <si>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</si>
  <si>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</si>
  <si>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</si>
  <si>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</si>
  <si>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</si>
  <si>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</si>
  <si>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</si>
  <si>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</si>
  <si>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</si>
  <si>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</si>
  <si>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</si>
  <si>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</si>
  <si>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</si>
  <si>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</si>
  <si>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</si>
  <si>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</si>
  <si>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</si>
  <si>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</si>
  <si>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</si>
  <si>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</si>
  <si>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</si>
  <si>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</si>
  <si>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</si>
  <si>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</si>
  <si>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</si>
  <si>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</si>
  <si>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</si>
  <si>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</si>
  <si>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</si>
  <si>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</si>
  <si>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</si>
  <si>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</si>
  <si>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</si>
  <si>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</si>
  <si>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</si>
  <si>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</si>
  <si>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</si>
  <si>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</si>
  <si>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</si>
  <si>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</si>
  <si>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</si>
  <si>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</si>
  <si>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</si>
  <si>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</si>
  <si>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</si>
  <si>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</si>
  <si>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</si>
  <si>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</si>
  <si>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</si>
  <si>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</si>
  <si>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</si>
  <si>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</si>
  <si>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</si>
  <si>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</si>
  <si>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</si>
  <si>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</si>
  <si>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</si>
  <si>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</si>
  <si>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</si>
  <si>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</si>
  <si>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</si>
  <si>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</si>
  <si>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</si>
  <si>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</si>
  <si>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</si>
  <si>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</si>
  <si>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</si>
  <si>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</si>
  <si>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</si>
  <si>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</si>
  <si>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</si>
  <si>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</si>
  <si>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</si>
  <si>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</si>
  <si>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</si>
  <si>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</si>
  <si>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</si>
  <si>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</si>
  <si>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</si>
  <si>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</si>
  <si>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</si>
  <si>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</si>
  <si>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</si>
  <si>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</si>
  <si>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</si>
  <si>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</si>
  <si>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</si>
  <si>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</si>
  <si>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</si>
  <si>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</si>
  <si>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</si>
  <si>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</si>
  <si>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</si>
  <si>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</si>
  <si>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</si>
  <si>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</si>
  <si>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</si>
  <si>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</si>
  <si>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</si>
  <si>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</si>
  <si>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</si>
  <si>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</si>
  <si>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</si>
  <si>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</si>
  <si>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</si>
  <si>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</si>
  <si>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</si>
  <si>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</si>
  <si>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</si>
  <si>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</si>
  <si>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</si>
  <si>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</si>
  <si>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</si>
  <si>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</si>
  <si>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</si>
  <si>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</si>
  <si>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</si>
  <si>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</si>
  <si>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</si>
  <si>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</si>
  <si>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</si>
  <si>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</si>
  <si>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</si>
  <si>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</si>
  <si>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</si>
  <si>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</si>
  <si>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</si>
  <si>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</si>
  <si>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</si>
  <si>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</si>
  <si>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</si>
  <si>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</si>
  <si>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</si>
  <si>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</si>
  <si>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</si>
  <si>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</si>
  <si>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</si>
  <si>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</si>
  <si>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</si>
  <si>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</si>
  <si>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</si>
  <si>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</si>
  <si>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</si>
  <si>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</si>
  <si>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</si>
  <si>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</si>
  <si>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</si>
  <si>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</si>
  <si>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</si>
  <si>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</si>
  <si>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</si>
  <si>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</si>
  <si>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</si>
  <si>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</si>
  <si>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</si>
  <si>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</si>
  <si>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</si>
  <si>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</si>
  <si>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</si>
  <si>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</si>
  <si>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</si>
  <si>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</si>
  <si>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</si>
  <si>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</si>
  <si>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</si>
  <si>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</si>
  <si>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</si>
  <si>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</si>
  <si>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</si>
  <si>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</si>
  <si>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</si>
  <si>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</si>
  <si>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</si>
  <si>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</si>
  <si>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</si>
  <si>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</si>
  <si>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</si>
  <si>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</si>
  <si>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</si>
  <si>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</si>
  <si>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</si>
  <si>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</si>
  <si>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</si>
  <si>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</si>
  <si>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</si>
  <si>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</si>
  <si>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</si>
  <si>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</si>
  <si>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</si>
  <si>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</si>
  <si>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</si>
  <si>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</si>
  <si>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</si>
  <si>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</si>
  <si>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</si>
  <si>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</si>
  <si>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</si>
  <si>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</si>
  <si>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</si>
  <si>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</si>
  <si>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</si>
  <si>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</si>
  <si>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</si>
  <si>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</si>
  <si>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</si>
  <si>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</si>
  <si>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</si>
  <si>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</si>
  <si>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</si>
  <si>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</si>
  <si>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</si>
  <si>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</si>
  <si>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</si>
  <si>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</si>
  <si>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</si>
  <si>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</si>
  <si>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</si>
  <si>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</si>
  <si>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</si>
  <si>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</si>
  <si>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</si>
  <si>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</si>
  <si>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</si>
  <si>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</si>
  <si>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</si>
  <si>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</si>
  <si>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</si>
  <si>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</si>
  <si>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</si>
  <si>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</si>
  <si>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</si>
  <si>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</si>
  <si>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</si>
  <si>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</si>
  <si>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</si>
  <si>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</si>
  <si>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</si>
  <si>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</si>
  <si>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</si>
  <si>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</si>
  <si>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</si>
  <si>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</si>
  <si>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</si>
  <si>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</si>
  <si>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</si>
  <si>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</si>
  <si>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</si>
  <si>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</si>
  <si>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</si>
  <si>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</si>
  <si>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</si>
  <si>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</si>
  <si>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</si>
  <si>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</si>
  <si>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</si>
  <si>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</si>
  <si>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</si>
  <si>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</si>
  <si>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</si>
  <si>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</si>
  <si>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</si>
  <si>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</si>
  <si>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</si>
  <si>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</si>
  <si>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</si>
  <si>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</si>
  <si>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</si>
  <si>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</si>
  <si>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</si>
  <si>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</si>
  <si>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</si>
  <si>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</si>
  <si>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</si>
  <si>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</si>
  <si>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</si>
  <si>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</si>
  <si>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</si>
  <si>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</si>
  <si>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</si>
  <si>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</si>
  <si>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</si>
  <si>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</si>
  <si>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</si>
  <si>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</si>
  <si>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</si>
  <si>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</si>
  <si>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</si>
  <si>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</si>
  <si>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</si>
  <si>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</si>
  <si>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</si>
  <si>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</si>
  <si>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</si>
  <si>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</si>
  <si>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</si>
  <si>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</si>
  <si>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</si>
  <si>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</si>
  <si>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</si>
  <si>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</si>
  <si>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</si>
  <si>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</si>
  <si>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</si>
  <si>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</si>
  <si>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</si>
  <si>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</si>
  <si>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</si>
  <si>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</si>
  <si>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</si>
  <si>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</si>
  <si>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</si>
  <si>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</si>
  <si>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</si>
  <si>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</si>
  <si>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</si>
  <si>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</si>
  <si>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</si>
  <si>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</si>
  <si>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</si>
  <si>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</si>
  <si>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</si>
  <si>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</si>
  <si>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</si>
  <si>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</si>
  <si>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</si>
  <si>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</si>
  <si>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</si>
  <si>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</si>
  <si>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</si>
  <si>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</si>
  <si>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</si>
  <si>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</si>
  <si>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</si>
  <si>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</si>
  <si>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</si>
  <si>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</si>
  <si>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</si>
  <si>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</si>
  <si>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</si>
  <si>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</si>
  <si>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</si>
  <si>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</si>
  <si>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</si>
  <si>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</si>
  <si>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</si>
  <si>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</si>
  <si>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</si>
  <si>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</si>
  <si>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</si>
  <si>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</si>
  <si>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</si>
  <si>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</si>
  <si>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</si>
  <si>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</si>
  <si>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</si>
  <si>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</si>
  <si>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</si>
  <si>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</si>
  <si>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</si>
  <si>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</si>
  <si>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</si>
  <si>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</si>
  <si>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</si>
  <si>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</si>
  <si>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</si>
  <si>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</si>
  <si>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</si>
  <si>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</si>
  <si>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</si>
  <si>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</si>
  <si>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</si>
  <si>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</si>
  <si>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</si>
  <si>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</si>
  <si>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</si>
  <si>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</si>
  <si>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</si>
  <si>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</si>
  <si>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</si>
  <si>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</si>
  <si>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</si>
  <si>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</si>
  <si>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</si>
  <si>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</si>
  <si>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</si>
  <si>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</si>
  <si>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</si>
  <si>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</si>
  <si>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</si>
  <si>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</si>
  <si>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</si>
  <si>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</si>
  <si>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</si>
  <si>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</si>
  <si>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</si>
  <si>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</si>
  <si>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</si>
  <si>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</si>
  <si>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</si>
  <si>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</si>
  <si>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NodeXL</t>
  </si>
  <si>
    <t>The graph represents a network of 319 Twitter users whose recent tweets contained "NodeXL", or who were replied to, mentioned, retweeted or quoted in those tweets, taken from a data set limited to a maximum of 50,000 tweets, tweeted between 8/1/2023 12:00:00 AM and 8/31/2023 11:59:59 PM.  The network was obtained from Twitter on Monday, 11 September 2023 at 11:34 UTC.
The tweets in the network were tweeted over the 1738-day, 21-hour, 29-minute period from Friday, 07 December 2018 at 16:04 UTC to Monday, 11 September 2023 at 13:34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</si>
  <si>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</si>
  <si>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</si>
  <si>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</si>
  <si>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</si>
  <si>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</si>
  <si>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</si>
  <si>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</si>
  <si>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</si>
  <si>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</si>
  <si>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</si>
  <si>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</si>
  <si>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</si>
  <si>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</si>
  <si>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</si>
  <si>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https://bit.ly/3Z2OFCA</t>
  </si>
  <si>
    <t>https://drive.google.com/file/d/1V8VDKgqRE3Ait1LOwdKrF73c0Y2BEvse/view?usp=sharing</t>
  </si>
  <si>
    <t>https://app.powerbi.com/view?r=eyJrIjoiOTI4ZjIyMTAtZTViNi00YTU4LTk3MGMtZmNlMzYxMGU3MzRlIiwidCI6IjI5ZDRjMTFjLTA1N2MtNDg3Zi04ZmRhLWU4NmQ1OTkzOWU2NCIsImMiOjZ9</t>
  </si>
  <si>
    <t>http://bit.ly/GetNodeXL</t>
  </si>
  <si>
    <t>https://www.linkedin.com/posts/pinakilaskar_ailaw-generativeai-intellectualproperty-activity-7099956740313497600-Rrrw</t>
  </si>
  <si>
    <t>https://www.linkedin.com/posts/pinakilaskar_aicommandments-aiforbusiness-aicompanies-activity-7100686984049831936-9XVM</t>
  </si>
  <si>
    <t>https://www.linkedin.com/posts/pinakilaskar_ai-rationalsystem-aisystem-activity-7098499497281896448-n3mE</t>
  </si>
  <si>
    <t>https://www.linkedin.com/posts/pinakilaskar_confidentialcomputing-generativeai-dataleakage-activity-7102874255679270912-H5ac</t>
  </si>
  <si>
    <t>https://www.linkedin.com/posts/pinakilaskar_aisingularity-machineconsciousness-generalai-activity-7102149386310160384-Rm41</t>
  </si>
  <si>
    <t>https://www.linkedin.com/posts/pinakilaskar_ai-ailiteracy-languageprocessing-activity-7098883303188918272-v6fM</t>
  </si>
  <si>
    <t>Entire Graph Count</t>
  </si>
  <si>
    <t>Top URLs in Tweet in G1</t>
  </si>
  <si>
    <t>https://bit.ly/3E8a4Ax</t>
  </si>
  <si>
    <t>https://bit.ly/47Lu0XB</t>
  </si>
  <si>
    <t>https://bit.ly/3YIJPKw</t>
  </si>
  <si>
    <t>https://bit.ly/44lcKFG</t>
  </si>
  <si>
    <t>https://bit.ly/3qQa1q2</t>
  </si>
  <si>
    <t>https://bit.ly/457scqc</t>
  </si>
  <si>
    <t>https://bit.ly/3PdAVBo</t>
  </si>
  <si>
    <t>https://bit.ly/3OSFbpT</t>
  </si>
  <si>
    <t>https://bit.ly/3QQBRgg</t>
  </si>
  <si>
    <t>Top URLs in Tweet in G2</t>
  </si>
  <si>
    <t>G1 Count</t>
  </si>
  <si>
    <t>https://bit.ly/44sbaBT</t>
  </si>
  <si>
    <t>https://bit.ly/3OxATCU</t>
  </si>
  <si>
    <t>https://bit.ly/3QTnFDh</t>
  </si>
  <si>
    <t>https://bit.ly/3QzmnNR</t>
  </si>
  <si>
    <t>https://community.aejmc.org/conference/opportunities/2023-sponsors</t>
  </si>
  <si>
    <t>https://twitter.com/NassimRETIERE/status/1582748701843329026?s=20</t>
  </si>
  <si>
    <t>Top URLs in Tweet in G3</t>
  </si>
  <si>
    <t>G2 Count</t>
  </si>
  <si>
    <t>https://app.powerbi.com/view?r=eyJrIjoiYWY1ODIyMTQtMmZkOC00N2ExLWE1MWItZTY0YTc1ODdjMmRkIiwidCI6IjI5ZDRjMTFjLTA1N2MtNDg3Zi04ZmRhLWU4NmQ1OTkzOWU2NCIsImMiOjZ9</t>
  </si>
  <si>
    <t>https://bit.ly/45wr6UQ</t>
  </si>
  <si>
    <t>https://bit.ly/3QS5HRz</t>
  </si>
  <si>
    <t>https://bit.ly/3L4QsRH</t>
  </si>
  <si>
    <t>Top URLs in Tweet in G4</t>
  </si>
  <si>
    <t>G3 Count</t>
  </si>
  <si>
    <t>https://www.google.com/search?q=QAnon&amp;oq=QAnon</t>
  </si>
  <si>
    <t>http://g.co/kgs/R5Ao5j</t>
  </si>
  <si>
    <t>http://plus.google.com/+ChristopherLeeHarper/posts/NiQGXc5DubT</t>
  </si>
  <si>
    <t>http://g.co/kgs/fwsk6y</t>
  </si>
  <si>
    <t>http://g.co/kgs/uQpGE9</t>
  </si>
  <si>
    <t>http://plus.google.com/+ChristopherLeeHarper/posts/1M8kKg7AHMf</t>
  </si>
  <si>
    <t>http://plus.google.com/+ChristopherLeeHarper/posts/ZHjAT5UXHMh</t>
  </si>
  <si>
    <t>https://g.co/kgs/DaHyUP</t>
  </si>
  <si>
    <t>http://wikipedia.org/wiki/Jack_Posobiec</t>
  </si>
  <si>
    <t>https://whois.com/whois/truthsocial.com</t>
  </si>
  <si>
    <t>Top URLs in Tweet in G5</t>
  </si>
  <si>
    <t>G4 Count</t>
  </si>
  <si>
    <t>https://bit.ly/3qRfJrM</t>
  </si>
  <si>
    <t>https://bit.ly/3Pi0L7D</t>
  </si>
  <si>
    <t>Top URLs in Tweet in G6</t>
  </si>
  <si>
    <t>G5 Count</t>
  </si>
  <si>
    <t>https://bit.ly/3OIsKeT</t>
  </si>
  <si>
    <t>Top URLs in Tweet in G7</t>
  </si>
  <si>
    <t>G6 Count</t>
  </si>
  <si>
    <t>https://www.linkedin.com/posts/pinakilaskar_aichips-edgeai-machinelearning-activity-7099246539562192897-nYgL</t>
  </si>
  <si>
    <t>https://www.linkedin.com/pulse/what-you-need-machine-intelligence-metaphysics-pinaki-laskar</t>
  </si>
  <si>
    <t>Top URLs in Tweet in G8</t>
  </si>
  <si>
    <t>G7 Count</t>
  </si>
  <si>
    <t>Top URLs in Tweet in G9</t>
  </si>
  <si>
    <t>G8 Count</t>
  </si>
  <si>
    <t>http://nodexlgraphgallery.org</t>
  </si>
  <si>
    <t>http://nodexgraphgallery.org</t>
  </si>
  <si>
    <t>https://www.coasttocoastam.com/article/british-woman-tormented-by-haunted-cell-phone/</t>
  </si>
  <si>
    <t>Top URLs in Tweet in G10</t>
  </si>
  <si>
    <t>G9 Count</t>
  </si>
  <si>
    <t>G10 Count</t>
  </si>
  <si>
    <t>Top URLs in Tweet</t>
  </si>
  <si>
    <t>https://drive.google.com/file/d/1V8VDKgqRE3Ait1LOwdKrF73c0Y2BEvse/view?usp=sharing https://bit.ly/3E8a4Ax https://bit.ly/47Lu0XB https://bit.ly/3YIJPKw https://bit.ly/44lcKFG https://bit.ly/3qQa1q2 https://bit.ly/457scqc https://bit.ly/3PdAVBo https://bit.ly/3OSFbpT https://bit.ly/3QQBRgg</t>
  </si>
  <si>
    <t>https://app.powerbi.com/view?r=eyJrIjoiOTI4ZjIyMTAtZTViNi00YTU4LTk3MGMtZmNlMzYxMGU3MzRlIiwidCI6IjI5ZDRjMTFjLTA1N2MtNDg3Zi04ZmRhLWU4NmQ1OTkzOWU2NCIsImMiOjZ9 https://bit.ly/44sbaBT https://bit.ly/3OxATCU https://bit.ly/3QTnFDh https://bit.ly/3QzmnNR https://community.aejmc.org/conference/opportunities/2023-sponsors https://twitter.com/NassimRETIERE/status/1582748701843329026?s=20</t>
  </si>
  <si>
    <t>https://bit.ly/3Z2OFCA https://app.powerbi.com/view?r=eyJrIjoiYWY1ODIyMTQtMmZkOC00N2ExLWE1MWItZTY0YTc1ODdjMmRkIiwidCI6IjI5ZDRjMTFjLTA1N2MtNDg3Zi04ZmRhLWU4NmQ1OTkzOWU2NCIsImMiOjZ9 https://bit.ly/45wr6UQ https://bit.ly/3QS5HRz https://bit.ly/3L4QsRH</t>
  </si>
  <si>
    <t>https://www.google.com/search?q=QAnon&amp;oq=QAnon http://g.co/kgs/R5Ao5j http://plus.google.com/+ChristopherLeeHarper/posts/NiQGXc5DubT http://g.co/kgs/fwsk6y http://g.co/kgs/uQpGE9 http://plus.google.com/+ChristopherLeeHarper/posts/1M8kKg7AHMf http://plus.google.com/+ChristopherLeeHarper/posts/ZHjAT5UXHMh https://g.co/kgs/DaHyUP http://wikipedia.org/wiki/Jack_Posobiec https://whois.com/whois/truthsocial.com</t>
  </si>
  <si>
    <t>https://bit.ly/3qRfJrM https://bit.ly/3Pi0L7D</t>
  </si>
  <si>
    <t>https://www.linkedin.com/posts/pinakilaskar_ailaw-generativeai-intellectualproperty-activity-7099956740313497600-Rrrw https://www.linkedin.com/posts/pinakilaskar_aichips-edgeai-machinelearning-activity-7099246539562192897-nYgL https://www.linkedin.com/pulse/what-you-need-machine-intelligence-metaphysics-pinaki-laskar https://www.linkedin.com/posts/pinakilaskar_ai-ailiteracy-languageprocessing-activity-7098883303188918272-v6fM https://www.linkedin.com/posts/pinakilaskar_aisingularity-machineconsciousness-generalai-activity-7102149386310160384-Rm41 https://www.linkedin.com/posts/pinakilaskar_confidentialcomputing-generativeai-dataleakage-activity-7102874255679270912-H5ac https://www.linkedin.com/posts/pinakilaskar_ai-rationalsystem-aisystem-activity-7098499497281896448-n3mE https://www.linkedin.com/posts/pinakilaskar_aicommandments-aiforbusiness-aicompanies-activity-7100686984049831936-9XVM</t>
  </si>
  <si>
    <t>http://nodexlgraphgallery.org http://nodexgraphgallery.org https://www.coasttocoastam.com/article/british-woman-tormented-by-haunted-cell-phone/</t>
  </si>
  <si>
    <t>http://bit.ly/GetNodeXL http://bit.ly/NodeXLMaps https://nodexlgraphgallery.org/ https://dryades.units.it/torlonia/ https://docs.qq.com/pdf/DUUFQdWVsTkpib1Nl</t>
  </si>
  <si>
    <t>https://api.ltb.io/show/ABWJY</t>
  </si>
  <si>
    <t>Top Domains in Tweet in Entire Graph</t>
  </si>
  <si>
    <t>Top Domains in Tweet in G1</t>
  </si>
  <si>
    <t>Top Domains in Tweet in G2</t>
  </si>
  <si>
    <t>Top Domains in Tweet in G3</t>
  </si>
  <si>
    <t>Top Domains in Tweet in G4</t>
  </si>
  <si>
    <t>whois.com</t>
  </si>
  <si>
    <t>Top Domains in Tweet in G5</t>
  </si>
  <si>
    <t>Top Domains in Tweet in G6</t>
  </si>
  <si>
    <t>Top Domains in Tweet in G7</t>
  </si>
  <si>
    <t>Top Domains in Tweet in G8</t>
  </si>
  <si>
    <t>Top Domains in Tweet in G9</t>
  </si>
  <si>
    <t>Top Domains in Tweet in G10</t>
  </si>
  <si>
    <t>Top Domains in Tweet</t>
  </si>
  <si>
    <t>bit.ly google.com nodexlgraphgallery.org smrfoundation.org</t>
  </si>
  <si>
    <t>bit.ly powerbi.com aejmc.org twitter.com</t>
  </si>
  <si>
    <t>bit.ly powerbi.com</t>
  </si>
  <si>
    <t>twitter.com g.co google.com wikipedia.org nodexlgraphgallery.org whois.com</t>
  </si>
  <si>
    <t>nodexlgraphgallery.org nodexgraphgallery.org coasttocoastam.com</t>
  </si>
  <si>
    <t>bit.ly nodexlgraphgallery.org units.it qq.com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</si>
  <si>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</si>
  <si>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</si>
  <si>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</si>
  <si>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</si>
  <si>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</si>
  <si>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</si>
  <si>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</si>
  <si>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</si>
  <si>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</si>
  <si>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</si>
  <si>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</si>
  <si>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</si>
  <si>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minätutkin rasismi hallitus persut verkostoanalyysi perussuomalaiset permafrost worldathleticschampionships gephi hallituskriisi</t>
  </si>
  <si>
    <t>aejmc23 prprofs aejmc smprofs academictwitter research aejmc22 chandrayaan3 isro chandrayaan3landing</t>
  </si>
  <si>
    <t>smprofs intentdata prprofs smc2024 smpc2023 smle2022 ff aejmc22 asa2023 sssp2023</t>
  </si>
  <si>
    <t>ϙanon ϙ modernnumeralsign greek letter koppa qanon altright q altreich</t>
  </si>
  <si>
    <t>linkedin bitcoin seohashtag btc twitter socialmedia facebook x airdrop crypto</t>
  </si>
  <si>
    <t>privateequity venturecapital finance investment</t>
  </si>
  <si>
    <t>ai machinelearning generativeai futureai generalai autonomousvehicles artificialintelligence copyright intellectualproperty startups</t>
  </si>
  <si>
    <t>nodexl sentimentanalysis socialmediaanalysis newsemester smartlab villatorlonia flora botanica sankey apgiv</t>
  </si>
  <si>
    <t>amee2023 medicaleducation nodexl socailmediamarketing bigdatanalytics eposters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</si>
  <si>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</si>
  <si>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</si>
  <si>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</si>
  <si>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</si>
  <si>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</si>
  <si>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</si>
  <si>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</si>
  <si>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</si>
  <si>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</si>
  <si>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</si>
  <si>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</si>
  <si>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</si>
  <si>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nodexl top hashtags #minätutkin gephi hsfi #rasismi #hallitus jnkka smr_foundation</t>
  </si>
  <si>
    <t>nodexl aejmc #aejmc23 data #prprofs thank mihkal #aejmc hashtags top</t>
  </si>
  <si>
    <t>nodexl #smprofs top hashtags #intentdata mimspr #prprofs shoutmgb this0499154500 kimfoxwosu</t>
  </si>
  <si>
    <t>gt lt mrandyngo nodexl lindayax hulivar elonmusk xsecurity jackposobiecc1 jackposobiec</t>
  </si>
  <si>
    <t>#linkedin #bitcoin audiences nodexl #seohashtag hashtags search top #btc</t>
  </si>
  <si>
    <t>nodexl connectedaction connected_data gephi #privateequity openalex_org #venturecapital</t>
  </si>
  <si>
    <t>thinkers360 nodexl towards_ai onalytica kcore_analytics guidaautonoma iotcommunity mkai_org automotive_news officialindiaai</t>
  </si>
  <si>
    <t>hrcurator hiqutipie michaelbathurst hanseckman simplytimtv davidgogoblues 2cshadowfox nodexl optiongirl markbird17</t>
  </si>
  <si>
    <t>nodexl gt election marc_smith twitter realdonaldtrump come mined human hijacked</t>
  </si>
  <si>
    <t>nodexl #nodexl analysis using networks safety #sentimentanalysis tweets social insights</t>
  </si>
  <si>
    <t>keyword yurimanga nodexl pak</t>
  </si>
  <si>
    <t>Top Word Pairs in Tweet in Entire Graph</t>
  </si>
  <si>
    <t>top,hashtags</t>
  </si>
  <si>
    <t>onalytica,towards_ai</t>
  </si>
  <si>
    <t>mkai_org,kcore_analytics</t>
  </si>
  <si>
    <t>guidaautonoma,iotcommunity</t>
  </si>
  <si>
    <t>towards_ai,automotive_news</t>
  </si>
  <si>
    <t>automotive_news,mkai_org</t>
  </si>
  <si>
    <t>kcore_analytics,pecb</t>
  </si>
  <si>
    <t>pecb,nodexl</t>
  </si>
  <si>
    <t>officialindiaai,onalytica</t>
  </si>
  <si>
    <t>thinkers360,officialindiaai</t>
  </si>
  <si>
    <t>Top Word Pairs in Tweet in G1</t>
  </si>
  <si>
    <t>bendobrown,nicolasbchb</t>
  </si>
  <si>
    <t>jacomyma,nodexl</t>
  </si>
  <si>
    <t>seinecle,bendobrown</t>
  </si>
  <si>
    <t>theprojectmerge,rocketbotpro</t>
  </si>
  <si>
    <t>nodexl,seinecle</t>
  </si>
  <si>
    <t>#rasismi,#persut</t>
  </si>
  <si>
    <t>mergebcdg,jacomyma</t>
  </si>
  <si>
    <t>nodexl,smr_foundation</t>
  </si>
  <si>
    <t>gephi,theprojectmerge</t>
  </si>
  <si>
    <t>Top Word Pairs in Tweet in G2</t>
  </si>
  <si>
    <t>mihkal,nodexl</t>
  </si>
  <si>
    <t>aejmc,nodexl</t>
  </si>
  <si>
    <t>nodexl,aejmc</t>
  </si>
  <si>
    <t>#smprofs,#prprofs</t>
  </si>
  <si>
    <t>aejmc_prd,aejmc_comsher</t>
  </si>
  <si>
    <t>truescope_na,nodexl</t>
  </si>
  <si>
    <t>aejmc_comsher,aejmc_bamj</t>
  </si>
  <si>
    <t>aejmc_nond,csw_aejmc</t>
  </si>
  <si>
    <t>aejmc,aejmc_nond</t>
  </si>
  <si>
    <t>Top Word Pairs in Tweet in G3</t>
  </si>
  <si>
    <t>jeremyhl,kfreberg</t>
  </si>
  <si>
    <t>this0499154500,spj_tweets</t>
  </si>
  <si>
    <t>asa2023,nodexl</t>
  </si>
  <si>
    <t>michaelbathurst,shoutmgb</t>
  </si>
  <si>
    <t>kimfoxwosu,michaelbathurst</t>
  </si>
  <si>
    <t>spj_tweets,matt_prince</t>
  </si>
  <si>
    <t>mimspr,this0499154500</t>
  </si>
  <si>
    <t>matt_prince,reutsmichael1</t>
  </si>
  <si>
    <t>shoutmgb,mimspr</t>
  </si>
  <si>
    <t>Top Word Pairs in Tweet in G4</t>
  </si>
  <si>
    <t>lt,gt</t>
  </si>
  <si>
    <t>mrandyngo,nodexl</t>
  </si>
  <si>
    <t>elonmusk,xsecurity</t>
  </si>
  <si>
    <t>lindayax,elonmusk</t>
  </si>
  <si>
    <t>xsecurity,mrandyngo</t>
  </si>
  <si>
    <t>jackposobiec456,jackposobiecc1</t>
  </si>
  <si>
    <t>jackposobiec60,jackposobiec456</t>
  </si>
  <si>
    <t>jackposobiec,jackposobiec__</t>
  </si>
  <si>
    <t>jackposobiec1,stillgray</t>
  </si>
  <si>
    <t>nodexl,blklivesmatter</t>
  </si>
  <si>
    <t>Top Word Pairs in Tweet in G5</t>
  </si>
  <si>
    <t>#linkedin,#linkedin</t>
  </si>
  <si>
    <t>nodexl,#seohashtag</t>
  </si>
  <si>
    <t>Top Word Pairs in Tweet in G6</t>
  </si>
  <si>
    <t>openalex_org,gephi</t>
  </si>
  <si>
    <t>connected_data,connectedaction</t>
  </si>
  <si>
    <t>gephi,connected_data</t>
  </si>
  <si>
    <t>Top Word Pairs in Tweet in G7</t>
  </si>
  <si>
    <t>vivatech,thinkers360</t>
  </si>
  <si>
    <t>Top Word Pairs in Tweet in G8</t>
  </si>
  <si>
    <t>hanseckman,markbird17</t>
  </si>
  <si>
    <t>hiqutipie,ginabella</t>
  </si>
  <si>
    <t>optiongirl,nodexl</t>
  </si>
  <si>
    <t>nodexl,hanseckman</t>
  </si>
  <si>
    <t>hrcurator,optiongirl</t>
  </si>
  <si>
    <t>davidgogoblues,kitchenerblues</t>
  </si>
  <si>
    <t>2cshadowfox,davidgogoblues</t>
  </si>
  <si>
    <t>kitchenerblues,hiqutipie</t>
  </si>
  <si>
    <t>michaelbathurst,2cshadowfox</t>
  </si>
  <si>
    <t>chrisgalesmusic,simplytimtv</t>
  </si>
  <si>
    <t>Top Word Pairs in Tweet in G9</t>
  </si>
  <si>
    <t>election,day</t>
  </si>
  <si>
    <t>nodexl,come</t>
  </si>
  <si>
    <t>marc_smith,nodexl</t>
  </si>
  <si>
    <t>clusters,mined</t>
  </si>
  <si>
    <t>Top Word Pairs in Tweet in G10</t>
  </si>
  <si>
    <t>Top Word Pairs in Tweet</t>
  </si>
  <si>
    <t>top,hashtags  bendobrown,nicolasbchb  jacomyma,nodexl  seinecle,bendobrown  theprojectmerge,rocketbotpro  nodexl,seinecle  #rasismi,#persut  mergebcdg,jacomyma  nodexl,smr_foundation  gephi,theprojectmerge</t>
  </si>
  <si>
    <t>top,hashtags  mihkal,nodexl  aejmc,nodexl  nodexl,aejmc  #smprofs,#prprofs  aejmc_prd,aejmc_comsher  truescope_na,nodexl  aejmc_comsher,aejmc_bamj  aejmc_nond,csw_aejmc  aejmc,aejmc_nond</t>
  </si>
  <si>
    <t>top,hashtags  jeremyhl,kfreberg  this0499154500,spj_tweets  asa2023,nodexl  michaelbathurst,shoutmgb  kimfoxwosu,michaelbathurst  spj_tweets,matt_prince  mimspr,this0499154500  matt_prince,reutsmichael1  shoutmgb,mimspr</t>
  </si>
  <si>
    <t>lt,gt  mrandyngo,nodexl  elonmusk,xsecurity  lindayax,elonmusk  xsecurity,mrandyngo  jackposobiec456,jackposobiecc1  jackposobiec60,jackposobiec456  jackposobiec,jackposobiec__  jackposobiec1,stillgray  nodexl,blklivesmatter</t>
  </si>
  <si>
    <t>#linkedin,#linkedin  top,hashtags  nodexl,#seohashtag</t>
  </si>
  <si>
    <t>openalex_org,gephi  connected_data,connectedaction  gephi,connected_data</t>
  </si>
  <si>
    <t>onalytica,towards_ai  mkai_org,kcore_analytics  guidaautonoma,iotcommunity  towards_ai,automotive_news  automotive_news,mkai_org  kcore_analytics,pecb  pecb,nodexl  officialindiaai,onalytica  thinkers360,officialindiaai  vivatech,thinkers360</t>
  </si>
  <si>
    <t>hanseckman,markbird17  hiqutipie,ginabella  optiongirl,nodexl  nodexl,hanseckman  hrcurator,optiongirl  davidgogoblues,kitchenerblues  2cshadowfox,davidgogoblues  kitchenerblues,hiqutipie  michaelbathurst,2cshadowfox  chrisgalesmusic,simplytimtv</t>
  </si>
  <si>
    <t>election,day  nodexl,come  marc_smith,nodexl  clusters,mined</t>
  </si>
  <si>
    <t>nodexl,insights  using,nodexl  insights,networks  sentiment,analysis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</si>
  <si>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</si>
  <si>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</si>
  <si>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</si>
  <si>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</si>
  <si>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</si>
  <si>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</si>
  <si>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</si>
  <si>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</si>
  <si>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</si>
  <si>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</si>
  <si>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</si>
  <si>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</si>
  <si>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</si>
  <si>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</si>
  <si>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</si>
  <si>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</si>
  <si>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</si>
  <si>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</si>
  <si>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</si>
  <si>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</si>
  <si>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</si>
  <si>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</si>
  <si>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</si>
  <si>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jnkka mihkal samisyrjamaki dfwplay persut</t>
  </si>
  <si>
    <t>mihkal samisyrjamaki jeremyhl nodexl</t>
  </si>
  <si>
    <t>lindayax ladyknightfury mrandyngo</t>
  </si>
  <si>
    <t>dataengineer23 ifeanyidiaye</t>
  </si>
  <si>
    <t>michaelbathurst sunflwrgirl2</t>
  </si>
  <si>
    <t>Top Mentioned in Tweet</t>
  </si>
  <si>
    <t>nodexl hsfi gephi theprojectmerge rocketbotpro mergebcdg jacomyma seinecle bendobrown nicolasbchb</t>
  </si>
  <si>
    <t>nodexl aejmc aejmc_nond csw_aejmc aejmc_lawp aejmc_prd aejmc_comsher aejmcs bradleywilson09 mollyyanity</t>
  </si>
  <si>
    <t>kfreberg kimfoxwosu michaelbathurst shoutmgb mimspr this0499154500 spj_tweets matt_prince reutsmichael1 jeremyhl</t>
  </si>
  <si>
    <t>jackposobiec elonmusk xsecurity mrandyngo nodexl blklivesmatter jackposobiec__ jackposobiec60 jackposobiec456 jackposobiecc1</t>
  </si>
  <si>
    <t>nodexl linkedin tinopfaff linkedinhelp elonmusk therainbownavy2 sivamurugappan whizz_ai algoworks 301andi</t>
  </si>
  <si>
    <t>openalex_org gephi connected_data connectedaction nodexl sbmccallister champprivate wsj jacksonhinklle ttfacer</t>
  </si>
  <si>
    <t>guidaautonoma thinkers360 onalytica towards_ai kcore_analytics nodexl iotcommunity mkai_org automotive_news officialindiaai</t>
  </si>
  <si>
    <t>2cshadowfox davidgogoblues kitchenerblues hiqutipie ginabella hrcurator optiongirl nodexl hanseckman markbird17</t>
  </si>
  <si>
    <t>nodexl marc_smith realdonaldtrump stella_assange defendassange gabrielshipton mikepompeo donaldjtrumpjr whitehouse</t>
  </si>
  <si>
    <t>nodexl netnocon alexfenton cristinavas kozinets aleksejheinze georgette_eaton magdamraza raulpacheco lldesimone</t>
  </si>
  <si>
    <t>aniesbaswedan ganjarpranowo prabowo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</si>
  <si>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</si>
  <si>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</si>
  <si>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</si>
  <si>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</si>
  <si>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</si>
  <si>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</si>
  <si>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</si>
  <si>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</si>
  <si>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</si>
  <si>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</si>
  <si>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</si>
  <si>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</si>
  <si>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reuters dwnews yleuutiset hsfi dimmu141 rocketbotpro mustapipa kasvismafioso eerolasami maastul</t>
  </si>
  <si>
    <t>ani academicchatter jeremyhl incindia phdvoice willthewordguy sprinklr mollyyanity nassimretiere rishibagree</t>
  </si>
  <si>
    <t>shoutmgb rvcj_fb hsajwanization kfreberg vlkas_pr0nam0 kimfoxwosu erbmjha victorerikray prof_kennedy narendramodi</t>
  </si>
  <si>
    <t>stillgray jackposobiec charpy73 youtube michaeljknowles mrandyngo usnavy adl librarycongress blklivesmatter</t>
  </si>
  <si>
    <t>linkedinhelp btcyn bitcoinnewscom algoworks 301andi therainbownavy2 freebycrypto bitcoinmagazine elonmusk hashtagmarketi7</t>
  </si>
  <si>
    <t>wsj ft medicalquack sbmccallister champprivate gopoversight investeuropeeu jacksonhinklle nostatusquono ttfacer</t>
  </si>
  <si>
    <t>_thinkbot automotive_news onalytica thinkers360 guidaautonoma towards_ai fisheyebox pinakilaskar vivatech officialindiaai</t>
  </si>
  <si>
    <t>michaelbathurst hrcurator hiqutipie optiongirl chrismontmusic davidgogoblues ginabella littletoright sunflwrgirl2 markbird17</t>
  </si>
  <si>
    <t>edkrassen pilotbeac0n realdonaldtrump 541lcbt donaldjtrumpjr defendassange coasttocoastam marc_smith stella_assange dwighttyree</t>
  </si>
  <si>
    <t>raulpacheco alexfenton aleksejheinze cristinavas lldesimone kozinets nodexlacademy georgette_eaton magdamraza netnocon</t>
  </si>
  <si>
    <t>robertplewis hanssars8 diiityaardhi whitehouse fromalias michbsd liuyuxxd smart_lab_ru anningyeye heortyw</t>
  </si>
  <si>
    <t>ganjarpranowo aniesbaswedan prabowo himesaka__ irwan_dwi_a</t>
  </si>
  <si>
    <t>ainafer davidgraell alexarabat</t>
  </si>
  <si>
    <t>shaziaiqbal2023 ltbeposters</t>
  </si>
  <si>
    <t>aniabello_r freylev</t>
  </si>
  <si>
    <t>URLs in Tweet by Count</t>
  </si>
  <si>
    <t>http://bit.ly/NodeXLMaps</t>
  </si>
  <si>
    <t>https://nodexlgraphgallery.org/</t>
  </si>
  <si>
    <t>https://drive.google.com/file/d/1V8VDKgqRE3Ait1LOwdKrF73c0Y2BEvse/view?usp=sharing https://nodexlgraphgallery.org/Pages/Graph.aspx?graphID=281570 https://www.smrfoundation.org/nodexl/nodexl-pro-insights-2/ https://bit.ly/3E8yBoX https://nodexlgraphgallery.org/Pages/Graph.aspx?graphID=292277 https://bit.ly/3KYA05C https://bit.ly/47SnwWM https://bit.ly/3QQBRgg https://bit.ly/3OSFbpT https://bit.ly/3PdAVBo</t>
  </si>
  <si>
    <t>https://bit.ly/44sbaBT https://bit.ly/3QzmnNR https://bit.ly/3QTnFDh https://app.powerbi.com/view?r=eyJrIjoiOTI4ZjIyMTAtZTViNi00YTU4LTk3MGMtZmNlMzYxMGU3MzRlIiwidCI6IjI5ZDRjMTFjLTA1N2MtNDg3Zi04ZmRhLWU4NmQ1OTkzOWU2NCIsImMiOjZ9 https://bit.ly/3OxATCU</t>
  </si>
  <si>
    <t>https://www.google.com/search?q=QAnon&amp;oq=QAnon https://g.co/kgs/cMkjHR https://en.wikipedia.org/wiki/Koppa_(letter) https://en.wikipedia.org/wiki/Graeco-Aryan https://twitter.com/Charpy73/status/1072570061603377154?s=20 https://twitter.com/Charpy73/status/1071073087528058880?s=20 https://twitter.com/Charpy73/status/1677875566521864193?s=20 https://twitter.com/Charpy73/status/1081734473513869312?s=20 https://www.nodexlgraphgallery.org/Pages/Default.aspx?search=MrAndyNgo https://www.nodexlgraphgallery.org/Pages/Graph.aspx?graphID=288305</t>
  </si>
  <si>
    <t>https://www.smrfoundation.org/</t>
  </si>
  <si>
    <t>https://dryades.units.it/torlonia/</t>
  </si>
  <si>
    <t>https://bit.ly/3Z2OFCA https://bit.ly/3L4QsRH https://bit.ly/3QS5HRz https://bit.ly/45wr6UQ https://app.powerbi.com/view?r=eyJrIjoiYWY1ODIyMTQtMmZkOC00N2ExLWE1MWItZTY0YTc1ODdjMmRkIiwidCI6IjI5ZDRjMTFjLTA1N2MtNDg3Zi04ZmRhLWU4NmQ1OTkzOWU2NCIsImMiOjZ9</t>
  </si>
  <si>
    <t>http://nodexgraphgallery.org http://nodexlgraphgallery.org</t>
  </si>
  <si>
    <t>https://docs.qq.com/pdf/DUUFQdWVsTkpib1Nl</t>
  </si>
  <si>
    <t>https://www.linkedin.com/posts/pinakilaskar_aicommandments-aiforbusiness-aicompanies-activity-7100686984049831936-9XVM https://www.linkedin.com/posts/pinakilaskar_ai-rationalsystem-aisystem-activity-7098499497281896448-n3mE https://www.linkedin.com/posts/pinakilaskar_confidentialcomputing-generativeai-dataleakage-activity-7102874255679270912-H5ac https://www.linkedin.com/posts/pinakilaskar_aisingularity-machineconsciousness-generalai-activity-7102149386310160384-Rm41 https://www.linkedin.com/posts/pinakilaskar_ai-ailiteracy-languageprocessing-activity-7098883303188918272-v6fM https://www.linkedin.com/pulse/what-you-need-machine-intelligence-metaphysics-pinaki-laskar https://www.linkedin.com/posts/pinakilaskar_aichips-edgeai-machinelearning-activity-7099246539562192897-nYgL</t>
  </si>
  <si>
    <t>URLs in Tweet by Salience</t>
  </si>
  <si>
    <t>https://drive.google.com/file/d/1V8VDKgqRE3Ait1LOwdKrF73c0Y2BEvse/view?usp=sharing https://nodexlgraphgallery.org/Pages/Graph.aspx?graphID=292277 https://bit.ly/47Lu0XB https://bit.ly/457scqc https://bit.ly/3E8a4Ax https://bit.ly/3KYA05C https://bit.ly/47SnwWM https://bit.ly/3qQa1q2 https://nodexlgraphgallery.org/Pages/Graph.aspx?graphID=281570 https://bit.ly/44lcKFG</t>
  </si>
  <si>
    <t>https://app.powerbi.com/view?r=eyJrIjoiOTI4ZjIyMTAtZTViNi00YTU4LTk3MGMtZmNlMzYxMGU3MzRlIiwidCI6IjI5ZDRjMTFjLTA1N2MtNDg3Zi04ZmRhLWU4NmQ1OTkzOWU2NCIsImMiOjZ9 https://bit.ly/3OxATCU https://bit.ly/3QTnFDh https://bit.ly/44sbaBT https://bit.ly/3QzmnNR</t>
  </si>
  <si>
    <t>https://twitter.com/Charpy73/status/1071073087528058880?s=20 https://whois.com/whois/truthsocial.com https://twitter.com/JackPosobiec/status/1397286625923715077?s=20 https://www.google.com/search?q=QAnon&amp;oq=QAnon https://twitter.com/Charpy73/status/1072570061603377154?s=20 https://en.wikipedia.org/wiki/Graeco-Aryan https://g.co/kgs/cMkjHR http://plus.google.com/+ChristopherLeeHarper/posts/ZHjAT5UXHMh http://plus.google.com/+ChristopherLeeHarper/posts/NiQGXc5DubT https://twitter.com/Charpy73/status/1677863194839089152?s=20</t>
  </si>
  <si>
    <t>https://bit.ly/3Z2OFCA https://bit.ly/3L4QsRH https://bit.ly/45wr6UQ https://bit.ly/3QS5HRz https://app.powerbi.com/view?r=eyJrIjoiYWY1ODIyMTQtMmZkOC00N2ExLWE1MWItZTY0YTc1ODdjMmRkIiwidCI6IjI5ZDRjMTFjLTA1N2MtNDg3Zi04ZmRhLWU4NmQ1OTkzOWU2NCIsImMiOjZ9</t>
  </si>
  <si>
    <t>http://nodexlgraphgallery.org http://nodexgraphgallery.org</t>
  </si>
  <si>
    <t>https://www.linkedin.com/posts/pinakilaskar_aichips-edgeai-machinelearning-activity-7099246539562192897-nYgL https://www.linkedin.com/posts/pinakilaskar_ai-rationalsystem-aisystem-activity-7098499497281896448-n3mE https://www.linkedin.com/posts/pinakilaskar_ai-ailiteracy-languageprocessing-activity-7098883303188918272-v6fM https://www.linkedin.com/posts/pinakilaskar_aicommandments-aiforbusiness-aicompanies-activity-7100686984049831936-9XVM https://www.linkedin.com/pulse/what-you-need-machine-intelligence-metaphysics-pinaki-laskar https://www.linkedin.com/posts/pinakilaskar_confidentialcomputing-generativeai-dataleakage-activity-7102874255679270912-H5ac https://www.linkedin.com/posts/pinakilaskar_aisingularity-machineconsciousness-generalai-activity-7102149386310160384-Rm41</t>
  </si>
  <si>
    <t>Domains in Tweet by Count</t>
  </si>
  <si>
    <t>bit.ly nodexlgraphgallery.org google.com smrfoundation.org</t>
  </si>
  <si>
    <t>nodexgraphgallery.org nodexlgraphgallery.org</t>
  </si>
  <si>
    <t>Domains in Tweet by Salience</t>
  </si>
  <si>
    <t>nodexlgraphgallery.org google.com bit.ly smrfoundation.org</t>
  </si>
  <si>
    <t>powerbi.com bit.ly</t>
  </si>
  <si>
    <t>google.com g.co wikipedia.org nodexlgraphgallery.org twitter.com whois.com</t>
  </si>
  <si>
    <t>Hashtags in Tweet by Count</t>
  </si>
  <si>
    <t>minätutkin rasismi hallitus persut verkostoanalyysi perussuomalaiset permafrost hakaristi kokoomus politiikka</t>
  </si>
  <si>
    <t>aejmc23 aejmc prprofs aejmc22 academictwitter chandrayaan3 isro chandrayaan3landing indiaonthemoon vikramlander</t>
  </si>
  <si>
    <t>ϙanon ϙ modernnumeralsign greek letter koppa qanon altright symbol altreich</t>
  </si>
  <si>
    <t>nodexl villatorlonia flora botanica sankey apgiv</t>
  </si>
  <si>
    <t>aejmc23 smprofs prprofs smc2024 research data smmm2025</t>
  </si>
  <si>
    <t>smprofs intentdata prprofs smc2024 smpc2023 smle2022 ff aejmc22 abm b2b</t>
  </si>
  <si>
    <t>ai machinelearning futureai generativeai autonomousvehicles artificialintelligence generalai aihallucination aicommandments aiforbusiness</t>
  </si>
  <si>
    <t>ai generativeai copyright intellectualproperty startups unicorn entrepreneurship</t>
  </si>
  <si>
    <t>Hashtags in Tweet by Salience</t>
  </si>
  <si>
    <t>rasismi minätutkin permafrost hallitus persut hakaristi worldathleticschampionships gephi kaivos saamelaiskäräjälaki</t>
  </si>
  <si>
    <t>sporet vallon spore boussole globall sport 8èmevaleurrépublicaine</t>
  </si>
  <si>
    <t>aejmc aejmc23 academictwitter aejmc22 prprofs indiaonthemoon plcd smle2022 vikramlander phdchat</t>
  </si>
  <si>
    <t>ϙanon q antisemitic symbol whitesupremacist modernnumeralsign letter maga ϙ altreich</t>
  </si>
  <si>
    <t>villatorlonia flora sankey botanica apgiv nodexl</t>
  </si>
  <si>
    <t>data smc2024 smmm2025 research prprofs aejmc23 smprofs</t>
  </si>
  <si>
    <t>intentdata smprofs prprofs smc2024 b2b emca absoc2023 marketing b2bmarketing abm</t>
  </si>
  <si>
    <t>socialmedia tuesdayvibe music</t>
  </si>
  <si>
    <t>linkedin bitcoin btc socialmedia x facebook crypto airdrop twitter seohashtag</t>
  </si>
  <si>
    <t>amee2023 eposters bigdatanalytics medicaleducation socailmediamarketing nodexl</t>
  </si>
  <si>
    <t>opinionleader snanalysis sentimentanalysis datavisualization</t>
  </si>
  <si>
    <t>machinelearning futureai ai autonomousvehicles generalai generativeai artificialintelligence confidentialcomputing thinkingmachines aiforbusiness</t>
  </si>
  <si>
    <t>unicorn ai startups intellectualproperty generativeai entrepreneurship copyright</t>
  </si>
  <si>
    <t>Top Words in Tweet by Count</t>
  </si>
  <si>
    <t>sars hanssars8 rootbrian_ #nodexl</t>
  </si>
  <si>
    <t>irónicamente verificar manualmente usan información saber aniabello_r bien programa terrible</t>
  </si>
  <si>
    <t>osint media looking map toolkit template explore source understand empowers</t>
  </si>
  <si>
    <t>20 maksimina vielä pystyy imuroimaan mihkal twiittejä 000 kpl ja</t>
  </si>
  <si>
    <t>hashtags top #minätutkin hsfi #rasismi #hallitus jnkka marc_smith gephi smr_foundation</t>
  </si>
  <si>
    <t>présentant mixte bradleywilson09 #spore earth existantes aejmc_comsher csw_aejmc développer guérir</t>
  </si>
  <si>
    <t>thank conference possible sponsors each #aejmc23 without truescope_na data big</t>
  </si>
  <si>
    <t>#aejmc top hashtags #aejmc23 aejmc #prprofs data isro #aejmc22 aejmc_prd</t>
  </si>
  <si>
    <t>gt lt mrandyngo lindayax hulivar elonmusk xsecurity jackposobiecc1 jackposobiec hulivar6</t>
  </si>
  <si>
    <t>search ai semantic working meaning match x show liuyuxxd text</t>
  </si>
  <si>
    <t>gephi jacomyma seinecle nicolasbchb mihkal bendobrown rocketbotpro theprojectmerge mergebcdg hard</t>
  </si>
  <si>
    <t>semester excellence tools exciting academic smart design horizons let's welcome</t>
  </si>
  <si>
    <t>insights networks using</t>
  </si>
  <si>
    <t>#nodexl apg #flora #villatorlonia #apgiv #sankey ben iv fatto #botanica</t>
  </si>
  <si>
    <t>aejmc twitter x #smprofs #aejmc23 data #prprofs powerbi good looking</t>
  </si>
  <si>
    <t>analysis uses between paper connection moore newman insufficient clauset conclusion</t>
  </si>
  <si>
    <t>lldesimone thank cristinavas raulpacheco magdamraza nodexlacademy much aleksejheinze alexfenton georgette_eaton</t>
  </si>
  <si>
    <t>#smprofs top hashtags #intentdata mimspr #prprofs shoutmgb this0499154500 kimfoxwosu asa2023</t>
  </si>
  <si>
    <t>hrcurator #tuesdayvibe following hiqutipie chrismontmusic sunflwrgirl2 hanseckman tuesday simplytimtv chrisgalesmusic</t>
  </si>
  <si>
    <t>#linkedin #bitcoin audiences #seohashtag hashtags top #btc #facebook tinopfaff _jen_net_</t>
  </si>
  <si>
    <t>#amee2023 glasgow working buzzing join net #nodexl eposter great check</t>
  </si>
  <si>
    <t>hrcurator reported hiqutipie chrismontmusic michaelbathurst sunflwrgirl2 hanseckman simplytimtv chrisgalesmusic davidgogoblues</t>
  </si>
  <si>
    <t>michaelbathurst hrcurator hiqutipie chrismontmusic sunflwrgirl2 hanseckman thank simplytimtv much davidgogoblues</t>
  </si>
  <si>
    <t>hrcurator hiqutipie michaelbathurst sunflwrgirl2 hanseckman thank simplytimtv chrisgalesmusic davidgogoblues 2cshadowfox</t>
  </si>
  <si>
    <t>hrcurator hiqutipie chrismontmusic michaelbathurst hanseckman thank simplytimtv chrisgalesmusic much davidgogoblues</t>
  </si>
  <si>
    <t>agost alexarabat abans quina #nodexl estigui coneguda xarxa tancada quin</t>
  </si>
  <si>
    <t>trump smith social order turn requested donald coming go filed</t>
  </si>
  <si>
    <t>gt election marc_smith twitter come mined human hijacked facebook people</t>
  </si>
  <si>
    <t>woman phone cell tormented british 'haunted'</t>
  </si>
  <si>
    <t>realdonaldtrump tonight packed shit</t>
  </si>
  <si>
    <t>pilotbeaconx whitehouse</t>
  </si>
  <si>
    <t>#privateequity #venturecapital equity nostatusquono hashtags ft top sbmccallister wsj investeuropeeu</t>
  </si>
  <si>
    <t>sure gephi connectedaction bro openalex_org connected_data thanks ifeanyidiaye</t>
  </si>
  <si>
    <t>think gephi connectedaction graphing imports try turns dataengineer23 tool openalex_org</t>
  </si>
  <si>
    <t>keyword pak yurimanga according sna ktkw ja thanks yuu koito</t>
  </si>
  <si>
    <t>mihkal traditiossa sitten viestiä taitaa toki jnkka tottakai niin laittaa</t>
  </si>
  <si>
    <t>aloitetaan vai mihkal samisyrjamaki asap syyskuuta eli rummutus</t>
  </si>
  <si>
    <t>tweets yyuomz3qar article applied safety 16 french meaningcloud algorithms articlelink</t>
  </si>
  <si>
    <t>analysis algorithms uncover twitter sna social patterns #datavisualization #snanalysis leaders</t>
  </si>
  <si>
    <t>thinkers360 towards_ai onalytica kcore_analytics guidaautonoma iotcommunity mkai_org officialindiaai automotive_news pecb</t>
  </si>
  <si>
    <t>_thinkbot towards_ai mkai_org thinkers360 onalytica guidaautonoma automotive_news pecb deeplearningai_ vivatech</t>
  </si>
  <si>
    <t>Top Words in Tweet by Salience</t>
  </si>
  <si>
    <t>#minätutkin #rasismi gephi kanssa #permafrost #hallitus marc_smith smr_foundation hsfi jnkka</t>
  </si>
  <si>
    <t>conference possible sponsors each #aejmc23 without truescope_na data big sprinklr</t>
  </si>
  <si>
    <t>#aejmc #aejmc23 aejmc isro #aejmc22 #academictwitter #prprofs data aejmc_prd aejmc_nond</t>
  </si>
  <si>
    <t>gt lt co hulivar wikipedia jackposobiecc1 jackposobiec hulivar6 hulivarri hulivar2</t>
  </si>
  <si>
    <t>hard geek way spent time life apply kabobs api much</t>
  </si>
  <si>
    <t>apg #flora #villatorlonia #apgiv #sankey ben iv fatto #botanica prove</t>
  </si>
  <si>
    <t>aejmc powerbi good looking wrap thank marc_smith dashboard using truescope_na</t>
  </si>
  <si>
    <t>#smprofs #intentdata #prprofs mimspr shoutmgb this0499154500 kimfoxwosu asa2023 matt_prince kfreberg</t>
  </si>
  <si>
    <t>#linkedin #bitcoin #btc #facebook tinopfaff _jen_net_ bitcoinnewscom therainbownavy2 linkedin #x</t>
  </si>
  <si>
    <t>gt come human election marc_smith twitter hijacked facebook intelligence internet</t>
  </si>
  <si>
    <t>traditiossa sitten viestiä taitaa toki jnkka tottakai niin laittaa kiitos</t>
  </si>
  <si>
    <t>machine road safety vehicles facts iso agi vivatech _thinkbot #machinelearning</t>
  </si>
  <si>
    <t>#generativeai word #startups more fiction officialindiaai #entrepreneurship #copyright written #intellectualproperty</t>
  </si>
  <si>
    <t>Top Word Pairs in Tweet by Count</t>
  </si>
  <si>
    <t>hanssars8,rootbrian_  rootbrian_,sars  sars,#nodexl</t>
  </si>
  <si>
    <t>verificar,bien  extractor,información  aniabello_r,preguntaron  sociales,vínculos  saber,verificar  usan,nodexl  nodexl,programa  redes,sociales  información,irónicamente  bien,extractor</t>
  </si>
  <si>
    <t>nodexl,free  social,media  map,understand  toolkit,find  empowers,explore  free,open  zvqvow2hot,#socialmediaanalysis  understand,social  explore,osint  template,empowers</t>
  </si>
  <si>
    <t>vielä,imuroimaan  imuroimaan,ilmaiseksi  ilmaiseksi,twiittejä  mihkal,nodexl  nodexl,pystyy  20,000  ja,maksimina  pystyy,vielä  000,kpl  twiittejä,ja</t>
  </si>
  <si>
    <t>top,hashtags  nodexl,smr_foundation  #rasismi,#persut  jnkka,nodexl  hsfi,top  samisyrjamaki,nodexl  hashtags,#rasismi  smr_foundation,marc_smith  nodexl,gephi  rasismi,nodexl</t>
  </si>
  <si>
    <t>#sporet,vient  permettrons,guérir  bradleywilson09,mollyyanity  #boussole,raccorder  sport,mixte  aejmc_lawp,aejmc_prd  realy,safe  mollyyanity,aejmc_lawp  guérir,l'arctique  mixte,#globall</t>
  </si>
  <si>
    <t>thank,love  sprinklr,truescope_na  conference,sponsors  appreciate,each  each,without  #aejmc23,conference  nodexl,unosmlre  truescope_na,nodexl  gracious,#aejmc23  without,successful</t>
  </si>
  <si>
    <t>top,hashtags  nodexl,aejmc  aejmc_prd,aejmc_comsher  aejmc,nodexl  report,data  insights,report  aejmc_comsher,aejmc_nond  aejmc_bamj,top  #isro,#chandrayaan3landing  academicchatter,seguracardio</t>
  </si>
  <si>
    <t>liuyuxxd,working  meaning,search  search,show  ai,search  search,text  show,x  match,meaning  semantic,ai  working,semantic  x,match</t>
  </si>
  <si>
    <t>jacomyma,nodexl  mergebcdg,jacomyma  theprojectmerge,rocketbotpro  rocketbotpro,mergebcdg  mihkal,gephi  seinecle,bendobrown  nodexl,seinecle  bendobrown,nicolasbchb  gephi,theprojectmerge  api,access</t>
  </si>
  <si>
    <t>powerful,tools  fuel,academic  meltwater,nodexl  tools,tableau  academic,journey  journey,let's  semester,research  smart,semester  excellence,together  semester,horizons</t>
  </si>
  <si>
    <t>insights,networks  nodexl,insights  using,nodexl</t>
  </si>
  <si>
    <t>fatto,#flora  #sankey,#nodexl  apg,iv  iv,#apgiv  ben,fatto  #apgiv,prove  #villatorlonia,ben  prove,#nodexl  #flora,#botanica  #botanica,#sankey</t>
  </si>
  <si>
    <t>#smprofs,#prprofs  aejmc,nodexl  truescope_na,nodexl  nodexl,powerbi  using,sprinklr  data,using  #research,#data  #aejmc23,wrap  data,looking  nodexl,#smprofs</t>
  </si>
  <si>
    <t>between,users  clusters,insufficient  each,cluster  conclusion,connection  algorithm,sentiment  users,clusters  cluster,stickiness  clauset,newman  uses,nodexl  nodexl,analysis</t>
  </si>
  <si>
    <t>nodexlacademy,nodexl  very,much  alexfenton,cristinavas  aleksejheinze,georgette_eaton  cristinavas,kozinets  thank,very  georgette_eaton,magdamraza  raulpacheco,lldesimone  nodexl,netnocon  lldesimone,thank</t>
  </si>
  <si>
    <t>top,hashtags  jeremyhl,kfreberg  asa2023,nodexl  this0499154500,spj_tweets  michaelbathurst,shoutmgb  kimfoxwosu,michaelbathurst  spj_tweets,matt_prince  mimspr,this0499154500  matt_prince,reutsmichael1  shoutmgb,mimspr</t>
  </si>
  <si>
    <t>nodexl,hanseckman  hanseckman,markbird17  optiongirl,nodexl  following,#tuesdayvibe  sunflwrgirl2,hrcurator  2cshadowfox,davidgogoblues  worth,following  hiqutipie,ginabella  #socialmedia,2cshadowfox  ginabella,sunflwrgirl2</t>
  </si>
  <si>
    <t>#linkedin,#linkedin  top,hashtags  nodexl,#seohashtag  #bitcoin,#bitcoin  freebycrypto,_jen_net_  thebtctherapist,saylor  #twitter,#socialmedia  btc_for_freedom,top  watcherguru,btcyn  btcyn,piergiorgio223</t>
  </si>
  <si>
    <t>amee,2023  #amee2023,ltbeposters  #medicaleducation,#nodexl  check,great  attend,event  net,working  event,lot  glasgow,buzzing  great,eposter  join,amee</t>
  </si>
  <si>
    <t>ginabella,hrcurator  sunflwrgirl2,michaelbathurst  hanseckman,markbird17  simplytimtv,reported  hiqutipie,ginabella  optiongirl,nodexl  nodexl,hanseckman  hrcurator,optiongirl  davidgogoblues,kitchenerblues  michaelbathurst,2cshadowfox</t>
  </si>
  <si>
    <t>ginabella,sunflwrgirl2  hanseckman,markbird17  chrismontmusic,simplytimtv  hiqutipie,ginabella  optiongirl,nodexl  nodexl,hanseckman  hrcurator,optiongirl  sunflwrgirl2,hrcurator  davidgogoblues,kitchenerblues  simplytimtv,thank</t>
  </si>
  <si>
    <t>ginabella,sunflwrgirl2  hanseckman,markbird17  hiqutipie,ginabella  optiongirl,nodexl  nodexl,hanseckman  hrcurator,optiongirl  sunflwrgirl2,hrcurator  davidgogoblues,kitchenerblues  simplytimtv,thank  michaelbathurst,2cshadowfox</t>
  </si>
  <si>
    <t>ginabella,hrcurator  very,much  hanseckman,markbird17  hiqutipie,ginabella  optiongirl,nodexl  nodexl,hanseckman  hrcurator,optiongirl  thank,very  davidgogoblues,kitchenerblues  simplytimtv,thank</t>
  </si>
  <si>
    <t>abans,coneguda  agost,xarxa  quin,agost  pena,l'api  twitter,quina  davidgraell,alexarabat  #nodexl,davidgraell  tancada,#nodexl  l'api,estigui  coneguda,twitter</t>
  </si>
  <si>
    <t>discovery,evidence  filed,motion  requested,discovery  turn,over  social,go  coming,jack  until,know  smith,claiming  know,trump  smith,filed</t>
  </si>
  <si>
    <t>nodexl,come  election,day  clusters,mined  marc_smith,nodexl  horrifically,fck  news,outlets  fckoff,people  happened,13  network,nodexl  brains,automates</t>
  </si>
  <si>
    <t>woman,tormented  cell,phone  'haunted',cell  tormented,'haunted'  british,woman</t>
  </si>
  <si>
    <t>packed,tonight  shit,packed  tonight,realdonaldtrump</t>
  </si>
  <si>
    <t>pilotbeaconx,whitehouse</t>
  </si>
  <si>
    <t>#venturecapital,#investment  #privateequity,#privateequity  medicalquack,nostatusquono  #finance,#venturecapital  #venturecapital,#finance  ttfacer,medicalquack  hashtags,#privateequity  sbmccallister,champprivate  gopoversight,investeuropeeu  top,hashtags</t>
  </si>
  <si>
    <t>bro,sure  openalex_org,gephi  connected_data,connectedaction  nodexl,openalex_org  connectedaction,thanks  gephi,connected_data  ifeanyidiaye,nodexl  thanks,bro</t>
  </si>
  <si>
    <t>matrixes,turns  graphing,tool  tool,imports  nodexl,graphing  openalex_org,gephi  think,nodexl  connected_data,connectedaction  graphs,give  turns,graphs  connectedaction,think</t>
  </si>
  <si>
    <t>mei,yagakimi  pak,ini  yuu,ktkw  thanks,nodexl  citrus,yuzu  ganjarpranowo,prabowo  atau,bagaimana  fire,thanks  json,scraper  百合漫画,lang</t>
  </si>
  <si>
    <t>mihkal,nodexl  nodexl,tottakai  päivä,niin  syntymäpäivä,joten  joten,siitä  että,päivä  kiitos,mika  ennakkoon,voi  taitaa,olla  mihkal,jnkka</t>
  </si>
  <si>
    <t>asap,vai  samisyrjamaki,mihkal  aloitetaan,asap  nodexl,eli  rummutus,aloitetaan  mihkal,nodexl  eli,rummutus  vai,syyskuuta</t>
  </si>
  <si>
    <t>safety,witter  #sentimentanalysis,machine  learning,algorithms  method,applied  article,main  main,study  algorithms,articlelink  tweets,16  english,tweets  french,tweets</t>
  </si>
  <si>
    <t>#datavisualization,#opinionleader  safety,twitter  koren,layout  opinion,leaders  knowledge,sharing  sharing,patterns  leaders,knowledge  analysis,sna  harel,koren  algorithms,harel</t>
  </si>
  <si>
    <t>onalytica,towards_ai  guidaautonoma,iotcommunity  mkai_org,kcore_analytics  towards_ai,automotive_news  thinkers360,officialindiaai  kcore_analytics,pecb  automotive_news,mkai_org  officialindiaai,onalytica  pecb,nodexl  thinkers360,onalytica</t>
  </si>
  <si>
    <t>onalytica,towards_ai  mkai_org,kcore_analytics  pecb,nodexl  deeplearningai_,_thinkbot  automotive_news,mkai_org  iotcommunity,vivatech  vivatech,thinkers360  guidaautonoma,iotcommunity  kcore_analytics,pecb  nodexl,deeplearningai_</t>
  </si>
  <si>
    <t>Top Word Pairs in Tweet by Salience</t>
  </si>
  <si>
    <t>top,hashtags  nodexl,smr_foundation  #rasismi,#persut  36,25  #minätutkin,#minätutkin  13,36  jnkka,nodexl  hsfi,top  samisyrjamaki,nodexl  hashtags,#rasismi</t>
  </si>
  <si>
    <t>nodexl,aejmc  aejmc_prd,aejmc_comsher  aejmc,nodexl  report,data  insights,report  aejmc_comsher,aejmc_nond  aejmc_bamj,top  #isro,#chandrayaan3landing  academicchatter,seguracardio  hashtags,#academictwitter</t>
  </si>
  <si>
    <t>lt,gt  hulivar6,hulivarri  blklivesmatter,jackposobiec  stillgrays65149,hulivar  jackposobiec456,jackposobiecc1  jackposobiec60,jackposobiec456  jackposobiec,jackposobiec__  jackposobiec1,stillgray  nodexl,blklivesmatter  jackposobiec__,jackposobiec60</t>
  </si>
  <si>
    <t>api,access  hard,apply  total,data  way,much  put,kabobs  nicolasbchb,total  gephi,week  powerful,hard  science,geek  life,short</t>
  </si>
  <si>
    <t>aejmc,nodexl  truescope_na,nodexl  nodexl,powerbi  using,sprinklr  data,using  #research,#data  #aejmc23,wrap  data,looking  nodexl,#smprofs  #data,#smmm2025</t>
  </si>
  <si>
    <t>jeremyhl,kfreberg  asa2023,nodexl  this0499154500,spj_tweets  michaelbathurst,shoutmgb  kimfoxwosu,michaelbathurst  spj_tweets,matt_prince  mimspr,this0499154500  matt_prince,reutsmichael1  shoutmgb,mimspr  #smprofs,nodexl</t>
  </si>
  <si>
    <t>#linkedin,#linkedin  #bitcoin,#bitcoin  freebycrypto,_jen_net_  thebtctherapist,saylor  #twitter,#socialmedia  btc_for_freedom,top  watcherguru,btcyn  btcyn,piergiorgio223  audiences,#linkedin  saylor,btc_for_freedom</t>
  </si>
  <si>
    <t>nodexl,tottakai  päivä,niin  syntymäpäivä,joten  joten,siitä  että,päivä  kiitos,mika  ennakkoon,voi  taitaa,olla  mihkal,jnkka  virallinen,syntymäpäivä</t>
  </si>
  <si>
    <t>road,vehicles  thinkers360,onalytica  kcore_analytics,nodexl  vivatech,thinkers360  iotcommunity,thinkers360  iotcommunity,vivatech  deeplearningai_,_thinkbot  nodexl,deeplearningai_  #futureai,guidaautonoma  guidaautonoma,thinkers360</t>
  </si>
  <si>
    <t>law,guidaautonoma  #unicorn,#entrepreneurship  officialindiaai,onalytica  #copyright,#intellectualproperty  #generativeai,#copyright  #ai,#generativeai  #entrepreneurship,guidaautonoma  written,excel  word,#startups  ai,law</t>
  </si>
  <si>
    <t>192, 192, 192</t>
  </si>
  <si>
    <t>205, 153, 153</t>
  </si>
  <si>
    <t>218, 113, 113</t>
  </si>
  <si>
    <t>230, 74, 74</t>
  </si>
  <si>
    <t>244, 35, 35</t>
  </si>
  <si>
    <t>Red</t>
  </si>
  <si>
    <t>G1: nodexl top hashtags #minätutkin gephi hsfi #rasismi #hallitus jnkka smr_foundation</t>
  </si>
  <si>
    <t>G2: nodexl aejmc #aejmc23 data #prprofs thank mihkal #aejmc hashtags top</t>
  </si>
  <si>
    <t>G3: nodexl #smprofs top hashtags #intentdata mimspr #prprofs shoutmgb this0499154500 kimfoxwosu</t>
  </si>
  <si>
    <t>G4: gt lt mrandyngo nodexl lindayax hulivar elonmusk xsecurity jackposobiecc1 jackposobiec</t>
  </si>
  <si>
    <t>G5: #linkedin #bitcoin audiences nodexl #seohashtag hashtags search top #btc</t>
  </si>
  <si>
    <t>G6: nodexl connectedaction connected_data gephi #privateequity openalex_org #venturecapital</t>
  </si>
  <si>
    <t>G7: thinkers360 nodexl towards_ai onalytica kcore_analytics guidaautonoma iotcommunity mkai_org automotive_news officialindiaai</t>
  </si>
  <si>
    <t>G8: hrcurator hiqutipie michaelbathurst hanseckman simplytimtv davidgogoblues 2cshadowfox nodexl optiongirl markbird17</t>
  </si>
  <si>
    <t>G9: nodexl gt election marc_smith twitter realdonaldtrump come mined human hijacked</t>
  </si>
  <si>
    <t>G11: nodexl #nodexl analysis using networks safety #sentimentanalysis tweets social insights</t>
  </si>
  <si>
    <t>G12: keyword yurimanga nodexl pak</t>
  </si>
  <si>
    <t>G14: #amee2023</t>
  </si>
  <si>
    <t>Edge Weight▓1▓6▓0▓True▓Silver▓Red▓▓Edge Weight▓1▓6▓0▓3▓10▓False▓Edge Weight▓1▓6▓0▓32▓10▓False▓▓0▓0▓0▓True▓Black▓Black▓▓In-Degree▓0▓2▓0▓70▓1000▓False▓▓0▓0▓0▓0▓0▓False▓▓0▓0▓0▓0▓0▓False▓▓0▓0▓0▓0▓0▓False</t>
  </si>
  <si>
    <t>GraphSource░TwitterSearch3▓GraphTerm░NodeXL▓ImportDescription░The graph represents a network of 319 Twitter users whose recent tweets contained "NodeXL", or who were replied to, mentioned, retweeted or quoted in those tweets, taken from a data set limited to a maximum of 50,000 tweets, tweeted between 8/1/2023 12:00:00 AM and 8/31/2023 11:59:59 PM.  The network was obtained from Twitter on Monday, 11 September 2023 at 11:34 UTC.
The tweets in the network were tweeted over the 1738-day, 21-hour, 29-minute period from Friday, 07 December 2018 at 16:04 UTC to Monday, 11 September 2023 at 13:34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above.▓ImportSuggestedTitle░NodeXL Twitter NodeXL SNA Map and Report for Monday, 11 September 2023 at 11:34 UTC▓ImportSuggestedFileNameNoExtension░2023-09-11 11-34-16 NodeXL Twitter Search NodeXL▓LayoutAlgorithm░The graph was laid out using the Harel-Koren Fast Multiscale layout algorithm.▓GraphDirectedness░The graph is directed.▓GroupingDescription░The graph's vertices were grouped by cluster using the Clauset-Newman-Moore cluster algorithm.</t>
  </si>
  <si>
    <t>The graph was laid out using the Harel-Koren Fast Multiscale layout algorithm.</t>
  </si>
  <si>
    <t>https://nodexlgraphgallery.org/Pages/Graph.aspx?graphID=292401</t>
  </si>
  <si>
    <t>https://nodexlgraphgallery.org/Images/Image.ashx?graphID=292401&amp;type=f</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</si>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</sst>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8"/>
      <tableStyleElement type="headerRow" dxfId="467"/>
    </tableStyle>
    <tableStyle name="NodeXL Table" pivot="0" count="1">
      <tableStyleElement type="headerRow" dxfId="4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146332"/>
        <c:axId val="33990397"/>
      </c:barChart>
      <c:catAx>
        <c:axId val="261463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990397"/>
        <c:crosses val="autoZero"/>
        <c:auto val="1"/>
        <c:lblOffset val="100"/>
        <c:noMultiLvlLbl val="0"/>
      </c:catAx>
      <c:valAx>
        <c:axId val="33990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46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478118"/>
        <c:axId val="1758743"/>
      </c:barChart>
      <c:catAx>
        <c:axId val="374781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58743"/>
        <c:crosses val="autoZero"/>
        <c:auto val="1"/>
        <c:lblOffset val="100"/>
        <c:noMultiLvlLbl val="0"/>
      </c:catAx>
      <c:valAx>
        <c:axId val="1758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78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828688"/>
        <c:axId val="8240465"/>
      </c:barChart>
      <c:catAx>
        <c:axId val="158286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240465"/>
        <c:crosses val="autoZero"/>
        <c:auto val="1"/>
        <c:lblOffset val="100"/>
        <c:noMultiLvlLbl val="0"/>
      </c:catAx>
      <c:valAx>
        <c:axId val="8240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28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055322"/>
        <c:axId val="63497899"/>
      </c:barChart>
      <c:catAx>
        <c:axId val="70553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497899"/>
        <c:crosses val="autoZero"/>
        <c:auto val="1"/>
        <c:lblOffset val="100"/>
        <c:noMultiLvlLbl val="0"/>
      </c:catAx>
      <c:valAx>
        <c:axId val="63497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55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610180"/>
        <c:axId val="43056165"/>
      </c:barChart>
      <c:catAx>
        <c:axId val="346101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056165"/>
        <c:crosses val="autoZero"/>
        <c:auto val="1"/>
        <c:lblOffset val="100"/>
        <c:noMultiLvlLbl val="0"/>
      </c:catAx>
      <c:valAx>
        <c:axId val="43056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10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961166"/>
        <c:axId val="64997311"/>
      </c:barChart>
      <c:catAx>
        <c:axId val="519611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997311"/>
        <c:crosses val="autoZero"/>
        <c:auto val="1"/>
        <c:lblOffset val="100"/>
        <c:noMultiLvlLbl val="0"/>
      </c:catAx>
      <c:valAx>
        <c:axId val="649973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61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104888"/>
        <c:axId val="30290809"/>
      </c:barChart>
      <c:catAx>
        <c:axId val="481048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290809"/>
        <c:crosses val="autoZero"/>
        <c:auto val="1"/>
        <c:lblOffset val="100"/>
        <c:noMultiLvlLbl val="0"/>
      </c:catAx>
      <c:valAx>
        <c:axId val="302908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04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81826"/>
        <c:axId val="37636435"/>
      </c:barChart>
      <c:catAx>
        <c:axId val="41818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636435"/>
        <c:crosses val="autoZero"/>
        <c:auto val="1"/>
        <c:lblOffset val="100"/>
        <c:noMultiLvlLbl val="0"/>
      </c:catAx>
      <c:valAx>
        <c:axId val="37636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1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83596"/>
        <c:axId val="28652365"/>
      </c:barChart>
      <c:catAx>
        <c:axId val="3183596"/>
        <c:scaling>
          <c:orientation val="minMax"/>
        </c:scaling>
        <c:axPos val="b"/>
        <c:delete val="1"/>
        <c:majorTickMark val="out"/>
        <c:minorTickMark val="none"/>
        <c:tickLblPos val="none"/>
        <c:crossAx val="28652365"/>
        <c:crosses val="autoZero"/>
        <c:auto val="1"/>
        <c:lblOffset val="100"/>
        <c:noMultiLvlLbl val="0"/>
      </c:catAx>
      <c:valAx>
        <c:axId val="28652365"/>
        <c:scaling>
          <c:orientation val="minMax"/>
        </c:scaling>
        <c:axPos val="l"/>
        <c:delete val="1"/>
        <c:majorTickMark val="out"/>
        <c:minorTickMark val="none"/>
        <c:tickLblPos val="none"/>
        <c:crossAx val="31835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808" totalsRowShown="0" headerRowDxfId="465" dataDxfId="429">
  <autoFilter ref="A2:BU808"/>
  <tableColumns count="73">
    <tableColumn id="1" name="Vertex 1" dataDxfId="414"/>
    <tableColumn id="2" name="Vertex 2" dataDxfId="412"/>
    <tableColumn id="3" name="Color" dataDxfId="413"/>
    <tableColumn id="4" name="Width" dataDxfId="438"/>
    <tableColumn id="11" name="Style" dataDxfId="437"/>
    <tableColumn id="5" name="Opacity" dataDxfId="436"/>
    <tableColumn id="6" name="Visibility" dataDxfId="435"/>
    <tableColumn id="10" name="Label" dataDxfId="434"/>
    <tableColumn id="12" name="Label Text Color" dataDxfId="433"/>
    <tableColumn id="13" name="Label Font Size" dataDxfId="432"/>
    <tableColumn id="14" name="Reciprocated?" dataDxfId="296"/>
    <tableColumn id="7" name="ID" dataDxfId="431"/>
    <tableColumn id="9" name="Dynamic Filter" dataDxfId="430"/>
    <tableColumn id="8" name="Add Your Own Columns Here" dataDxfId="411"/>
    <tableColumn id="15" name="Relationship" dataDxfId="410"/>
    <tableColumn id="16" name="Relationship Date (UTC)" dataDxfId="409"/>
    <tableColumn id="17" name="Tweet" dataDxfId="408"/>
    <tableColumn id="18" name="Retweet Count" dataDxfId="407"/>
    <tableColumn id="19" name="Favorite Count" dataDxfId="406"/>
    <tableColumn id="20" name="Reply Count" dataDxfId="405"/>
    <tableColumn id="21" name="Quote Count" dataDxfId="404"/>
    <tableColumn id="22" name="Impression Count" dataDxfId="403"/>
    <tableColumn id="23" name="Hashtags in Tweet" dataDxfId="402"/>
    <tableColumn id="24" name="URLs in Tweet" dataDxfId="401"/>
    <tableColumn id="25" name="Domains in Tweet" dataDxfId="400"/>
    <tableColumn id="26" name="Mentions in Tweet" dataDxfId="399"/>
    <tableColumn id="27" name="Media in Tweet" dataDxfId="398"/>
    <tableColumn id="28" name="Media Type" dataDxfId="397"/>
    <tableColumn id="29" name="Source" dataDxfId="396"/>
    <tableColumn id="30" name="Language" dataDxfId="395"/>
    <tableColumn id="31" name="Twitter Page for Tweet" dataDxfId="394"/>
    <tableColumn id="32" name="Tweet Date (UTC)" dataDxfId="393"/>
    <tableColumn id="33" name="Date" dataDxfId="392"/>
    <tableColumn id="34" name="Time" dataDxfId="391"/>
    <tableColumn id="35" name="Possibly Sensitive" dataDxfId="390"/>
    <tableColumn id="36" name="Place Bounding Box" dataDxfId="389"/>
    <tableColumn id="37" name="Place Country" dataDxfId="388"/>
    <tableColumn id="38" name="Place Country Code" dataDxfId="387"/>
    <tableColumn id="39" name="Place Full Name" dataDxfId="386"/>
    <tableColumn id="40" name="Place ID" dataDxfId="385"/>
    <tableColumn id="41" name="Place Name" dataDxfId="384"/>
    <tableColumn id="42" name="Place Type" dataDxfId="383"/>
    <tableColumn id="43" name="Media Key" dataDxfId="382"/>
    <tableColumn id="44" name="Media Duration (ms)" dataDxfId="381"/>
    <tableColumn id="45" name="Media Height" dataDxfId="380"/>
    <tableColumn id="46" name="Media Width" dataDxfId="379"/>
    <tableColumn id="47" name="Media View Count" dataDxfId="378"/>
    <tableColumn id="48" name="Tweet Image File" dataDxfId="377"/>
    <tableColumn id="49" name="Imported ID" dataDxfId="376"/>
    <tableColumn id="50" name="Conversation ID" dataDxfId="375"/>
    <tableColumn id="51" name="In Reply To User ID" dataDxfId="374"/>
    <tableColumn id="52" name="In Reply To Tweet ID" dataDxfId="373"/>
    <tableColumn id="53" name="Quoted Status ID" dataDxfId="372"/>
    <tableColumn id="54" name="Retweet ID" dataDxfId="371"/>
    <tableColumn id="55" name="Unified Twitter ID" dataDxfId="370"/>
    <tableColumn id="56" name="Author ID" dataDxfId="369"/>
    <tableColumn id="57" name="Poll ID" dataDxfId="368"/>
    <tableColumn id="58" name="Poll Options" dataDxfId="367"/>
    <tableColumn id="59" name="Poll Duration" dataDxfId="366"/>
    <tableColumn id="60" name="Poll End Date" dataDxfId="365"/>
    <tableColumn id="61" name="Poll Voting Status" dataDxfId="364"/>
    <tableColumn id="62" name="Edge Weight"/>
    <tableColumn id="63" name="Vertex 1 Group" dataDxfId="311">
      <calculatedColumnFormula>REPLACE(INDEX(GroupVertices[Group], MATCH(Edges[[#This Row],[Vertex 1]],GroupVertices[Vertex],0)),1,1,"")</calculatedColumnFormula>
    </tableColumn>
    <tableColumn id="64" name="Vertex 2 Group" dataDxfId="272">
      <calculatedColumnFormula>REPLACE(INDEX(GroupVertices[Group], MATCH(Edges[[#This Row],[Vertex 2]],GroupVertices[Vertex],0)),1,1,"")</calculatedColumnFormula>
    </tableColumn>
    <tableColumn id="65" name="Sentiment List #1: List1 Word Count" dataDxfId="271"/>
    <tableColumn id="66" name="Sentiment List #1: List1 Word Percentage (%)" dataDxfId="270"/>
    <tableColumn id="67" name="Sentiment List #2: List2 Word Count" dataDxfId="269"/>
    <tableColumn id="68" name="Sentiment List #2: List2 Word Percentage (%)" dataDxfId="268"/>
    <tableColumn id="69" name="Sentiment List #3: List3 Word Count" dataDxfId="267"/>
    <tableColumn id="70" name="Sentiment List #3: List3 Word Percentage (%)" dataDxfId="266"/>
    <tableColumn id="71" name="Non-categorized Word Count" dataDxfId="265"/>
    <tableColumn id="72" name="Non-categorized Word Percentage (%)" dataDxfId="264"/>
    <tableColumn id="73"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0" totalsRowShown="0" headerRowDxfId="295" dataDxfId="294">
  <autoFilter ref="A1:G550"/>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1" totalsRowShown="0" headerRowDxfId="286" dataDxfId="285">
  <autoFilter ref="A1:L271"/>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27" totalsRowShown="0" headerRowDxfId="244" dataDxfId="243">
  <autoFilter ref="A1:C1927"/>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39" dataDxfId="238">
  <autoFilter ref="A1:B7312"/>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235" dataDxfId="234">
  <autoFilter ref="A2:C37"/>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21" totalsRowShown="0" headerRowDxfId="464" dataDxfId="415">
  <autoFilter ref="A2:CI321"/>
  <tableColumns count="87">
    <tableColumn id="1" name="Vertex" dataDxfId="428"/>
    <tableColumn id="2" name="Color" dataDxfId="427"/>
    <tableColumn id="5" name="Shape" dataDxfId="426"/>
    <tableColumn id="6" name="Size" dataDxfId="425"/>
    <tableColumn id="4" name="Opacity" dataDxfId="327"/>
    <tableColumn id="7" name="Image File" dataDxfId="325"/>
    <tableColumn id="3" name="Visibility" dataDxfId="326"/>
    <tableColumn id="10" name="Label" dataDxfId="424"/>
    <tableColumn id="16" name="Label Fill Color" dataDxfId="423"/>
    <tableColumn id="9" name="Label Position" dataDxfId="322"/>
    <tableColumn id="8" name="Tooltip" dataDxfId="320"/>
    <tableColumn id="18" name="Layout Order" dataDxfId="321"/>
    <tableColumn id="13" name="X" dataDxfId="422"/>
    <tableColumn id="14" name="Y" dataDxfId="421"/>
    <tableColumn id="12" name="Locked?" dataDxfId="420"/>
    <tableColumn id="19" name="Polar R" dataDxfId="419"/>
    <tableColumn id="20" name="Polar Angle" dataDxfId="418"/>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417"/>
    <tableColumn id="28" name="Dynamic Filter" dataDxfId="416"/>
    <tableColumn id="17" name="Add Your Own Columns Here" dataDxfId="363"/>
    <tableColumn id="30" name="Name" dataDxfId="362"/>
    <tableColumn id="31" name="User ID" dataDxfId="361"/>
    <tableColumn id="32" name="Followers" dataDxfId="360"/>
    <tableColumn id="33" name="Followed" dataDxfId="359"/>
    <tableColumn id="34" name="Tweets" dataDxfId="358"/>
    <tableColumn id="35" name="Listed Count" dataDxfId="357"/>
    <tableColumn id="36" name="Favourites Count" dataDxfId="356"/>
    <tableColumn id="37" name="Media Count" dataDxfId="355"/>
    <tableColumn id="38" name="Verified" dataDxfId="354"/>
    <tableColumn id="39" name="Joined Twitter Date (UTC)" dataDxfId="353"/>
    <tableColumn id="40" name="Location" dataDxfId="352"/>
    <tableColumn id="41" name="Description" dataDxfId="351"/>
    <tableColumn id="42" name="URLs (Details)" dataDxfId="350"/>
    <tableColumn id="43" name="Expanded URLs (Details)" dataDxfId="349"/>
    <tableColumn id="44" name="Display URLs (Details)" dataDxfId="348"/>
    <tableColumn id="45" name="Description URLs (Details)" dataDxfId="347"/>
    <tableColumn id="46" name="Description Expanded URLs (Details)" dataDxfId="346"/>
    <tableColumn id="47" name="Description Display URLS (Details)" dataDxfId="345"/>
    <tableColumn id="48" name="Pinned Tweet ID" dataDxfId="344"/>
    <tableColumn id="49" name="URL" dataDxfId="343"/>
    <tableColumn id="50" name="Is Blue Verified" dataDxfId="342"/>
    <tableColumn id="51" name="You Are Followed By" dataDxfId="341"/>
    <tableColumn id="52" name="You Are Following" dataDxfId="340"/>
    <tableColumn id="53" name="Can DM" dataDxfId="339"/>
    <tableColumn id="54" name="Can Media Tag" dataDxfId="338"/>
    <tableColumn id="55" name="Default Profile" dataDxfId="337"/>
    <tableColumn id="56" name="Default Profile Image" dataDxfId="336"/>
    <tableColumn id="57" name="Has Custom Timelines" dataDxfId="335"/>
    <tableColumn id="58" name="Is Translator" dataDxfId="334"/>
    <tableColumn id="59" name="Possibly Sensitive" dataDxfId="333"/>
    <tableColumn id="60" name="Profile Banner URL" dataDxfId="332"/>
    <tableColumn id="61" name="Profile Interstitial Type" dataDxfId="331"/>
    <tableColumn id="62" name="Translator Type" dataDxfId="330"/>
    <tableColumn id="63" name="Want Retweets" dataDxfId="329"/>
    <tableColumn id="64" name="Withheld" dataDxfId="328"/>
    <tableColumn id="65" name="Tweeted Search Term?" dataDxfId="324"/>
    <tableColumn id="66" name="Custom Menu Item Text" dataDxfId="323"/>
    <tableColumn id="67" name="Custom Menu Item Action" dataDxfId="312"/>
    <tableColumn id="68" name="Vertex Group" dataDxfId="262">
      <calculatedColumnFormula>REPLACE(INDEX(GroupVertices[Group], MATCH(Vertices[[#This Row],[Vertex]],GroupVertices[Vertex],0)),1,1,"")</calculatedColumnFormula>
    </tableColumn>
    <tableColumn id="69" name="Sentiment List #1: List1 Word Count" dataDxfId="261"/>
    <tableColumn id="70" name="Sentiment List #1: List1 Word Percentage (%)" dataDxfId="260"/>
    <tableColumn id="71" name="Sentiment List #2: List2 Word Count" dataDxfId="259"/>
    <tableColumn id="72" name="Sentiment List #2: List2 Word Percentage (%)" dataDxfId="258"/>
    <tableColumn id="73" name="Sentiment List #3: List3 Word Count" dataDxfId="257"/>
    <tableColumn id="74" name="Sentiment List #3: List3 Word Percentage (%)" dataDxfId="256"/>
    <tableColumn id="75" name="Non-categorized Word Count" dataDxfId="255"/>
    <tableColumn id="76" name="Non-categorized Word Percentage (%)" dataDxfId="254"/>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63">
  <autoFilter ref="A2:AO17"/>
  <tableColumns count="41">
    <tableColumn id="1" name="Group" dataDxfId="319"/>
    <tableColumn id="2" name="Vertex Color" dataDxfId="318"/>
    <tableColumn id="3" name="Vertex Shape" dataDxfId="316"/>
    <tableColumn id="22" name="Visibility" dataDxfId="317"/>
    <tableColumn id="4" name="Collapsed?"/>
    <tableColumn id="18" name="Label" dataDxfId="462"/>
    <tableColumn id="20" name="Collapsed X"/>
    <tableColumn id="21" name="Collapsed Y"/>
    <tableColumn id="6" name="ID" dataDxfId="461"/>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0" totalsRowShown="0" headerRowDxfId="460" dataDxfId="459">
  <autoFilter ref="A1:C320"/>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8"/>
    <tableColumn id="2" name="Degree Frequency" dataDxfId="457">
      <calculatedColumnFormula>COUNTIF(Vertices[Degree], "&gt;= " &amp; D2) - COUNTIF(Vertices[Degree], "&gt;=" &amp; D3)</calculatedColumnFormula>
    </tableColumn>
    <tableColumn id="3" name="In-Degree Bin" dataDxfId="456"/>
    <tableColumn id="4" name="In-Degree Frequency" dataDxfId="455">
      <calculatedColumnFormula>COUNTIF(Vertices[In-Degree], "&gt;= " &amp; F2) - COUNTIF(Vertices[In-Degree], "&gt;=" &amp; F3)</calculatedColumnFormula>
    </tableColumn>
    <tableColumn id="5" name="Out-Degree Bin" dataDxfId="454"/>
    <tableColumn id="6" name="Out-Degree Frequency" dataDxfId="453">
      <calculatedColumnFormula>COUNTIF(Vertices[Out-Degree], "&gt;= " &amp; H2) - COUNTIF(Vertices[Out-Degree], "&gt;=" &amp; H3)</calculatedColumnFormula>
    </tableColumn>
    <tableColumn id="7" name="Betweenness Centrality Bin" dataDxfId="452"/>
    <tableColumn id="8" name="Betweenness Centrality Frequency" dataDxfId="451">
      <calculatedColumnFormula>COUNTIF(Vertices[Betweenness Centrality], "&gt;= " &amp; J2) - COUNTIF(Vertices[Betweenness Centrality], "&gt;=" &amp; J3)</calculatedColumnFormula>
    </tableColumn>
    <tableColumn id="9" name="Closeness Centrality Bin" dataDxfId="450"/>
    <tableColumn id="10" name="Closeness Centrality Frequency" dataDxfId="449">
      <calculatedColumnFormula>COUNTIF(Vertices[Closeness Centrality], "&gt;= " &amp; L2) - COUNTIF(Vertices[Closeness Centrality], "&gt;=" &amp; L3)</calculatedColumnFormula>
    </tableColumn>
    <tableColumn id="11" name="Eigenvector Centrality Bin" dataDxfId="448"/>
    <tableColumn id="12" name="Eigenvector Centrality Frequency" dataDxfId="447">
      <calculatedColumnFormula>COUNTIF(Vertices[Eigenvector Centrality], "&gt;= " &amp; N2) - COUNTIF(Vertices[Eigenvector Centrality], "&gt;=" &amp; N3)</calculatedColumnFormula>
    </tableColumn>
    <tableColumn id="18" name="PageRank Bin" dataDxfId="446"/>
    <tableColumn id="17" name="PageRank Frequency" dataDxfId="445">
      <calculatedColumnFormula>COUNTIF(Vertices[Eigenvector Centrality], "&gt;= " &amp; P2) - COUNTIF(Vertices[Eigenvector Centrality], "&gt;=" &amp; P3)</calculatedColumnFormula>
    </tableColumn>
    <tableColumn id="13" name="Clustering Coefficient Bin" dataDxfId="444"/>
    <tableColumn id="14" name="Clustering Coefficient Frequency" dataDxfId="443">
      <calculatedColumnFormula>COUNTIF(Vertices[Clustering Coefficient], "&gt;= " &amp; R2) - COUNTIF(Vertices[Clustering Coefficient], "&gt;=" &amp; R3)</calculatedColumnFormula>
    </tableColumn>
    <tableColumn id="15" name="Dynamic Filter Bin" dataDxfId="442"/>
    <tableColumn id="16" name="Dynamic Filter Frequency" dataDxfId="4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4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it.ly/3Z2OFCA" TargetMode="External" /><Relationship Id="rId2" Type="http://schemas.openxmlformats.org/officeDocument/2006/relationships/hyperlink" Target="https://drive.google.com/file/d/1V8VDKgqRE3Ait1LOwdKrF73c0Y2BEvse/view?usp=sharing" TargetMode="External" /><Relationship Id="rId3" Type="http://schemas.openxmlformats.org/officeDocument/2006/relationships/hyperlink" Target="https://app.powerbi.com/view?r=eyJrIjoiOTI4ZjIyMTAtZTViNi00YTU4LTk3MGMtZmNlMzYxMGU3MzRlIiwidCI6IjI5ZDRjMTFjLTA1N2MtNDg3Zi04ZmRhLWU4NmQ1OTkzOWU2NCIsImMiOjZ9" TargetMode="External" /><Relationship Id="rId4" Type="http://schemas.openxmlformats.org/officeDocument/2006/relationships/hyperlink" Target="http://bit.ly/GetNodeXL" TargetMode="External" /><Relationship Id="rId5" Type="http://schemas.openxmlformats.org/officeDocument/2006/relationships/hyperlink" Target="https://www.linkedin.com/posts/pinakilaskar_ailaw-generativeai-intellectualproperty-activity-7099956740313497600-Rrrw" TargetMode="External" /><Relationship Id="rId6" Type="http://schemas.openxmlformats.org/officeDocument/2006/relationships/hyperlink" Target="https://www.linkedin.com/posts/pinakilaskar_aicommandments-aiforbusiness-aicompanies-activity-7100686984049831936-9XVM" TargetMode="External" /><Relationship Id="rId7" Type="http://schemas.openxmlformats.org/officeDocument/2006/relationships/hyperlink" Target="https://www.linkedin.com/posts/pinakilaskar_ai-rationalsystem-aisystem-activity-7098499497281896448-n3mE" TargetMode="External" /><Relationship Id="rId8" Type="http://schemas.openxmlformats.org/officeDocument/2006/relationships/hyperlink" Target="https://www.linkedin.com/posts/pinakilaskar_confidentialcomputing-generativeai-dataleakage-activity-7102874255679270912-H5ac" TargetMode="External" /><Relationship Id="rId9" Type="http://schemas.openxmlformats.org/officeDocument/2006/relationships/hyperlink" Target="https://www.linkedin.com/posts/pinakilaskar_aisingularity-machineconsciousness-generalai-activity-7102149386310160384-Rm41" TargetMode="External" /><Relationship Id="rId10" Type="http://schemas.openxmlformats.org/officeDocument/2006/relationships/hyperlink" Target="https://www.linkedin.com/posts/pinakilaskar_ai-ailiteracy-languageprocessing-activity-7098883303188918272-v6fM" TargetMode="External" /><Relationship Id="rId11" Type="http://schemas.openxmlformats.org/officeDocument/2006/relationships/hyperlink" Target="https://drive.google.com/file/d/1V8VDKgqRE3Ait1LOwdKrF73c0Y2BEvse/view?usp=sharing" TargetMode="External" /><Relationship Id="rId12" Type="http://schemas.openxmlformats.org/officeDocument/2006/relationships/hyperlink" Target="https://bit.ly/3E8a4Ax" TargetMode="External" /><Relationship Id="rId13" Type="http://schemas.openxmlformats.org/officeDocument/2006/relationships/hyperlink" Target="https://bit.ly/47Lu0XB" TargetMode="External" /><Relationship Id="rId14" Type="http://schemas.openxmlformats.org/officeDocument/2006/relationships/hyperlink" Target="https://bit.ly/3YIJPKw" TargetMode="External" /><Relationship Id="rId15" Type="http://schemas.openxmlformats.org/officeDocument/2006/relationships/hyperlink" Target="https://bit.ly/44lcKFG" TargetMode="External" /><Relationship Id="rId16" Type="http://schemas.openxmlformats.org/officeDocument/2006/relationships/hyperlink" Target="https://bit.ly/3qQa1q2" TargetMode="External" /><Relationship Id="rId17" Type="http://schemas.openxmlformats.org/officeDocument/2006/relationships/hyperlink" Target="https://bit.ly/457scqc" TargetMode="External" /><Relationship Id="rId18" Type="http://schemas.openxmlformats.org/officeDocument/2006/relationships/hyperlink" Target="https://bit.ly/3PdAVBo" TargetMode="External" /><Relationship Id="rId19" Type="http://schemas.openxmlformats.org/officeDocument/2006/relationships/hyperlink" Target="https://bit.ly/3OSFbpT" TargetMode="External" /><Relationship Id="rId20" Type="http://schemas.openxmlformats.org/officeDocument/2006/relationships/hyperlink" Target="https://bit.ly/3QQBRgg" TargetMode="External" /><Relationship Id="rId21" Type="http://schemas.openxmlformats.org/officeDocument/2006/relationships/hyperlink" Target="https://app.powerbi.com/view?r=eyJrIjoiOTI4ZjIyMTAtZTViNi00YTU4LTk3MGMtZmNlMzYxMGU3MzRlIiwidCI6IjI5ZDRjMTFjLTA1N2MtNDg3Zi04ZmRhLWU4NmQ1OTkzOWU2NCIsImMiOjZ9" TargetMode="External" /><Relationship Id="rId22" Type="http://schemas.openxmlformats.org/officeDocument/2006/relationships/hyperlink" Target="https://bit.ly/44sbaBT" TargetMode="External" /><Relationship Id="rId23" Type="http://schemas.openxmlformats.org/officeDocument/2006/relationships/hyperlink" Target="https://bit.ly/3OxATCU" TargetMode="External" /><Relationship Id="rId24" Type="http://schemas.openxmlformats.org/officeDocument/2006/relationships/hyperlink" Target="https://bit.ly/3QTnFDh" TargetMode="External" /><Relationship Id="rId25" Type="http://schemas.openxmlformats.org/officeDocument/2006/relationships/hyperlink" Target="https://bit.ly/3QzmnNR" TargetMode="External" /><Relationship Id="rId26" Type="http://schemas.openxmlformats.org/officeDocument/2006/relationships/hyperlink" Target="https://community.aejmc.org/conference/opportunities/2023-sponsors" TargetMode="External" /><Relationship Id="rId27" Type="http://schemas.openxmlformats.org/officeDocument/2006/relationships/hyperlink" Target="https://twitter.com/NassimRETIERE/status/1582748701843329026?s=20" TargetMode="External" /><Relationship Id="rId28" Type="http://schemas.openxmlformats.org/officeDocument/2006/relationships/hyperlink" Target="https://bit.ly/3Z2OFCA" TargetMode="External" /><Relationship Id="rId29" Type="http://schemas.openxmlformats.org/officeDocument/2006/relationships/hyperlink" Target="https://app.powerbi.com/view?r=eyJrIjoiYWY1ODIyMTQtMmZkOC00N2ExLWE1MWItZTY0YTc1ODdjMmRkIiwidCI6IjI5ZDRjMTFjLTA1N2MtNDg3Zi04ZmRhLWU4NmQ1OTkzOWU2NCIsImMiOjZ9" TargetMode="External" /><Relationship Id="rId30" Type="http://schemas.openxmlformats.org/officeDocument/2006/relationships/hyperlink" Target="https://bit.ly/45wr6UQ" TargetMode="External" /><Relationship Id="rId31" Type="http://schemas.openxmlformats.org/officeDocument/2006/relationships/hyperlink" Target="https://bit.ly/3QS5HRz" TargetMode="External" /><Relationship Id="rId32" Type="http://schemas.openxmlformats.org/officeDocument/2006/relationships/hyperlink" Target="https://bit.ly/3L4QsRH" TargetMode="External" /><Relationship Id="rId33" Type="http://schemas.openxmlformats.org/officeDocument/2006/relationships/hyperlink" Target="https://www.google.com/search?q=QAnon&amp;oq=QAnon" TargetMode="External" /><Relationship Id="rId34" Type="http://schemas.openxmlformats.org/officeDocument/2006/relationships/hyperlink" Target="http://g.co/kgs/R5Ao5j" TargetMode="External" /><Relationship Id="rId35" Type="http://schemas.openxmlformats.org/officeDocument/2006/relationships/hyperlink" Target="http://plus.google.com/+ChristopherLeeHarper/posts/NiQGXc5DubT" TargetMode="External" /><Relationship Id="rId36" Type="http://schemas.openxmlformats.org/officeDocument/2006/relationships/hyperlink" Target="http://g.co/kgs/fwsk6y" TargetMode="External" /><Relationship Id="rId37" Type="http://schemas.openxmlformats.org/officeDocument/2006/relationships/hyperlink" Target="http://g.co/kgs/uQpGE9" TargetMode="External" /><Relationship Id="rId38" Type="http://schemas.openxmlformats.org/officeDocument/2006/relationships/hyperlink" Target="http://plus.google.com/+ChristopherLeeHarper/posts/1M8kKg7AHMf" TargetMode="External" /><Relationship Id="rId39" Type="http://schemas.openxmlformats.org/officeDocument/2006/relationships/hyperlink" Target="http://plus.google.com/+ChristopherLeeHarper/posts/ZHjAT5UXHMh" TargetMode="External" /><Relationship Id="rId40" Type="http://schemas.openxmlformats.org/officeDocument/2006/relationships/hyperlink" Target="https://g.co/kgs/DaHyUP" TargetMode="External" /><Relationship Id="rId41" Type="http://schemas.openxmlformats.org/officeDocument/2006/relationships/hyperlink" Target="http://wikipedia.org/wiki/Jack_Posobiec" TargetMode="External" /><Relationship Id="rId42" Type="http://schemas.openxmlformats.org/officeDocument/2006/relationships/hyperlink" Target="https://whois.com/whois/truthsocial.com" TargetMode="External" /><Relationship Id="rId43" Type="http://schemas.openxmlformats.org/officeDocument/2006/relationships/hyperlink" Target="https://bit.ly/3qRfJrM" TargetMode="External" /><Relationship Id="rId44" Type="http://schemas.openxmlformats.org/officeDocument/2006/relationships/hyperlink" Target="https://bit.ly/3Pi0L7D" TargetMode="External" /><Relationship Id="rId45" Type="http://schemas.openxmlformats.org/officeDocument/2006/relationships/hyperlink" Target="https://bit.ly/3OIsKeT" TargetMode="External" /><Relationship Id="rId46" Type="http://schemas.openxmlformats.org/officeDocument/2006/relationships/hyperlink" Target="https://www.linkedin.com/posts/pinakilaskar_ailaw-generativeai-intellectualproperty-activity-7099956740313497600-Rrrw" TargetMode="External" /><Relationship Id="rId47" Type="http://schemas.openxmlformats.org/officeDocument/2006/relationships/hyperlink" Target="https://www.linkedin.com/posts/pinakilaskar_aichips-edgeai-machinelearning-activity-7099246539562192897-nYgL" TargetMode="External" /><Relationship Id="rId48" Type="http://schemas.openxmlformats.org/officeDocument/2006/relationships/hyperlink" Target="https://www.linkedin.com/pulse/what-you-need-machine-intelligence-metaphysics-pinaki-laskar" TargetMode="External" /><Relationship Id="rId49" Type="http://schemas.openxmlformats.org/officeDocument/2006/relationships/hyperlink" Target="https://www.linkedin.com/posts/pinakilaskar_ai-ailiteracy-languageprocessing-activity-7098883303188918272-v6fM" TargetMode="External" /><Relationship Id="rId50" Type="http://schemas.openxmlformats.org/officeDocument/2006/relationships/hyperlink" Target="https://www.linkedin.com/posts/pinakilaskar_aisingularity-machineconsciousness-generalai-activity-7102149386310160384-Rm41" TargetMode="External" /><Relationship Id="rId51" Type="http://schemas.openxmlformats.org/officeDocument/2006/relationships/hyperlink" Target="https://www.linkedin.com/posts/pinakilaskar_confidentialcomputing-generativeai-dataleakage-activity-7102874255679270912-H5ac" TargetMode="External" /><Relationship Id="rId52" Type="http://schemas.openxmlformats.org/officeDocument/2006/relationships/hyperlink" Target="https://www.linkedin.com/posts/pinakilaskar_ai-rationalsystem-aisystem-activity-7098499497281896448-n3mE" TargetMode="External" /><Relationship Id="rId53" Type="http://schemas.openxmlformats.org/officeDocument/2006/relationships/hyperlink" Target="https://www.linkedin.com/posts/pinakilaskar_aicommandments-aiforbusiness-aicompanies-activity-7100686984049831936-9XVM" TargetMode="External" /><Relationship Id="rId54" Type="http://schemas.openxmlformats.org/officeDocument/2006/relationships/hyperlink" Target="http://nodexlgraphgallery.org/" TargetMode="External" /><Relationship Id="rId55" Type="http://schemas.openxmlformats.org/officeDocument/2006/relationships/hyperlink" Target="http://nodexgraphgallery.org/" TargetMode="External" /><Relationship Id="rId56" Type="http://schemas.openxmlformats.org/officeDocument/2006/relationships/hyperlink" Target="https://www.coasttocoastam.com/article/british-woman-tormented-by-haunted-cell-phone/" TargetMode="External" /><Relationship Id="rId57" Type="http://schemas.openxmlformats.org/officeDocument/2006/relationships/table" Target="../tables/table18.xml" /><Relationship Id="rId58" Type="http://schemas.openxmlformats.org/officeDocument/2006/relationships/table" Target="../tables/table19.xml" /><Relationship Id="rId59" Type="http://schemas.openxmlformats.org/officeDocument/2006/relationships/table" Target="../tables/table20.xml" /><Relationship Id="rId60" Type="http://schemas.openxmlformats.org/officeDocument/2006/relationships/table" Target="../tables/table21.xml" /><Relationship Id="rId61" Type="http://schemas.openxmlformats.org/officeDocument/2006/relationships/table" Target="../tables/table22.xml" /><Relationship Id="rId62" Type="http://schemas.openxmlformats.org/officeDocument/2006/relationships/table" Target="../tables/table23.xml" /><Relationship Id="rId63" Type="http://schemas.openxmlformats.org/officeDocument/2006/relationships/table" Target="../tables/table24.xml" /><Relationship Id="rId64"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3012</v>
      </c>
      <c r="BK2" s="7" t="s">
        <v>3040</v>
      </c>
      <c r="BL2" s="7" t="s">
        <v>3041</v>
      </c>
      <c r="BM2" s="50" t="s">
        <v>3242</v>
      </c>
      <c r="BN2" s="50" t="s">
        <v>3243</v>
      </c>
      <c r="BO2" s="50" t="s">
        <v>3244</v>
      </c>
      <c r="BP2" s="50" t="s">
        <v>3245</v>
      </c>
      <c r="BQ2" s="50" t="s">
        <v>3246</v>
      </c>
      <c r="BR2" s="50" t="s">
        <v>3247</v>
      </c>
      <c r="BS2" s="50" t="s">
        <v>3248</v>
      </c>
      <c r="BT2" s="50" t="s">
        <v>3249</v>
      </c>
      <c r="BU2" s="50" t="s">
        <v>3250</v>
      </c>
    </row>
    <row r="3" spans="1:73" ht="15" customHeight="1">
      <c r="A3" s="61" t="s">
        <v>263</v>
      </c>
      <c r="B3" s="61" t="s">
        <v>263</v>
      </c>
      <c r="C3" s="62" t="s">
        <v>11692</v>
      </c>
      <c r="D3" s="63">
        <v>3</v>
      </c>
      <c r="E3" s="64" t="s">
        <v>132</v>
      </c>
      <c r="F3" s="65">
        <v>32</v>
      </c>
      <c r="G3" s="62"/>
      <c r="H3" s="66"/>
      <c r="I3" s="67"/>
      <c r="J3" s="67"/>
      <c r="K3" s="31" t="s">
        <v>65</v>
      </c>
      <c r="L3" s="68">
        <v>3</v>
      </c>
      <c r="M3" s="68"/>
      <c r="N3" s="69"/>
      <c r="O3" s="76" t="s">
        <v>539</v>
      </c>
      <c r="P3" s="78">
        <v>45153.58393518518</v>
      </c>
      <c r="Q3" s="76" t="s">
        <v>666</v>
      </c>
      <c r="R3" s="76">
        <v>0</v>
      </c>
      <c r="S3" s="76">
        <v>0</v>
      </c>
      <c r="T3" s="76">
        <v>0</v>
      </c>
      <c r="U3" s="76">
        <v>0</v>
      </c>
      <c r="V3" s="76">
        <v>22</v>
      </c>
      <c r="W3" s="80" t="s">
        <v>228</v>
      </c>
      <c r="X3" s="82" t="str">
        <f>HYPERLINK("http://bit.ly/NodeXLMaps")</f>
        <v>http://bit.ly/NodeXLMaps</v>
      </c>
      <c r="Y3" s="76" t="s">
        <v>740</v>
      </c>
      <c r="Z3" s="76" t="s">
        <v>263</v>
      </c>
      <c r="AA3" s="76"/>
      <c r="AB3" s="76"/>
      <c r="AC3" s="80" t="s">
        <v>855</v>
      </c>
      <c r="AD3" s="76" t="s">
        <v>859</v>
      </c>
      <c r="AE3" s="82" t="str">
        <f>HYPERLINK("https://twitter.com/hanssars8/status/1691449881641238528")</f>
        <v>https://twitter.com/hanssars8/status/1691449881641238528</v>
      </c>
      <c r="AF3" s="78">
        <v>45153.58393518518</v>
      </c>
      <c r="AG3" s="84">
        <v>45153</v>
      </c>
      <c r="AH3" s="80" t="s">
        <v>994</v>
      </c>
      <c r="AI3" s="76" t="b">
        <v>0</v>
      </c>
      <c r="AJ3" s="76"/>
      <c r="AK3" s="76"/>
      <c r="AL3" s="76"/>
      <c r="AM3" s="76"/>
      <c r="AN3" s="76"/>
      <c r="AO3" s="76"/>
      <c r="AP3" s="76"/>
      <c r="AQ3" s="76"/>
      <c r="AR3" s="76"/>
      <c r="AS3" s="76"/>
      <c r="AT3" s="76"/>
      <c r="AU3" s="76"/>
      <c r="AV3" s="82" t="str">
        <f>HYPERLINK("https://pbs.twimg.com/profile_images/1536332562343374848/ZGS7_QTf_normal.png")</f>
        <v>https://pbs.twimg.com/profile_images/1536332562343374848/ZGS7_QTf_normal.png</v>
      </c>
      <c r="AW3" s="80" t="s">
        <v>1149</v>
      </c>
      <c r="AX3" s="80" t="s">
        <v>1149</v>
      </c>
      <c r="AY3" s="80" t="s">
        <v>1189</v>
      </c>
      <c r="AZ3" s="80" t="s">
        <v>1190</v>
      </c>
      <c r="BA3" s="80" t="s">
        <v>1190</v>
      </c>
      <c r="BB3" s="80" t="s">
        <v>1190</v>
      </c>
      <c r="BC3" s="80" t="s">
        <v>1149</v>
      </c>
      <c r="BD3" s="80" t="s">
        <v>1189</v>
      </c>
      <c r="BE3" s="76"/>
      <c r="BF3" s="76"/>
      <c r="BG3" s="76"/>
      <c r="BH3" s="76"/>
      <c r="BI3" s="76"/>
      <c r="BJ3">
        <v>1</v>
      </c>
      <c r="BK3" s="76" t="str">
        <f>REPLACE(INDEX(GroupVertices[Group],MATCH(Edges[[#This Row],[Vertex 1]],GroupVertices[Vertex],0)),1,1,"")</f>
        <v>11</v>
      </c>
      <c r="BL3" s="76" t="str">
        <f>REPLACE(INDEX(GroupVertices[Group],MATCH(Edges[[#This Row],[Vertex 2]],GroupVertices[Vertex],0)),1,1,"")</f>
        <v>11</v>
      </c>
      <c r="BM3" s="45">
        <v>0</v>
      </c>
      <c r="BN3" s="46">
        <v>0</v>
      </c>
      <c r="BO3" s="45">
        <v>0</v>
      </c>
      <c r="BP3" s="46">
        <v>0</v>
      </c>
      <c r="BQ3" s="45">
        <v>0</v>
      </c>
      <c r="BR3" s="46">
        <v>0</v>
      </c>
      <c r="BS3" s="45">
        <v>4</v>
      </c>
      <c r="BT3" s="46">
        <v>100</v>
      </c>
      <c r="BU3" s="45">
        <v>4</v>
      </c>
    </row>
    <row r="4" spans="1:73" ht="15" customHeight="1">
      <c r="A4" s="61" t="s">
        <v>223</v>
      </c>
      <c r="B4" s="61" t="s">
        <v>264</v>
      </c>
      <c r="C4" s="62" t="s">
        <v>11692</v>
      </c>
      <c r="D4" s="63">
        <v>3</v>
      </c>
      <c r="E4" s="64" t="s">
        <v>132</v>
      </c>
      <c r="F4" s="65">
        <v>32</v>
      </c>
      <c r="G4" s="62"/>
      <c r="H4" s="66"/>
      <c r="I4" s="67"/>
      <c r="J4" s="67"/>
      <c r="K4" s="31" t="s">
        <v>65</v>
      </c>
      <c r="L4" s="75">
        <v>4</v>
      </c>
      <c r="M4" s="75"/>
      <c r="N4" s="69"/>
      <c r="O4" s="77" t="s">
        <v>539</v>
      </c>
      <c r="P4" s="79">
        <v>45148.7587037037</v>
      </c>
      <c r="Q4" s="77" t="s">
        <v>545</v>
      </c>
      <c r="R4" s="77">
        <v>0</v>
      </c>
      <c r="S4" s="77">
        <v>1</v>
      </c>
      <c r="T4" s="77">
        <v>0</v>
      </c>
      <c r="U4" s="77">
        <v>0</v>
      </c>
      <c r="V4" s="77">
        <v>26</v>
      </c>
      <c r="W4" s="77"/>
      <c r="X4" s="77"/>
      <c r="Y4" s="77"/>
      <c r="Z4" s="77" t="s">
        <v>264</v>
      </c>
      <c r="AA4" s="77"/>
      <c r="AB4" s="77"/>
      <c r="AC4" s="81" t="s">
        <v>853</v>
      </c>
      <c r="AD4" s="77" t="s">
        <v>858</v>
      </c>
      <c r="AE4" s="83" t="str">
        <f>HYPERLINK("https://twitter.com/freylev/status/1689701279742705665")</f>
        <v>https://twitter.com/freylev/status/1689701279742705665</v>
      </c>
      <c r="AF4" s="79">
        <v>45148.7587037037</v>
      </c>
      <c r="AG4" s="85">
        <v>45148</v>
      </c>
      <c r="AH4" s="81" t="s">
        <v>872</v>
      </c>
      <c r="AI4" s="77"/>
      <c r="AJ4" s="77"/>
      <c r="AK4" s="77"/>
      <c r="AL4" s="77"/>
      <c r="AM4" s="77"/>
      <c r="AN4" s="77"/>
      <c r="AO4" s="77"/>
      <c r="AP4" s="77"/>
      <c r="AQ4" s="77"/>
      <c r="AR4" s="77"/>
      <c r="AS4" s="77"/>
      <c r="AT4" s="77"/>
      <c r="AU4" s="77"/>
      <c r="AV4" s="83" t="str">
        <f>HYPERLINK("https://pbs.twimg.com/profile_images/1642753911739097088/VAt8hr5-_normal.png")</f>
        <v>https://pbs.twimg.com/profile_images/1642753911739097088/VAt8hr5-_normal.png</v>
      </c>
      <c r="AW4" s="81" t="s">
        <v>1027</v>
      </c>
      <c r="AX4" s="81" t="s">
        <v>1027</v>
      </c>
      <c r="AY4" s="81" t="s">
        <v>1168</v>
      </c>
      <c r="AZ4" s="81" t="s">
        <v>1190</v>
      </c>
      <c r="BA4" s="81" t="s">
        <v>1190</v>
      </c>
      <c r="BB4" s="81" t="s">
        <v>1190</v>
      </c>
      <c r="BC4" s="81" t="s">
        <v>1027</v>
      </c>
      <c r="BD4" s="77">
        <v>341305870</v>
      </c>
      <c r="BE4" s="77"/>
      <c r="BF4" s="77"/>
      <c r="BG4" s="77"/>
      <c r="BH4" s="77"/>
      <c r="BI4" s="77"/>
      <c r="BJ4">
        <v>1</v>
      </c>
      <c r="BK4" s="76" t="str">
        <f>REPLACE(INDEX(GroupVertices[Group],MATCH(Edges[[#This Row],[Vertex 1]],GroupVertices[Vertex],0)),1,1,"")</f>
        <v>15</v>
      </c>
      <c r="BL4" s="76" t="str">
        <f>REPLACE(INDEX(GroupVertices[Group],MATCH(Edges[[#This Row],[Vertex 2]],GroupVertices[Vertex],0)),1,1,"")</f>
        <v>15</v>
      </c>
      <c r="BM4" s="45">
        <v>0</v>
      </c>
      <c r="BN4" s="46">
        <v>0</v>
      </c>
      <c r="BO4" s="45">
        <v>1</v>
      </c>
      <c r="BP4" s="46">
        <v>2.380952380952381</v>
      </c>
      <c r="BQ4" s="45">
        <v>0</v>
      </c>
      <c r="BR4" s="46">
        <v>0</v>
      </c>
      <c r="BS4" s="45">
        <v>20</v>
      </c>
      <c r="BT4" s="46">
        <v>47.61904761904762</v>
      </c>
      <c r="BU4" s="45">
        <v>42</v>
      </c>
    </row>
    <row r="5" spans="1:73" ht="15">
      <c r="A5" s="61" t="s">
        <v>224</v>
      </c>
      <c r="B5" s="61" t="s">
        <v>224</v>
      </c>
      <c r="C5" s="62" t="s">
        <v>11692</v>
      </c>
      <c r="D5" s="63">
        <v>3</v>
      </c>
      <c r="E5" s="64" t="s">
        <v>132</v>
      </c>
      <c r="F5" s="65">
        <v>32</v>
      </c>
      <c r="G5" s="62"/>
      <c r="H5" s="66"/>
      <c r="I5" s="67"/>
      <c r="J5" s="67"/>
      <c r="K5" s="31" t="s">
        <v>65</v>
      </c>
      <c r="L5" s="75">
        <v>5</v>
      </c>
      <c r="M5" s="75"/>
      <c r="N5" s="69"/>
      <c r="O5" s="77" t="s">
        <v>178</v>
      </c>
      <c r="P5" s="79">
        <v>45161.33231481481</v>
      </c>
      <c r="Q5" s="77" t="s">
        <v>546</v>
      </c>
      <c r="R5" s="77">
        <v>1</v>
      </c>
      <c r="S5" s="77">
        <v>5</v>
      </c>
      <c r="T5" s="77">
        <v>0</v>
      </c>
      <c r="U5" s="77">
        <v>0</v>
      </c>
      <c r="V5" s="77">
        <v>80</v>
      </c>
      <c r="W5" s="81" t="s">
        <v>667</v>
      </c>
      <c r="X5" s="83" t="str">
        <f>HYPERLINK("https://nodexlgraphgallery.org/")</f>
        <v>https://nodexlgraphgallery.org/</v>
      </c>
      <c r="Y5" s="77" t="s">
        <v>732</v>
      </c>
      <c r="Z5" s="77"/>
      <c r="AA5" s="77"/>
      <c r="AB5" s="77"/>
      <c r="AC5" s="81" t="s">
        <v>854</v>
      </c>
      <c r="AD5" s="77" t="s">
        <v>859</v>
      </c>
      <c r="AE5" s="83" t="str">
        <f>HYPERLINK("https://twitter.com/michbsd/status/1694257803668451725")</f>
        <v>https://twitter.com/michbsd/status/1694257803668451725</v>
      </c>
      <c r="AF5" s="79">
        <v>45161.33231481481</v>
      </c>
      <c r="AG5" s="85">
        <v>45161</v>
      </c>
      <c r="AH5" s="81" t="s">
        <v>873</v>
      </c>
      <c r="AI5" s="77" t="b">
        <v>0</v>
      </c>
      <c r="AJ5" s="77"/>
      <c r="AK5" s="77"/>
      <c r="AL5" s="77"/>
      <c r="AM5" s="77"/>
      <c r="AN5" s="77"/>
      <c r="AO5" s="77"/>
      <c r="AP5" s="77"/>
      <c r="AQ5" s="77"/>
      <c r="AR5" s="77"/>
      <c r="AS5" s="77"/>
      <c r="AT5" s="77"/>
      <c r="AU5" s="77"/>
      <c r="AV5" s="83" t="str">
        <f>HYPERLINK("https://pbs.twimg.com/profile_images/1163376090229944320/HzsIqwWc_normal.jpg")</f>
        <v>https://pbs.twimg.com/profile_images/1163376090229944320/HzsIqwWc_normal.jpg</v>
      </c>
      <c r="AW5" s="81" t="s">
        <v>1028</v>
      </c>
      <c r="AX5" s="81" t="s">
        <v>1028</v>
      </c>
      <c r="AY5" s="77"/>
      <c r="AZ5" s="81" t="s">
        <v>1190</v>
      </c>
      <c r="BA5" s="81" t="s">
        <v>1190</v>
      </c>
      <c r="BB5" s="81" t="s">
        <v>1190</v>
      </c>
      <c r="BC5" s="81" t="s">
        <v>1028</v>
      </c>
      <c r="BD5" s="77">
        <v>14087862</v>
      </c>
      <c r="BE5" s="77"/>
      <c r="BF5" s="77"/>
      <c r="BG5" s="77"/>
      <c r="BH5" s="77"/>
      <c r="BI5" s="77"/>
      <c r="BJ5">
        <v>1</v>
      </c>
      <c r="BK5" s="76" t="str">
        <f>REPLACE(INDEX(GroupVertices[Group],MATCH(Edges[[#This Row],[Vertex 1]],GroupVertices[Vertex],0)),1,1,"")</f>
        <v>11</v>
      </c>
      <c r="BL5" s="76" t="str">
        <f>REPLACE(INDEX(GroupVertices[Group],MATCH(Edges[[#This Row],[Vertex 2]],GroupVertices[Vertex],0)),1,1,"")</f>
        <v>11</v>
      </c>
      <c r="BM5" s="45">
        <v>1</v>
      </c>
      <c r="BN5" s="46">
        <v>2.7777777777777777</v>
      </c>
      <c r="BO5" s="45">
        <v>0</v>
      </c>
      <c r="BP5" s="46">
        <v>0</v>
      </c>
      <c r="BQ5" s="45">
        <v>0</v>
      </c>
      <c r="BR5" s="46">
        <v>0</v>
      </c>
      <c r="BS5" s="45">
        <v>18</v>
      </c>
      <c r="BT5" s="46">
        <v>50</v>
      </c>
      <c r="BU5" s="45">
        <v>36</v>
      </c>
    </row>
    <row r="6" spans="1:73" ht="15">
      <c r="A6" s="61" t="s">
        <v>225</v>
      </c>
      <c r="B6" s="61" t="s">
        <v>229</v>
      </c>
      <c r="C6" s="62" t="s">
        <v>11692</v>
      </c>
      <c r="D6" s="63">
        <v>3</v>
      </c>
      <c r="E6" s="64" t="s">
        <v>132</v>
      </c>
      <c r="F6" s="65">
        <v>32</v>
      </c>
      <c r="G6" s="62"/>
      <c r="H6" s="66"/>
      <c r="I6" s="67"/>
      <c r="J6" s="67"/>
      <c r="K6" s="31" t="s">
        <v>65</v>
      </c>
      <c r="L6" s="75">
        <v>6</v>
      </c>
      <c r="M6" s="75"/>
      <c r="N6" s="69"/>
      <c r="O6" s="77" t="s">
        <v>540</v>
      </c>
      <c r="P6" s="79">
        <v>45161.71741898148</v>
      </c>
      <c r="Q6" s="77" t="s">
        <v>547</v>
      </c>
      <c r="R6" s="77">
        <v>0</v>
      </c>
      <c r="S6" s="77">
        <v>3</v>
      </c>
      <c r="T6" s="77">
        <v>1</v>
      </c>
      <c r="U6" s="77">
        <v>0</v>
      </c>
      <c r="V6" s="77">
        <v>26</v>
      </c>
      <c r="W6" s="77"/>
      <c r="X6" s="77"/>
      <c r="Y6" s="77"/>
      <c r="Z6" s="77" t="s">
        <v>229</v>
      </c>
      <c r="AA6" s="77"/>
      <c r="AB6" s="77"/>
      <c r="AC6" s="81" t="s">
        <v>855</v>
      </c>
      <c r="AD6" s="77" t="s">
        <v>860</v>
      </c>
      <c r="AE6" s="83" t="str">
        <f>HYPERLINK("https://twitter.com/anttigronow/status/1694397357582958775")</f>
        <v>https://twitter.com/anttigronow/status/1694397357582958775</v>
      </c>
      <c r="AF6" s="79">
        <v>45161.71741898148</v>
      </c>
      <c r="AG6" s="85">
        <v>45161</v>
      </c>
      <c r="AH6" s="81" t="s">
        <v>874</v>
      </c>
      <c r="AI6" s="77"/>
      <c r="AJ6" s="77"/>
      <c r="AK6" s="77"/>
      <c r="AL6" s="77"/>
      <c r="AM6" s="77"/>
      <c r="AN6" s="77"/>
      <c r="AO6" s="77"/>
      <c r="AP6" s="77"/>
      <c r="AQ6" s="77"/>
      <c r="AR6" s="77"/>
      <c r="AS6" s="77"/>
      <c r="AT6" s="77"/>
      <c r="AU6" s="77"/>
      <c r="AV6" s="83" t="str">
        <f>HYPERLINK("https://pbs.twimg.com/profile_images/1298951216286887937/Y044MYp2_normal.jpg")</f>
        <v>https://pbs.twimg.com/profile_images/1298951216286887937/Y044MYp2_normal.jpg</v>
      </c>
      <c r="AW6" s="81" t="s">
        <v>1029</v>
      </c>
      <c r="AX6" s="81" t="s">
        <v>1150</v>
      </c>
      <c r="AY6" s="81" t="s">
        <v>1169</v>
      </c>
      <c r="AZ6" s="81" t="s">
        <v>1150</v>
      </c>
      <c r="BA6" s="81" t="s">
        <v>1190</v>
      </c>
      <c r="BB6" s="81" t="s">
        <v>1190</v>
      </c>
      <c r="BC6" s="81" t="s">
        <v>1150</v>
      </c>
      <c r="BD6" s="81" t="s">
        <v>1201</v>
      </c>
      <c r="BE6" s="77"/>
      <c r="BF6" s="77"/>
      <c r="BG6" s="77"/>
      <c r="BH6" s="77"/>
      <c r="BI6" s="77"/>
      <c r="BJ6">
        <v>1</v>
      </c>
      <c r="BK6" s="76" t="str">
        <f>REPLACE(INDEX(GroupVertices[Group],MATCH(Edges[[#This Row],[Vertex 1]],GroupVertices[Vertex],0)),1,1,"")</f>
        <v>1</v>
      </c>
      <c r="BL6" s="76" t="str">
        <f>REPLACE(INDEX(GroupVertices[Group],MATCH(Edges[[#This Row],[Vertex 2]],GroupVertices[Vertex],0)),1,1,"")</f>
        <v>1</v>
      </c>
      <c r="BM6" s="45">
        <v>0</v>
      </c>
      <c r="BN6" s="46">
        <v>0</v>
      </c>
      <c r="BO6" s="45">
        <v>0</v>
      </c>
      <c r="BP6" s="46">
        <v>0</v>
      </c>
      <c r="BQ6" s="45">
        <v>0</v>
      </c>
      <c r="BR6" s="46">
        <v>0</v>
      </c>
      <c r="BS6" s="45">
        <v>12</v>
      </c>
      <c r="BT6" s="46">
        <v>100</v>
      </c>
      <c r="BU6" s="45">
        <v>12</v>
      </c>
    </row>
    <row r="7" spans="1:73" ht="15">
      <c r="A7" s="61" t="s">
        <v>226</v>
      </c>
      <c r="B7" s="61" t="s">
        <v>226</v>
      </c>
      <c r="C7" s="62" t="s">
        <v>11692</v>
      </c>
      <c r="D7" s="63">
        <v>3</v>
      </c>
      <c r="E7" s="64" t="s">
        <v>132</v>
      </c>
      <c r="F7" s="65">
        <v>32</v>
      </c>
      <c r="G7" s="62"/>
      <c r="H7" s="66"/>
      <c r="I7" s="67"/>
      <c r="J7" s="67"/>
      <c r="K7" s="31" t="s">
        <v>65</v>
      </c>
      <c r="L7" s="75">
        <v>7</v>
      </c>
      <c r="M7" s="75"/>
      <c r="N7" s="69"/>
      <c r="O7" s="77" t="s">
        <v>540</v>
      </c>
      <c r="P7" s="79">
        <v>44853.62582175926</v>
      </c>
      <c r="Q7" s="77" t="s">
        <v>548</v>
      </c>
      <c r="R7" s="77">
        <v>3</v>
      </c>
      <c r="S7" s="77">
        <v>6</v>
      </c>
      <c r="T7" s="77">
        <v>7</v>
      </c>
      <c r="U7" s="77">
        <v>1</v>
      </c>
      <c r="V7" s="77"/>
      <c r="W7" s="81" t="s">
        <v>668</v>
      </c>
      <c r="X7" s="77"/>
      <c r="Y7" s="77"/>
      <c r="Z7" s="77"/>
      <c r="AA7" s="77"/>
      <c r="AB7" s="77"/>
      <c r="AC7" s="81" t="s">
        <v>853</v>
      </c>
      <c r="AD7" s="77" t="s">
        <v>861</v>
      </c>
      <c r="AE7" s="83" t="str">
        <f>HYPERLINK("https://twitter.com/nassimretiere/status/1582748701843329026")</f>
        <v>https://twitter.com/nassimretiere/status/1582748701843329026</v>
      </c>
      <c r="AF7" s="79">
        <v>44853.62582175926</v>
      </c>
      <c r="AG7" s="85">
        <v>44853</v>
      </c>
      <c r="AH7" s="81" t="s">
        <v>875</v>
      </c>
      <c r="AI7" s="77"/>
      <c r="AJ7" s="77"/>
      <c r="AK7" s="77"/>
      <c r="AL7" s="77"/>
      <c r="AM7" s="77"/>
      <c r="AN7" s="77"/>
      <c r="AO7" s="77"/>
      <c r="AP7" s="77"/>
      <c r="AQ7" s="77"/>
      <c r="AR7" s="77"/>
      <c r="AS7" s="77"/>
      <c r="AT7" s="77"/>
      <c r="AU7" s="77"/>
      <c r="AV7" s="83" t="str">
        <f>HYPERLINK("https://pbs.twimg.com/profile_images/1673635551541428224/F1spWyZM_normal.jpg")</f>
        <v>https://pbs.twimg.com/profile_images/1673635551541428224/F1spWyZM_normal.jpg</v>
      </c>
      <c r="AW7" s="81" t="s">
        <v>1030</v>
      </c>
      <c r="AX7" s="81" t="s">
        <v>1151</v>
      </c>
      <c r="AY7" s="81" t="s">
        <v>1170</v>
      </c>
      <c r="AZ7" s="81" t="s">
        <v>1151</v>
      </c>
      <c r="BA7" s="81" t="s">
        <v>1190</v>
      </c>
      <c r="BB7" s="81" t="s">
        <v>1190</v>
      </c>
      <c r="BC7" s="81" t="s">
        <v>1151</v>
      </c>
      <c r="BD7" s="77">
        <v>466698672</v>
      </c>
      <c r="BE7" s="77"/>
      <c r="BF7" s="77"/>
      <c r="BG7" s="77"/>
      <c r="BH7" s="77"/>
      <c r="BI7" s="77"/>
      <c r="BJ7">
        <v>1</v>
      </c>
      <c r="BK7" s="76" t="str">
        <f>REPLACE(INDEX(GroupVertices[Group],MATCH(Edges[[#This Row],[Vertex 1]],GroupVertices[Vertex],0)),1,1,"")</f>
        <v>2</v>
      </c>
      <c r="BL7" s="76" t="str">
        <f>REPLACE(INDEX(GroupVertices[Group],MATCH(Edges[[#This Row],[Vertex 2]],GroupVertices[Vertex],0)),1,1,"")</f>
        <v>2</v>
      </c>
      <c r="BM7" s="45">
        <v>0</v>
      </c>
      <c r="BN7" s="46">
        <v>0</v>
      </c>
      <c r="BO7" s="45">
        <v>0</v>
      </c>
      <c r="BP7" s="46">
        <v>0</v>
      </c>
      <c r="BQ7" s="45">
        <v>0</v>
      </c>
      <c r="BR7" s="46">
        <v>0</v>
      </c>
      <c r="BS7" s="45">
        <v>24</v>
      </c>
      <c r="BT7" s="46">
        <v>64.86486486486487</v>
      </c>
      <c r="BU7" s="45">
        <v>37</v>
      </c>
    </row>
    <row r="8" spans="1:73" ht="15">
      <c r="A8" s="61" t="s">
        <v>226</v>
      </c>
      <c r="B8" s="61" t="s">
        <v>265</v>
      </c>
      <c r="C8" s="62" t="s">
        <v>11692</v>
      </c>
      <c r="D8" s="63">
        <v>3</v>
      </c>
      <c r="E8" s="64" t="s">
        <v>132</v>
      </c>
      <c r="F8" s="65">
        <v>32</v>
      </c>
      <c r="G8" s="62"/>
      <c r="H8" s="66"/>
      <c r="I8" s="67"/>
      <c r="J8" s="67"/>
      <c r="K8" s="31" t="s">
        <v>65</v>
      </c>
      <c r="L8" s="75">
        <v>8</v>
      </c>
      <c r="M8" s="75"/>
      <c r="N8" s="69"/>
      <c r="O8" s="77" t="s">
        <v>541</v>
      </c>
      <c r="P8" s="79">
        <v>45149.552881944444</v>
      </c>
      <c r="Q8" s="77" t="s">
        <v>549</v>
      </c>
      <c r="R8" s="77">
        <v>0</v>
      </c>
      <c r="S8" s="77">
        <v>0</v>
      </c>
      <c r="T8" s="77">
        <v>0</v>
      </c>
      <c r="U8" s="77">
        <v>0</v>
      </c>
      <c r="V8" s="77">
        <v>8</v>
      </c>
      <c r="W8" s="77"/>
      <c r="X8" s="83" t="str">
        <f>HYPERLINK("https://twitter.com/NassimRETIERE/status/1582748701843329026?s=20")</f>
        <v>https://twitter.com/NassimRETIERE/status/1582748701843329026?s=20</v>
      </c>
      <c r="Y8" s="77" t="s">
        <v>733</v>
      </c>
      <c r="Z8" s="77" t="s">
        <v>750</v>
      </c>
      <c r="AA8" s="77"/>
      <c r="AB8" s="77"/>
      <c r="AC8" s="81" t="s">
        <v>853</v>
      </c>
      <c r="AD8" s="77" t="s">
        <v>859</v>
      </c>
      <c r="AE8" s="83" t="str">
        <f>HYPERLINK("https://twitter.com/nassimretiere/status/1689989080170332160")</f>
        <v>https://twitter.com/nassimretiere/status/1689989080170332160</v>
      </c>
      <c r="AF8" s="79">
        <v>45149.552881944444</v>
      </c>
      <c r="AG8" s="85">
        <v>45149</v>
      </c>
      <c r="AH8" s="81" t="s">
        <v>876</v>
      </c>
      <c r="AI8" s="77" t="b">
        <v>0</v>
      </c>
      <c r="AJ8" s="77"/>
      <c r="AK8" s="77"/>
      <c r="AL8" s="77"/>
      <c r="AM8" s="77"/>
      <c r="AN8" s="77"/>
      <c r="AO8" s="77"/>
      <c r="AP8" s="77"/>
      <c r="AQ8" s="77"/>
      <c r="AR8" s="77"/>
      <c r="AS8" s="77"/>
      <c r="AT8" s="77"/>
      <c r="AU8" s="77"/>
      <c r="AV8" s="83" t="str">
        <f>HYPERLINK("https://pbs.twimg.com/profile_images/1673635551541428224/F1spWyZM_normal.jpg")</f>
        <v>https://pbs.twimg.com/profile_images/1673635551541428224/F1spWyZM_normal.jpg</v>
      </c>
      <c r="AW8" s="81" t="s">
        <v>1031</v>
      </c>
      <c r="AX8" s="81" t="s">
        <v>1044</v>
      </c>
      <c r="AY8" s="81" t="s">
        <v>1171</v>
      </c>
      <c r="AZ8" s="81" t="s">
        <v>1044</v>
      </c>
      <c r="BA8" s="81" t="s">
        <v>1030</v>
      </c>
      <c r="BB8" s="81" t="s">
        <v>1190</v>
      </c>
      <c r="BC8" s="81" t="s">
        <v>1044</v>
      </c>
      <c r="BD8" s="77">
        <v>466698672</v>
      </c>
      <c r="BE8" s="77"/>
      <c r="BF8" s="77"/>
      <c r="BG8" s="77"/>
      <c r="BH8" s="77"/>
      <c r="BI8" s="77"/>
      <c r="BJ8">
        <v>1</v>
      </c>
      <c r="BK8" s="76" t="str">
        <f>REPLACE(INDEX(GroupVertices[Group],MATCH(Edges[[#This Row],[Vertex 1]],GroupVertices[Vertex],0)),1,1,"")</f>
        <v>2</v>
      </c>
      <c r="BL8" s="76" t="str">
        <f>REPLACE(INDEX(GroupVertices[Group],MATCH(Edges[[#This Row],[Vertex 2]],GroupVertices[Vertex],0)),1,1,"")</f>
        <v>2</v>
      </c>
      <c r="BM8" s="45"/>
      <c r="BN8" s="46"/>
      <c r="BO8" s="45"/>
      <c r="BP8" s="46"/>
      <c r="BQ8" s="45"/>
      <c r="BR8" s="46"/>
      <c r="BS8" s="45"/>
      <c r="BT8" s="46"/>
      <c r="BU8" s="45"/>
    </row>
    <row r="9" spans="1:73" ht="15">
      <c r="A9" s="61" t="s">
        <v>226</v>
      </c>
      <c r="B9" s="61" t="s">
        <v>266</v>
      </c>
      <c r="C9" s="62" t="s">
        <v>11692</v>
      </c>
      <c r="D9" s="63">
        <v>3</v>
      </c>
      <c r="E9" s="64" t="s">
        <v>132</v>
      </c>
      <c r="F9" s="65">
        <v>32</v>
      </c>
      <c r="G9" s="62"/>
      <c r="H9" s="66"/>
      <c r="I9" s="67"/>
      <c r="J9" s="67"/>
      <c r="K9" s="31" t="s">
        <v>65</v>
      </c>
      <c r="L9" s="75">
        <v>9</v>
      </c>
      <c r="M9" s="75"/>
      <c r="N9" s="69"/>
      <c r="O9" s="77" t="s">
        <v>541</v>
      </c>
      <c r="P9" s="79">
        <v>45149.552881944444</v>
      </c>
      <c r="Q9" s="77" t="s">
        <v>549</v>
      </c>
      <c r="R9" s="77">
        <v>0</v>
      </c>
      <c r="S9" s="77">
        <v>0</v>
      </c>
      <c r="T9" s="77">
        <v>0</v>
      </c>
      <c r="U9" s="77">
        <v>0</v>
      </c>
      <c r="V9" s="77">
        <v>8</v>
      </c>
      <c r="W9" s="77"/>
      <c r="X9" s="83" t="str">
        <f>HYPERLINK("https://twitter.com/NassimRETIERE/status/1582748701843329026?s=20")</f>
        <v>https://twitter.com/NassimRETIERE/status/1582748701843329026?s=20</v>
      </c>
      <c r="Y9" s="77" t="s">
        <v>733</v>
      </c>
      <c r="Z9" s="77" t="s">
        <v>750</v>
      </c>
      <c r="AA9" s="77"/>
      <c r="AB9" s="77"/>
      <c r="AC9" s="81" t="s">
        <v>853</v>
      </c>
      <c r="AD9" s="77" t="s">
        <v>859</v>
      </c>
      <c r="AE9" s="83" t="str">
        <f>HYPERLINK("https://twitter.com/nassimretiere/status/1689989080170332160")</f>
        <v>https://twitter.com/nassimretiere/status/1689989080170332160</v>
      </c>
      <c r="AF9" s="79">
        <v>45149.552881944444</v>
      </c>
      <c r="AG9" s="85">
        <v>45149</v>
      </c>
      <c r="AH9" s="81" t="s">
        <v>876</v>
      </c>
      <c r="AI9" s="77" t="b">
        <v>0</v>
      </c>
      <c r="AJ9" s="77"/>
      <c r="AK9" s="77"/>
      <c r="AL9" s="77"/>
      <c r="AM9" s="77"/>
      <c r="AN9" s="77"/>
      <c r="AO9" s="77"/>
      <c r="AP9" s="77"/>
      <c r="AQ9" s="77"/>
      <c r="AR9" s="77"/>
      <c r="AS9" s="77"/>
      <c r="AT9" s="77"/>
      <c r="AU9" s="77"/>
      <c r="AV9" s="83" t="str">
        <f>HYPERLINK("https://pbs.twimg.com/profile_images/1673635551541428224/F1spWyZM_normal.jpg")</f>
        <v>https://pbs.twimg.com/profile_images/1673635551541428224/F1spWyZM_normal.jpg</v>
      </c>
      <c r="AW9" s="81" t="s">
        <v>1031</v>
      </c>
      <c r="AX9" s="81" t="s">
        <v>1044</v>
      </c>
      <c r="AY9" s="81" t="s">
        <v>1171</v>
      </c>
      <c r="AZ9" s="81" t="s">
        <v>1044</v>
      </c>
      <c r="BA9" s="81" t="s">
        <v>1030</v>
      </c>
      <c r="BB9" s="81" t="s">
        <v>1190</v>
      </c>
      <c r="BC9" s="81" t="s">
        <v>1044</v>
      </c>
      <c r="BD9" s="77">
        <v>466698672</v>
      </c>
      <c r="BE9" s="77"/>
      <c r="BF9" s="77"/>
      <c r="BG9" s="77"/>
      <c r="BH9" s="77"/>
      <c r="BI9" s="77"/>
      <c r="BJ9">
        <v>1</v>
      </c>
      <c r="BK9" s="76" t="str">
        <f>REPLACE(INDEX(GroupVertices[Group],MATCH(Edges[[#This Row],[Vertex 1]],GroupVertices[Vertex],0)),1,1,"")</f>
        <v>2</v>
      </c>
      <c r="BL9" s="76" t="str">
        <f>REPLACE(INDEX(GroupVertices[Group],MATCH(Edges[[#This Row],[Vertex 2]],GroupVertices[Vertex],0)),1,1,"")</f>
        <v>2</v>
      </c>
      <c r="BM9" s="45"/>
      <c r="BN9" s="46"/>
      <c r="BO9" s="45"/>
      <c r="BP9" s="46"/>
      <c r="BQ9" s="45"/>
      <c r="BR9" s="46"/>
      <c r="BS9" s="45"/>
      <c r="BT9" s="46"/>
      <c r="BU9" s="45"/>
    </row>
    <row r="10" spans="1:73" ht="15">
      <c r="A10" s="61" t="s">
        <v>226</v>
      </c>
      <c r="B10" s="61" t="s">
        <v>267</v>
      </c>
      <c r="C10" s="62" t="s">
        <v>11692</v>
      </c>
      <c r="D10" s="63">
        <v>3</v>
      </c>
      <c r="E10" s="64" t="s">
        <v>132</v>
      </c>
      <c r="F10" s="65">
        <v>32</v>
      </c>
      <c r="G10" s="62"/>
      <c r="H10" s="66"/>
      <c r="I10" s="67"/>
      <c r="J10" s="67"/>
      <c r="K10" s="31" t="s">
        <v>65</v>
      </c>
      <c r="L10" s="75">
        <v>10</v>
      </c>
      <c r="M10" s="75"/>
      <c r="N10" s="69"/>
      <c r="O10" s="77" t="s">
        <v>541</v>
      </c>
      <c r="P10" s="79">
        <v>45149.552881944444</v>
      </c>
      <c r="Q10" s="77" t="s">
        <v>549</v>
      </c>
      <c r="R10" s="77">
        <v>0</v>
      </c>
      <c r="S10" s="77">
        <v>0</v>
      </c>
      <c r="T10" s="77">
        <v>0</v>
      </c>
      <c r="U10" s="77">
        <v>0</v>
      </c>
      <c r="V10" s="77">
        <v>8</v>
      </c>
      <c r="W10" s="77"/>
      <c r="X10" s="83" t="str">
        <f>HYPERLINK("https://twitter.com/NassimRETIERE/status/1582748701843329026?s=20")</f>
        <v>https://twitter.com/NassimRETIERE/status/1582748701843329026?s=20</v>
      </c>
      <c r="Y10" s="77" t="s">
        <v>733</v>
      </c>
      <c r="Z10" s="77" t="s">
        <v>750</v>
      </c>
      <c r="AA10" s="77"/>
      <c r="AB10" s="77"/>
      <c r="AC10" s="81" t="s">
        <v>853</v>
      </c>
      <c r="AD10" s="77" t="s">
        <v>859</v>
      </c>
      <c r="AE10" s="83" t="str">
        <f>HYPERLINK("https://twitter.com/nassimretiere/status/1689989080170332160")</f>
        <v>https://twitter.com/nassimretiere/status/1689989080170332160</v>
      </c>
      <c r="AF10" s="79">
        <v>45149.552881944444</v>
      </c>
      <c r="AG10" s="85">
        <v>45149</v>
      </c>
      <c r="AH10" s="81" t="s">
        <v>876</v>
      </c>
      <c r="AI10" s="77" t="b">
        <v>0</v>
      </c>
      <c r="AJ10" s="77"/>
      <c r="AK10" s="77"/>
      <c r="AL10" s="77"/>
      <c r="AM10" s="77"/>
      <c r="AN10" s="77"/>
      <c r="AO10" s="77"/>
      <c r="AP10" s="77"/>
      <c r="AQ10" s="77"/>
      <c r="AR10" s="77"/>
      <c r="AS10" s="77"/>
      <c r="AT10" s="77"/>
      <c r="AU10" s="77"/>
      <c r="AV10" s="83" t="str">
        <f>HYPERLINK("https://pbs.twimg.com/profile_images/1673635551541428224/F1spWyZM_normal.jpg")</f>
        <v>https://pbs.twimg.com/profile_images/1673635551541428224/F1spWyZM_normal.jpg</v>
      </c>
      <c r="AW10" s="81" t="s">
        <v>1031</v>
      </c>
      <c r="AX10" s="81" t="s">
        <v>1044</v>
      </c>
      <c r="AY10" s="81" t="s">
        <v>1171</v>
      </c>
      <c r="AZ10" s="81" t="s">
        <v>1044</v>
      </c>
      <c r="BA10" s="81" t="s">
        <v>1030</v>
      </c>
      <c r="BB10" s="81" t="s">
        <v>1190</v>
      </c>
      <c r="BC10" s="81" t="s">
        <v>1044</v>
      </c>
      <c r="BD10" s="77">
        <v>466698672</v>
      </c>
      <c r="BE10" s="77"/>
      <c r="BF10" s="77"/>
      <c r="BG10" s="77"/>
      <c r="BH10" s="77"/>
      <c r="BI10" s="77"/>
      <c r="BJ10">
        <v>1</v>
      </c>
      <c r="BK10" s="76" t="str">
        <f>REPLACE(INDEX(GroupVertices[Group],MATCH(Edges[[#This Row],[Vertex 1]],GroupVertices[Vertex],0)),1,1,"")</f>
        <v>2</v>
      </c>
      <c r="BL10" s="76" t="str">
        <f>REPLACE(INDEX(GroupVertices[Group],MATCH(Edges[[#This Row],[Vertex 2]],GroupVertices[Vertex],0)),1,1,"")</f>
        <v>2</v>
      </c>
      <c r="BM10" s="45"/>
      <c r="BN10" s="46"/>
      <c r="BO10" s="45"/>
      <c r="BP10" s="46"/>
      <c r="BQ10" s="45"/>
      <c r="BR10" s="46"/>
      <c r="BS10" s="45"/>
      <c r="BT10" s="46"/>
      <c r="BU10" s="45"/>
    </row>
    <row r="11" spans="1:73" ht="15">
      <c r="A11" s="61" t="s">
        <v>226</v>
      </c>
      <c r="B11" s="61" t="s">
        <v>268</v>
      </c>
      <c r="C11" s="62" t="s">
        <v>11692</v>
      </c>
      <c r="D11" s="63">
        <v>3</v>
      </c>
      <c r="E11" s="64" t="s">
        <v>132</v>
      </c>
      <c r="F11" s="65">
        <v>32</v>
      </c>
      <c r="G11" s="62"/>
      <c r="H11" s="66"/>
      <c r="I11" s="67"/>
      <c r="J11" s="67"/>
      <c r="K11" s="31" t="s">
        <v>65</v>
      </c>
      <c r="L11" s="75">
        <v>11</v>
      </c>
      <c r="M11" s="75"/>
      <c r="N11" s="69"/>
      <c r="O11" s="77" t="s">
        <v>541</v>
      </c>
      <c r="P11" s="79">
        <v>45149.552881944444</v>
      </c>
      <c r="Q11" s="77" t="s">
        <v>549</v>
      </c>
      <c r="R11" s="77">
        <v>0</v>
      </c>
      <c r="S11" s="77">
        <v>0</v>
      </c>
      <c r="T11" s="77">
        <v>0</v>
      </c>
      <c r="U11" s="77">
        <v>0</v>
      </c>
      <c r="V11" s="77">
        <v>8</v>
      </c>
      <c r="W11" s="77"/>
      <c r="X11" s="83" t="str">
        <f>HYPERLINK("https://twitter.com/NassimRETIERE/status/1582748701843329026?s=20")</f>
        <v>https://twitter.com/NassimRETIERE/status/1582748701843329026?s=20</v>
      </c>
      <c r="Y11" s="77" t="s">
        <v>733</v>
      </c>
      <c r="Z11" s="77" t="s">
        <v>750</v>
      </c>
      <c r="AA11" s="77"/>
      <c r="AB11" s="77"/>
      <c r="AC11" s="81" t="s">
        <v>853</v>
      </c>
      <c r="AD11" s="77" t="s">
        <v>859</v>
      </c>
      <c r="AE11" s="83" t="str">
        <f>HYPERLINK("https://twitter.com/nassimretiere/status/1689989080170332160")</f>
        <v>https://twitter.com/nassimretiere/status/1689989080170332160</v>
      </c>
      <c r="AF11" s="79">
        <v>45149.552881944444</v>
      </c>
      <c r="AG11" s="85">
        <v>45149</v>
      </c>
      <c r="AH11" s="81" t="s">
        <v>876</v>
      </c>
      <c r="AI11" s="77" t="b">
        <v>0</v>
      </c>
      <c r="AJ11" s="77"/>
      <c r="AK11" s="77"/>
      <c r="AL11" s="77"/>
      <c r="AM11" s="77"/>
      <c r="AN11" s="77"/>
      <c r="AO11" s="77"/>
      <c r="AP11" s="77"/>
      <c r="AQ11" s="77"/>
      <c r="AR11" s="77"/>
      <c r="AS11" s="77"/>
      <c r="AT11" s="77"/>
      <c r="AU11" s="77"/>
      <c r="AV11" s="83" t="str">
        <f>HYPERLINK("https://pbs.twimg.com/profile_images/1673635551541428224/F1spWyZM_normal.jpg")</f>
        <v>https://pbs.twimg.com/profile_images/1673635551541428224/F1spWyZM_normal.jpg</v>
      </c>
      <c r="AW11" s="81" t="s">
        <v>1031</v>
      </c>
      <c r="AX11" s="81" t="s">
        <v>1044</v>
      </c>
      <c r="AY11" s="81" t="s">
        <v>1171</v>
      </c>
      <c r="AZ11" s="81" t="s">
        <v>1044</v>
      </c>
      <c r="BA11" s="81" t="s">
        <v>1030</v>
      </c>
      <c r="BB11" s="81" t="s">
        <v>1190</v>
      </c>
      <c r="BC11" s="81" t="s">
        <v>1044</v>
      </c>
      <c r="BD11" s="77">
        <v>466698672</v>
      </c>
      <c r="BE11" s="77"/>
      <c r="BF11" s="77"/>
      <c r="BG11" s="77"/>
      <c r="BH11" s="77"/>
      <c r="BI11" s="77"/>
      <c r="BJ11">
        <v>1</v>
      </c>
      <c r="BK11" s="76" t="str">
        <f>REPLACE(INDEX(GroupVertices[Group],MATCH(Edges[[#This Row],[Vertex 1]],GroupVertices[Vertex],0)),1,1,"")</f>
        <v>2</v>
      </c>
      <c r="BL11" s="76" t="str">
        <f>REPLACE(INDEX(GroupVertices[Group],MATCH(Edges[[#This Row],[Vertex 2]],GroupVertices[Vertex],0)),1,1,"")</f>
        <v>2</v>
      </c>
      <c r="BM11" s="45"/>
      <c r="BN11" s="46"/>
      <c r="BO11" s="45"/>
      <c r="BP11" s="46"/>
      <c r="BQ11" s="45"/>
      <c r="BR11" s="46"/>
      <c r="BS11" s="45"/>
      <c r="BT11" s="46"/>
      <c r="BU11" s="45"/>
    </row>
    <row r="12" spans="1:73" ht="15">
      <c r="A12" s="61" t="s">
        <v>226</v>
      </c>
      <c r="B12" s="61" t="s">
        <v>269</v>
      </c>
      <c r="C12" s="62" t="s">
        <v>11692</v>
      </c>
      <c r="D12" s="63">
        <v>3</v>
      </c>
      <c r="E12" s="64" t="s">
        <v>132</v>
      </c>
      <c r="F12" s="65">
        <v>32</v>
      </c>
      <c r="G12" s="62"/>
      <c r="H12" s="66"/>
      <c r="I12" s="67"/>
      <c r="J12" s="67"/>
      <c r="K12" s="31" t="s">
        <v>65</v>
      </c>
      <c r="L12" s="75">
        <v>12</v>
      </c>
      <c r="M12" s="75"/>
      <c r="N12" s="69"/>
      <c r="O12" s="77" t="s">
        <v>541</v>
      </c>
      <c r="P12" s="79">
        <v>45149.552881944444</v>
      </c>
      <c r="Q12" s="77" t="s">
        <v>549</v>
      </c>
      <c r="R12" s="77">
        <v>0</v>
      </c>
      <c r="S12" s="77">
        <v>0</v>
      </c>
      <c r="T12" s="77">
        <v>0</v>
      </c>
      <c r="U12" s="77">
        <v>0</v>
      </c>
      <c r="V12" s="77">
        <v>8</v>
      </c>
      <c r="W12" s="77"/>
      <c r="X12" s="83" t="str">
        <f>HYPERLINK("https://twitter.com/NassimRETIERE/status/1582748701843329026?s=20")</f>
        <v>https://twitter.com/NassimRETIERE/status/1582748701843329026?s=20</v>
      </c>
      <c r="Y12" s="77" t="s">
        <v>733</v>
      </c>
      <c r="Z12" s="77" t="s">
        <v>750</v>
      </c>
      <c r="AA12" s="77"/>
      <c r="AB12" s="77"/>
      <c r="AC12" s="81" t="s">
        <v>853</v>
      </c>
      <c r="AD12" s="77" t="s">
        <v>859</v>
      </c>
      <c r="AE12" s="83" t="str">
        <f>HYPERLINK("https://twitter.com/nassimretiere/status/1689989080170332160")</f>
        <v>https://twitter.com/nassimretiere/status/1689989080170332160</v>
      </c>
      <c r="AF12" s="79">
        <v>45149.552881944444</v>
      </c>
      <c r="AG12" s="85">
        <v>45149</v>
      </c>
      <c r="AH12" s="81" t="s">
        <v>876</v>
      </c>
      <c r="AI12" s="77" t="b">
        <v>0</v>
      </c>
      <c r="AJ12" s="77"/>
      <c r="AK12" s="77"/>
      <c r="AL12" s="77"/>
      <c r="AM12" s="77"/>
      <c r="AN12" s="77"/>
      <c r="AO12" s="77"/>
      <c r="AP12" s="77"/>
      <c r="AQ12" s="77"/>
      <c r="AR12" s="77"/>
      <c r="AS12" s="77"/>
      <c r="AT12" s="77"/>
      <c r="AU12" s="77"/>
      <c r="AV12" s="83" t="str">
        <f>HYPERLINK("https://pbs.twimg.com/profile_images/1673635551541428224/F1spWyZM_normal.jpg")</f>
        <v>https://pbs.twimg.com/profile_images/1673635551541428224/F1spWyZM_normal.jpg</v>
      </c>
      <c r="AW12" s="81" t="s">
        <v>1031</v>
      </c>
      <c r="AX12" s="81" t="s">
        <v>1044</v>
      </c>
      <c r="AY12" s="81" t="s">
        <v>1171</v>
      </c>
      <c r="AZ12" s="81" t="s">
        <v>1044</v>
      </c>
      <c r="BA12" s="81" t="s">
        <v>1030</v>
      </c>
      <c r="BB12" s="81" t="s">
        <v>1190</v>
      </c>
      <c r="BC12" s="81" t="s">
        <v>1044</v>
      </c>
      <c r="BD12" s="77">
        <v>466698672</v>
      </c>
      <c r="BE12" s="77"/>
      <c r="BF12" s="77"/>
      <c r="BG12" s="77"/>
      <c r="BH12" s="77"/>
      <c r="BI12" s="77"/>
      <c r="BJ12">
        <v>1</v>
      </c>
      <c r="BK12" s="76" t="str">
        <f>REPLACE(INDEX(GroupVertices[Group],MATCH(Edges[[#This Row],[Vertex 1]],GroupVertices[Vertex],0)),1,1,"")</f>
        <v>2</v>
      </c>
      <c r="BL12" s="76" t="str">
        <f>REPLACE(INDEX(GroupVertices[Group],MATCH(Edges[[#This Row],[Vertex 2]],GroupVertices[Vertex],0)),1,1,"")</f>
        <v>2</v>
      </c>
      <c r="BM12" s="45"/>
      <c r="BN12" s="46"/>
      <c r="BO12" s="45"/>
      <c r="BP12" s="46"/>
      <c r="BQ12" s="45"/>
      <c r="BR12" s="46"/>
      <c r="BS12" s="45"/>
      <c r="BT12" s="46"/>
      <c r="BU12" s="45"/>
    </row>
    <row r="13" spans="1:73" ht="15">
      <c r="A13" s="61" t="s">
        <v>226</v>
      </c>
      <c r="B13" s="61" t="s">
        <v>270</v>
      </c>
      <c r="C13" s="62" t="s">
        <v>11692</v>
      </c>
      <c r="D13" s="63">
        <v>3</v>
      </c>
      <c r="E13" s="64" t="s">
        <v>132</v>
      </c>
      <c r="F13" s="65">
        <v>32</v>
      </c>
      <c r="G13" s="62"/>
      <c r="H13" s="66"/>
      <c r="I13" s="67"/>
      <c r="J13" s="67"/>
      <c r="K13" s="31" t="s">
        <v>65</v>
      </c>
      <c r="L13" s="75">
        <v>13</v>
      </c>
      <c r="M13" s="75"/>
      <c r="N13" s="69"/>
      <c r="O13" s="77" t="s">
        <v>541</v>
      </c>
      <c r="P13" s="79">
        <v>45149.552881944444</v>
      </c>
      <c r="Q13" s="77" t="s">
        <v>549</v>
      </c>
      <c r="R13" s="77">
        <v>0</v>
      </c>
      <c r="S13" s="77">
        <v>0</v>
      </c>
      <c r="T13" s="77">
        <v>0</v>
      </c>
      <c r="U13" s="77">
        <v>0</v>
      </c>
      <c r="V13" s="77">
        <v>8</v>
      </c>
      <c r="W13" s="77"/>
      <c r="X13" s="83" t="str">
        <f>HYPERLINK("https://twitter.com/NassimRETIERE/status/1582748701843329026?s=20")</f>
        <v>https://twitter.com/NassimRETIERE/status/1582748701843329026?s=20</v>
      </c>
      <c r="Y13" s="77" t="s">
        <v>733</v>
      </c>
      <c r="Z13" s="77" t="s">
        <v>750</v>
      </c>
      <c r="AA13" s="77"/>
      <c r="AB13" s="77"/>
      <c r="AC13" s="81" t="s">
        <v>853</v>
      </c>
      <c r="AD13" s="77" t="s">
        <v>859</v>
      </c>
      <c r="AE13" s="83" t="str">
        <f>HYPERLINK("https://twitter.com/nassimretiere/status/1689989080170332160")</f>
        <v>https://twitter.com/nassimretiere/status/1689989080170332160</v>
      </c>
      <c r="AF13" s="79">
        <v>45149.552881944444</v>
      </c>
      <c r="AG13" s="85">
        <v>45149</v>
      </c>
      <c r="AH13" s="81" t="s">
        <v>876</v>
      </c>
      <c r="AI13" s="77" t="b">
        <v>0</v>
      </c>
      <c r="AJ13" s="77"/>
      <c r="AK13" s="77"/>
      <c r="AL13" s="77"/>
      <c r="AM13" s="77"/>
      <c r="AN13" s="77"/>
      <c r="AO13" s="77"/>
      <c r="AP13" s="77"/>
      <c r="AQ13" s="77"/>
      <c r="AR13" s="77"/>
      <c r="AS13" s="77"/>
      <c r="AT13" s="77"/>
      <c r="AU13" s="77"/>
      <c r="AV13" s="83" t="str">
        <f>HYPERLINK("https://pbs.twimg.com/profile_images/1673635551541428224/F1spWyZM_normal.jpg")</f>
        <v>https://pbs.twimg.com/profile_images/1673635551541428224/F1spWyZM_normal.jpg</v>
      </c>
      <c r="AW13" s="81" t="s">
        <v>1031</v>
      </c>
      <c r="AX13" s="81" t="s">
        <v>1044</v>
      </c>
      <c r="AY13" s="81" t="s">
        <v>1171</v>
      </c>
      <c r="AZ13" s="81" t="s">
        <v>1044</v>
      </c>
      <c r="BA13" s="81" t="s">
        <v>1030</v>
      </c>
      <c r="BB13" s="81" t="s">
        <v>1190</v>
      </c>
      <c r="BC13" s="81" t="s">
        <v>1044</v>
      </c>
      <c r="BD13" s="77">
        <v>466698672</v>
      </c>
      <c r="BE13" s="77"/>
      <c r="BF13" s="77"/>
      <c r="BG13" s="77"/>
      <c r="BH13" s="77"/>
      <c r="BI13" s="77"/>
      <c r="BJ13">
        <v>1</v>
      </c>
      <c r="BK13" s="76" t="str">
        <f>REPLACE(INDEX(GroupVertices[Group],MATCH(Edges[[#This Row],[Vertex 1]],GroupVertices[Vertex],0)),1,1,"")</f>
        <v>2</v>
      </c>
      <c r="BL13" s="76" t="str">
        <f>REPLACE(INDEX(GroupVertices[Group],MATCH(Edges[[#This Row],[Vertex 2]],GroupVertices[Vertex],0)),1,1,"")</f>
        <v>2</v>
      </c>
      <c r="BM13" s="45"/>
      <c r="BN13" s="46"/>
      <c r="BO13" s="45"/>
      <c r="BP13" s="46"/>
      <c r="BQ13" s="45"/>
      <c r="BR13" s="46"/>
      <c r="BS13" s="45"/>
      <c r="BT13" s="46"/>
      <c r="BU13" s="45"/>
    </row>
    <row r="14" spans="1:73" ht="15">
      <c r="A14" s="61" t="s">
        <v>226</v>
      </c>
      <c r="B14" s="61" t="s">
        <v>271</v>
      </c>
      <c r="C14" s="62" t="s">
        <v>11692</v>
      </c>
      <c r="D14" s="63">
        <v>3</v>
      </c>
      <c r="E14" s="64" t="s">
        <v>132</v>
      </c>
      <c r="F14" s="65">
        <v>32</v>
      </c>
      <c r="G14" s="62"/>
      <c r="H14" s="66"/>
      <c r="I14" s="67"/>
      <c r="J14" s="67"/>
      <c r="K14" s="31" t="s">
        <v>65</v>
      </c>
      <c r="L14" s="75">
        <v>14</v>
      </c>
      <c r="M14" s="75"/>
      <c r="N14" s="69"/>
      <c r="O14" s="77" t="s">
        <v>541</v>
      </c>
      <c r="P14" s="79">
        <v>45149.552881944444</v>
      </c>
      <c r="Q14" s="77" t="s">
        <v>549</v>
      </c>
      <c r="R14" s="77">
        <v>0</v>
      </c>
      <c r="S14" s="77">
        <v>0</v>
      </c>
      <c r="T14" s="77">
        <v>0</v>
      </c>
      <c r="U14" s="77">
        <v>0</v>
      </c>
      <c r="V14" s="77">
        <v>8</v>
      </c>
      <c r="W14" s="77"/>
      <c r="X14" s="83" t="str">
        <f>HYPERLINK("https://twitter.com/NassimRETIERE/status/1582748701843329026?s=20")</f>
        <v>https://twitter.com/NassimRETIERE/status/1582748701843329026?s=20</v>
      </c>
      <c r="Y14" s="77" t="s">
        <v>733</v>
      </c>
      <c r="Z14" s="77" t="s">
        <v>750</v>
      </c>
      <c r="AA14" s="77"/>
      <c r="AB14" s="77"/>
      <c r="AC14" s="81" t="s">
        <v>853</v>
      </c>
      <c r="AD14" s="77" t="s">
        <v>859</v>
      </c>
      <c r="AE14" s="83" t="str">
        <f>HYPERLINK("https://twitter.com/nassimretiere/status/1689989080170332160")</f>
        <v>https://twitter.com/nassimretiere/status/1689989080170332160</v>
      </c>
      <c r="AF14" s="79">
        <v>45149.552881944444</v>
      </c>
      <c r="AG14" s="85">
        <v>45149</v>
      </c>
      <c r="AH14" s="81" t="s">
        <v>876</v>
      </c>
      <c r="AI14" s="77" t="b">
        <v>0</v>
      </c>
      <c r="AJ14" s="77"/>
      <c r="AK14" s="77"/>
      <c r="AL14" s="77"/>
      <c r="AM14" s="77"/>
      <c r="AN14" s="77"/>
      <c r="AO14" s="77"/>
      <c r="AP14" s="77"/>
      <c r="AQ14" s="77"/>
      <c r="AR14" s="77"/>
      <c r="AS14" s="77"/>
      <c r="AT14" s="77"/>
      <c r="AU14" s="77"/>
      <c r="AV14" s="83" t="str">
        <f>HYPERLINK("https://pbs.twimg.com/profile_images/1673635551541428224/F1spWyZM_normal.jpg")</f>
        <v>https://pbs.twimg.com/profile_images/1673635551541428224/F1spWyZM_normal.jpg</v>
      </c>
      <c r="AW14" s="81" t="s">
        <v>1031</v>
      </c>
      <c r="AX14" s="81" t="s">
        <v>1044</v>
      </c>
      <c r="AY14" s="81" t="s">
        <v>1171</v>
      </c>
      <c r="AZ14" s="81" t="s">
        <v>1044</v>
      </c>
      <c r="BA14" s="81" t="s">
        <v>1030</v>
      </c>
      <c r="BB14" s="81" t="s">
        <v>1190</v>
      </c>
      <c r="BC14" s="81" t="s">
        <v>1044</v>
      </c>
      <c r="BD14" s="77">
        <v>466698672</v>
      </c>
      <c r="BE14" s="77"/>
      <c r="BF14" s="77"/>
      <c r="BG14" s="77"/>
      <c r="BH14" s="77"/>
      <c r="BI14" s="77"/>
      <c r="BJ14">
        <v>1</v>
      </c>
      <c r="BK14" s="76" t="str">
        <f>REPLACE(INDEX(GroupVertices[Group],MATCH(Edges[[#This Row],[Vertex 1]],GroupVertices[Vertex],0)),1,1,"")</f>
        <v>2</v>
      </c>
      <c r="BL14" s="76" t="str">
        <f>REPLACE(INDEX(GroupVertices[Group],MATCH(Edges[[#This Row],[Vertex 2]],GroupVertices[Vertex],0)),1,1,"")</f>
        <v>2</v>
      </c>
      <c r="BM14" s="45"/>
      <c r="BN14" s="46"/>
      <c r="BO14" s="45"/>
      <c r="BP14" s="46"/>
      <c r="BQ14" s="45"/>
      <c r="BR14" s="46"/>
      <c r="BS14" s="45"/>
      <c r="BT14" s="46"/>
      <c r="BU14" s="45"/>
    </row>
    <row r="15" spans="1:73" ht="15">
      <c r="A15" s="61" t="s">
        <v>226</v>
      </c>
      <c r="B15" s="61" t="s">
        <v>272</v>
      </c>
      <c r="C15" s="62" t="s">
        <v>11692</v>
      </c>
      <c r="D15" s="63">
        <v>3</v>
      </c>
      <c r="E15" s="64" t="s">
        <v>132</v>
      </c>
      <c r="F15" s="65">
        <v>32</v>
      </c>
      <c r="G15" s="62"/>
      <c r="H15" s="66"/>
      <c r="I15" s="67"/>
      <c r="J15" s="67"/>
      <c r="K15" s="31" t="s">
        <v>65</v>
      </c>
      <c r="L15" s="75">
        <v>15</v>
      </c>
      <c r="M15" s="75"/>
      <c r="N15" s="69"/>
      <c r="O15" s="77" t="s">
        <v>541</v>
      </c>
      <c r="P15" s="79">
        <v>45149.552881944444</v>
      </c>
      <c r="Q15" s="77" t="s">
        <v>549</v>
      </c>
      <c r="R15" s="77">
        <v>0</v>
      </c>
      <c r="S15" s="77">
        <v>0</v>
      </c>
      <c r="T15" s="77">
        <v>0</v>
      </c>
      <c r="U15" s="77">
        <v>0</v>
      </c>
      <c r="V15" s="77">
        <v>8</v>
      </c>
      <c r="W15" s="77"/>
      <c r="X15" s="83" t="str">
        <f>HYPERLINK("https://twitter.com/NassimRETIERE/status/1582748701843329026?s=20")</f>
        <v>https://twitter.com/NassimRETIERE/status/1582748701843329026?s=20</v>
      </c>
      <c r="Y15" s="77" t="s">
        <v>733</v>
      </c>
      <c r="Z15" s="77" t="s">
        <v>750</v>
      </c>
      <c r="AA15" s="77"/>
      <c r="AB15" s="77"/>
      <c r="AC15" s="81" t="s">
        <v>853</v>
      </c>
      <c r="AD15" s="77" t="s">
        <v>859</v>
      </c>
      <c r="AE15" s="83" t="str">
        <f>HYPERLINK("https://twitter.com/nassimretiere/status/1689989080170332160")</f>
        <v>https://twitter.com/nassimretiere/status/1689989080170332160</v>
      </c>
      <c r="AF15" s="79">
        <v>45149.552881944444</v>
      </c>
      <c r="AG15" s="85">
        <v>45149</v>
      </c>
      <c r="AH15" s="81" t="s">
        <v>876</v>
      </c>
      <c r="AI15" s="77" t="b">
        <v>0</v>
      </c>
      <c r="AJ15" s="77"/>
      <c r="AK15" s="77"/>
      <c r="AL15" s="77"/>
      <c r="AM15" s="77"/>
      <c r="AN15" s="77"/>
      <c r="AO15" s="77"/>
      <c r="AP15" s="77"/>
      <c r="AQ15" s="77"/>
      <c r="AR15" s="77"/>
      <c r="AS15" s="77"/>
      <c r="AT15" s="77"/>
      <c r="AU15" s="77"/>
      <c r="AV15" s="83" t="str">
        <f>HYPERLINK("https://pbs.twimg.com/profile_images/1673635551541428224/F1spWyZM_normal.jpg")</f>
        <v>https://pbs.twimg.com/profile_images/1673635551541428224/F1spWyZM_normal.jpg</v>
      </c>
      <c r="AW15" s="81" t="s">
        <v>1031</v>
      </c>
      <c r="AX15" s="81" t="s">
        <v>1044</v>
      </c>
      <c r="AY15" s="81" t="s">
        <v>1171</v>
      </c>
      <c r="AZ15" s="81" t="s">
        <v>1044</v>
      </c>
      <c r="BA15" s="81" t="s">
        <v>1030</v>
      </c>
      <c r="BB15" s="81" t="s">
        <v>1190</v>
      </c>
      <c r="BC15" s="81" t="s">
        <v>1044</v>
      </c>
      <c r="BD15" s="77">
        <v>466698672</v>
      </c>
      <c r="BE15" s="77"/>
      <c r="BF15" s="77"/>
      <c r="BG15" s="77"/>
      <c r="BH15" s="77"/>
      <c r="BI15" s="77"/>
      <c r="BJ15">
        <v>1</v>
      </c>
      <c r="BK15" s="76" t="str">
        <f>REPLACE(INDEX(GroupVertices[Group],MATCH(Edges[[#This Row],[Vertex 1]],GroupVertices[Vertex],0)),1,1,"")</f>
        <v>2</v>
      </c>
      <c r="BL15" s="76" t="str">
        <f>REPLACE(INDEX(GroupVertices[Group],MATCH(Edges[[#This Row],[Vertex 2]],GroupVertices[Vertex],0)),1,1,"")</f>
        <v>2</v>
      </c>
      <c r="BM15" s="45"/>
      <c r="BN15" s="46"/>
      <c r="BO15" s="45"/>
      <c r="BP15" s="46"/>
      <c r="BQ15" s="45"/>
      <c r="BR15" s="46"/>
      <c r="BS15" s="45"/>
      <c r="BT15" s="46"/>
      <c r="BU15" s="45"/>
    </row>
    <row r="16" spans="1:73" ht="15">
      <c r="A16" s="61" t="s">
        <v>226</v>
      </c>
      <c r="B16" s="61" t="s">
        <v>273</v>
      </c>
      <c r="C16" s="62" t="s">
        <v>11692</v>
      </c>
      <c r="D16" s="63">
        <v>3</v>
      </c>
      <c r="E16" s="64" t="s">
        <v>132</v>
      </c>
      <c r="F16" s="65">
        <v>32</v>
      </c>
      <c r="G16" s="62"/>
      <c r="H16" s="66"/>
      <c r="I16" s="67"/>
      <c r="J16" s="67"/>
      <c r="K16" s="31" t="s">
        <v>65</v>
      </c>
      <c r="L16" s="75">
        <v>16</v>
      </c>
      <c r="M16" s="75"/>
      <c r="N16" s="69"/>
      <c r="O16" s="77" t="s">
        <v>541</v>
      </c>
      <c r="P16" s="79">
        <v>45149.552881944444</v>
      </c>
      <c r="Q16" s="77" t="s">
        <v>549</v>
      </c>
      <c r="R16" s="77">
        <v>0</v>
      </c>
      <c r="S16" s="77">
        <v>0</v>
      </c>
      <c r="T16" s="77">
        <v>0</v>
      </c>
      <c r="U16" s="77">
        <v>0</v>
      </c>
      <c r="V16" s="77">
        <v>8</v>
      </c>
      <c r="W16" s="77"/>
      <c r="X16" s="83" t="str">
        <f>HYPERLINK("https://twitter.com/NassimRETIERE/status/1582748701843329026?s=20")</f>
        <v>https://twitter.com/NassimRETIERE/status/1582748701843329026?s=20</v>
      </c>
      <c r="Y16" s="77" t="s">
        <v>733</v>
      </c>
      <c r="Z16" s="77" t="s">
        <v>750</v>
      </c>
      <c r="AA16" s="77"/>
      <c r="AB16" s="77"/>
      <c r="AC16" s="81" t="s">
        <v>853</v>
      </c>
      <c r="AD16" s="77" t="s">
        <v>859</v>
      </c>
      <c r="AE16" s="83" t="str">
        <f>HYPERLINK("https://twitter.com/nassimretiere/status/1689989080170332160")</f>
        <v>https://twitter.com/nassimretiere/status/1689989080170332160</v>
      </c>
      <c r="AF16" s="79">
        <v>45149.552881944444</v>
      </c>
      <c r="AG16" s="85">
        <v>45149</v>
      </c>
      <c r="AH16" s="81" t="s">
        <v>876</v>
      </c>
      <c r="AI16" s="77" t="b">
        <v>0</v>
      </c>
      <c r="AJ16" s="77"/>
      <c r="AK16" s="77"/>
      <c r="AL16" s="77"/>
      <c r="AM16" s="77"/>
      <c r="AN16" s="77"/>
      <c r="AO16" s="77"/>
      <c r="AP16" s="77"/>
      <c r="AQ16" s="77"/>
      <c r="AR16" s="77"/>
      <c r="AS16" s="77"/>
      <c r="AT16" s="77"/>
      <c r="AU16" s="77"/>
      <c r="AV16" s="83" t="str">
        <f>HYPERLINK("https://pbs.twimg.com/profile_images/1673635551541428224/F1spWyZM_normal.jpg")</f>
        <v>https://pbs.twimg.com/profile_images/1673635551541428224/F1spWyZM_normal.jpg</v>
      </c>
      <c r="AW16" s="81" t="s">
        <v>1031</v>
      </c>
      <c r="AX16" s="81" t="s">
        <v>1044</v>
      </c>
      <c r="AY16" s="81" t="s">
        <v>1171</v>
      </c>
      <c r="AZ16" s="81" t="s">
        <v>1044</v>
      </c>
      <c r="BA16" s="81" t="s">
        <v>1030</v>
      </c>
      <c r="BB16" s="81" t="s">
        <v>1190</v>
      </c>
      <c r="BC16" s="81" t="s">
        <v>1044</v>
      </c>
      <c r="BD16" s="77">
        <v>466698672</v>
      </c>
      <c r="BE16" s="77"/>
      <c r="BF16" s="77"/>
      <c r="BG16" s="77"/>
      <c r="BH16" s="77"/>
      <c r="BI16" s="77"/>
      <c r="BJ16">
        <v>1</v>
      </c>
      <c r="BK16" s="76" t="str">
        <f>REPLACE(INDEX(GroupVertices[Group],MATCH(Edges[[#This Row],[Vertex 1]],GroupVertices[Vertex],0)),1,1,"")</f>
        <v>2</v>
      </c>
      <c r="BL16" s="76" t="str">
        <f>REPLACE(INDEX(GroupVertices[Group],MATCH(Edges[[#This Row],[Vertex 2]],GroupVertices[Vertex],0)),1,1,"")</f>
        <v>2</v>
      </c>
      <c r="BM16" s="45"/>
      <c r="BN16" s="46"/>
      <c r="BO16" s="45"/>
      <c r="BP16" s="46"/>
      <c r="BQ16" s="45"/>
      <c r="BR16" s="46"/>
      <c r="BS16" s="45"/>
      <c r="BT16" s="46"/>
      <c r="BU16" s="45"/>
    </row>
    <row r="17" spans="1:73" ht="15">
      <c r="A17" s="61" t="s">
        <v>226</v>
      </c>
      <c r="B17" s="61" t="s">
        <v>234</v>
      </c>
      <c r="C17" s="62" t="s">
        <v>11692</v>
      </c>
      <c r="D17" s="63">
        <v>3</v>
      </c>
      <c r="E17" s="64" t="s">
        <v>132</v>
      </c>
      <c r="F17" s="65">
        <v>32</v>
      </c>
      <c r="G17" s="62"/>
      <c r="H17" s="66"/>
      <c r="I17" s="67"/>
      <c r="J17" s="67"/>
      <c r="K17" s="31" t="s">
        <v>65</v>
      </c>
      <c r="L17" s="75">
        <v>17</v>
      </c>
      <c r="M17" s="75"/>
      <c r="N17" s="69"/>
      <c r="O17" s="77" t="s">
        <v>541</v>
      </c>
      <c r="P17" s="79">
        <v>45149.552881944444</v>
      </c>
      <c r="Q17" s="77" t="s">
        <v>549</v>
      </c>
      <c r="R17" s="77">
        <v>0</v>
      </c>
      <c r="S17" s="77">
        <v>0</v>
      </c>
      <c r="T17" s="77">
        <v>0</v>
      </c>
      <c r="U17" s="77">
        <v>0</v>
      </c>
      <c r="V17" s="77">
        <v>8</v>
      </c>
      <c r="W17" s="77"/>
      <c r="X17" s="83" t="str">
        <f>HYPERLINK("https://twitter.com/NassimRETIERE/status/1582748701843329026?s=20")</f>
        <v>https://twitter.com/NassimRETIERE/status/1582748701843329026?s=20</v>
      </c>
      <c r="Y17" s="77" t="s">
        <v>733</v>
      </c>
      <c r="Z17" s="77" t="s">
        <v>750</v>
      </c>
      <c r="AA17" s="77"/>
      <c r="AB17" s="77"/>
      <c r="AC17" s="81" t="s">
        <v>853</v>
      </c>
      <c r="AD17" s="77" t="s">
        <v>859</v>
      </c>
      <c r="AE17" s="83" t="str">
        <f>HYPERLINK("https://twitter.com/nassimretiere/status/1689989080170332160")</f>
        <v>https://twitter.com/nassimretiere/status/1689989080170332160</v>
      </c>
      <c r="AF17" s="79">
        <v>45149.552881944444</v>
      </c>
      <c r="AG17" s="85">
        <v>45149</v>
      </c>
      <c r="AH17" s="81" t="s">
        <v>876</v>
      </c>
      <c r="AI17" s="77" t="b">
        <v>0</v>
      </c>
      <c r="AJ17" s="77"/>
      <c r="AK17" s="77"/>
      <c r="AL17" s="77"/>
      <c r="AM17" s="77"/>
      <c r="AN17" s="77"/>
      <c r="AO17" s="77"/>
      <c r="AP17" s="77"/>
      <c r="AQ17" s="77"/>
      <c r="AR17" s="77"/>
      <c r="AS17" s="77"/>
      <c r="AT17" s="77"/>
      <c r="AU17" s="77"/>
      <c r="AV17" s="83" t="str">
        <f>HYPERLINK("https://pbs.twimg.com/profile_images/1673635551541428224/F1spWyZM_normal.jpg")</f>
        <v>https://pbs.twimg.com/profile_images/1673635551541428224/F1spWyZM_normal.jpg</v>
      </c>
      <c r="AW17" s="81" t="s">
        <v>1031</v>
      </c>
      <c r="AX17" s="81" t="s">
        <v>1044</v>
      </c>
      <c r="AY17" s="81" t="s">
        <v>1171</v>
      </c>
      <c r="AZ17" s="81" t="s">
        <v>1044</v>
      </c>
      <c r="BA17" s="81" t="s">
        <v>1030</v>
      </c>
      <c r="BB17" s="81" t="s">
        <v>1190</v>
      </c>
      <c r="BC17" s="81" t="s">
        <v>1044</v>
      </c>
      <c r="BD17" s="77">
        <v>466698672</v>
      </c>
      <c r="BE17" s="77"/>
      <c r="BF17" s="77"/>
      <c r="BG17" s="77"/>
      <c r="BH17" s="77"/>
      <c r="BI17" s="77"/>
      <c r="BJ17">
        <v>1</v>
      </c>
      <c r="BK17" s="76" t="str">
        <f>REPLACE(INDEX(GroupVertices[Group],MATCH(Edges[[#This Row],[Vertex 1]],GroupVertices[Vertex],0)),1,1,"")</f>
        <v>2</v>
      </c>
      <c r="BL17" s="76" t="str">
        <f>REPLACE(INDEX(GroupVertices[Group],MATCH(Edges[[#This Row],[Vertex 2]],GroupVertices[Vertex],0)),1,1,"")</f>
        <v>2</v>
      </c>
      <c r="BM17" s="45"/>
      <c r="BN17" s="46"/>
      <c r="BO17" s="45"/>
      <c r="BP17" s="46"/>
      <c r="BQ17" s="45"/>
      <c r="BR17" s="46"/>
      <c r="BS17" s="45"/>
      <c r="BT17" s="46"/>
      <c r="BU17" s="45"/>
    </row>
    <row r="18" spans="1:73" ht="15">
      <c r="A18" s="61" t="s">
        <v>226</v>
      </c>
      <c r="B18" s="61" t="s">
        <v>228</v>
      </c>
      <c r="C18" s="62" t="s">
        <v>11692</v>
      </c>
      <c r="D18" s="63">
        <v>3</v>
      </c>
      <c r="E18" s="64" t="s">
        <v>132</v>
      </c>
      <c r="F18" s="65">
        <v>32</v>
      </c>
      <c r="G18" s="62"/>
      <c r="H18" s="66"/>
      <c r="I18" s="67"/>
      <c r="J18" s="67"/>
      <c r="K18" s="31" t="s">
        <v>65</v>
      </c>
      <c r="L18" s="75">
        <v>18</v>
      </c>
      <c r="M18" s="75"/>
      <c r="N18" s="69"/>
      <c r="O18" s="77" t="s">
        <v>541</v>
      </c>
      <c r="P18" s="79">
        <v>45149.552881944444</v>
      </c>
      <c r="Q18" s="77" t="s">
        <v>549</v>
      </c>
      <c r="R18" s="77">
        <v>0</v>
      </c>
      <c r="S18" s="77">
        <v>0</v>
      </c>
      <c r="T18" s="77">
        <v>0</v>
      </c>
      <c r="U18" s="77">
        <v>0</v>
      </c>
      <c r="V18" s="77">
        <v>8</v>
      </c>
      <c r="W18" s="77"/>
      <c r="X18" s="83" t="str">
        <f>HYPERLINK("https://twitter.com/NassimRETIERE/status/1582748701843329026?s=20")</f>
        <v>https://twitter.com/NassimRETIERE/status/1582748701843329026?s=20</v>
      </c>
      <c r="Y18" s="77" t="s">
        <v>733</v>
      </c>
      <c r="Z18" s="77" t="s">
        <v>750</v>
      </c>
      <c r="AA18" s="77"/>
      <c r="AB18" s="77"/>
      <c r="AC18" s="81" t="s">
        <v>853</v>
      </c>
      <c r="AD18" s="77" t="s">
        <v>859</v>
      </c>
      <c r="AE18" s="83" t="str">
        <f>HYPERLINK("https://twitter.com/nassimretiere/status/1689989080170332160")</f>
        <v>https://twitter.com/nassimretiere/status/1689989080170332160</v>
      </c>
      <c r="AF18" s="79">
        <v>45149.552881944444</v>
      </c>
      <c r="AG18" s="85">
        <v>45149</v>
      </c>
      <c r="AH18" s="81" t="s">
        <v>876</v>
      </c>
      <c r="AI18" s="77" t="b">
        <v>0</v>
      </c>
      <c r="AJ18" s="77"/>
      <c r="AK18" s="77"/>
      <c r="AL18" s="77"/>
      <c r="AM18" s="77"/>
      <c r="AN18" s="77"/>
      <c r="AO18" s="77"/>
      <c r="AP18" s="77"/>
      <c r="AQ18" s="77"/>
      <c r="AR18" s="77"/>
      <c r="AS18" s="77"/>
      <c r="AT18" s="77"/>
      <c r="AU18" s="77"/>
      <c r="AV18" s="83" t="str">
        <f>HYPERLINK("https://pbs.twimg.com/profile_images/1673635551541428224/F1spWyZM_normal.jpg")</f>
        <v>https://pbs.twimg.com/profile_images/1673635551541428224/F1spWyZM_normal.jpg</v>
      </c>
      <c r="AW18" s="81" t="s">
        <v>1031</v>
      </c>
      <c r="AX18" s="81" t="s">
        <v>1044</v>
      </c>
      <c r="AY18" s="81" t="s">
        <v>1171</v>
      </c>
      <c r="AZ18" s="81" t="s">
        <v>1044</v>
      </c>
      <c r="BA18" s="81" t="s">
        <v>1030</v>
      </c>
      <c r="BB18" s="81" t="s">
        <v>1190</v>
      </c>
      <c r="BC18" s="81" t="s">
        <v>1044</v>
      </c>
      <c r="BD18" s="77">
        <v>466698672</v>
      </c>
      <c r="BE18" s="77"/>
      <c r="BF18" s="77"/>
      <c r="BG18" s="77"/>
      <c r="BH18" s="77"/>
      <c r="BI18" s="77"/>
      <c r="BJ18">
        <v>1</v>
      </c>
      <c r="BK18" s="76" t="str">
        <f>REPLACE(INDEX(GroupVertices[Group],MATCH(Edges[[#This Row],[Vertex 1]],GroupVertices[Vertex],0)),1,1,"")</f>
        <v>2</v>
      </c>
      <c r="BL18" s="76" t="str">
        <f>REPLACE(INDEX(GroupVertices[Group],MATCH(Edges[[#This Row],[Vertex 2]],GroupVertices[Vertex],0)),1,1,"")</f>
        <v>2</v>
      </c>
      <c r="BM18" s="45"/>
      <c r="BN18" s="46"/>
      <c r="BO18" s="45"/>
      <c r="BP18" s="46"/>
      <c r="BQ18" s="45"/>
      <c r="BR18" s="46"/>
      <c r="BS18" s="45"/>
      <c r="BT18" s="46"/>
      <c r="BU18" s="45"/>
    </row>
    <row r="19" spans="1:73" ht="15">
      <c r="A19" s="61" t="s">
        <v>226</v>
      </c>
      <c r="B19" s="61" t="s">
        <v>226</v>
      </c>
      <c r="C19" s="62" t="s">
        <v>11692</v>
      </c>
      <c r="D19" s="63">
        <v>3</v>
      </c>
      <c r="E19" s="64" t="s">
        <v>132</v>
      </c>
      <c r="F19" s="65">
        <v>32</v>
      </c>
      <c r="G19" s="62"/>
      <c r="H19" s="66"/>
      <c r="I19" s="67"/>
      <c r="J19" s="67"/>
      <c r="K19" s="31" t="s">
        <v>65</v>
      </c>
      <c r="L19" s="75">
        <v>19</v>
      </c>
      <c r="M19" s="75"/>
      <c r="N19" s="69"/>
      <c r="O19" s="77" t="s">
        <v>542</v>
      </c>
      <c r="P19" s="79">
        <v>45149.552881944444</v>
      </c>
      <c r="Q19" s="77" t="s">
        <v>549</v>
      </c>
      <c r="R19" s="77">
        <v>0</v>
      </c>
      <c r="S19" s="77">
        <v>0</v>
      </c>
      <c r="T19" s="77">
        <v>0</v>
      </c>
      <c r="U19" s="77">
        <v>0</v>
      </c>
      <c r="V19" s="77">
        <v>8</v>
      </c>
      <c r="W19" s="77"/>
      <c r="X19" s="83" t="str">
        <f>HYPERLINK("https://twitter.com/NassimRETIERE/status/1582748701843329026?s=20")</f>
        <v>https://twitter.com/NassimRETIERE/status/1582748701843329026?s=20</v>
      </c>
      <c r="Y19" s="77" t="s">
        <v>733</v>
      </c>
      <c r="Z19" s="77" t="s">
        <v>750</v>
      </c>
      <c r="AA19" s="77"/>
      <c r="AB19" s="77"/>
      <c r="AC19" s="81" t="s">
        <v>853</v>
      </c>
      <c r="AD19" s="77" t="s">
        <v>859</v>
      </c>
      <c r="AE19" s="83" t="str">
        <f>HYPERLINK("https://twitter.com/nassimretiere/status/1689989080170332160")</f>
        <v>https://twitter.com/nassimretiere/status/1689989080170332160</v>
      </c>
      <c r="AF19" s="79">
        <v>45149.552881944444</v>
      </c>
      <c r="AG19" s="85">
        <v>45149</v>
      </c>
      <c r="AH19" s="81" t="s">
        <v>876</v>
      </c>
      <c r="AI19" s="77" t="b">
        <v>0</v>
      </c>
      <c r="AJ19" s="77"/>
      <c r="AK19" s="77"/>
      <c r="AL19" s="77"/>
      <c r="AM19" s="77"/>
      <c r="AN19" s="77"/>
      <c r="AO19" s="77"/>
      <c r="AP19" s="77"/>
      <c r="AQ19" s="77"/>
      <c r="AR19" s="77"/>
      <c r="AS19" s="77"/>
      <c r="AT19" s="77"/>
      <c r="AU19" s="77"/>
      <c r="AV19" s="83" t="str">
        <f>HYPERLINK("https://pbs.twimg.com/profile_images/1673635551541428224/F1spWyZM_normal.jpg")</f>
        <v>https://pbs.twimg.com/profile_images/1673635551541428224/F1spWyZM_normal.jpg</v>
      </c>
      <c r="AW19" s="81" t="s">
        <v>1031</v>
      </c>
      <c r="AX19" s="81" t="s">
        <v>1044</v>
      </c>
      <c r="AY19" s="81" t="s">
        <v>1171</v>
      </c>
      <c r="AZ19" s="81" t="s">
        <v>1044</v>
      </c>
      <c r="BA19" s="81" t="s">
        <v>1030</v>
      </c>
      <c r="BB19" s="81" t="s">
        <v>1190</v>
      </c>
      <c r="BC19" s="81" t="s">
        <v>1044</v>
      </c>
      <c r="BD19" s="77">
        <v>466698672</v>
      </c>
      <c r="BE19" s="77"/>
      <c r="BF19" s="77"/>
      <c r="BG19" s="77"/>
      <c r="BH19" s="77"/>
      <c r="BI19" s="77"/>
      <c r="BJ19">
        <v>1</v>
      </c>
      <c r="BK19" s="76" t="str">
        <f>REPLACE(INDEX(GroupVertices[Group],MATCH(Edges[[#This Row],[Vertex 1]],GroupVertices[Vertex],0)),1,1,"")</f>
        <v>2</v>
      </c>
      <c r="BL19" s="76" t="str">
        <f>REPLACE(INDEX(GroupVertices[Group],MATCH(Edges[[#This Row],[Vertex 2]],GroupVertices[Vertex],0)),1,1,"")</f>
        <v>2</v>
      </c>
      <c r="BM19" s="45"/>
      <c r="BN19" s="46"/>
      <c r="BO19" s="45"/>
      <c r="BP19" s="46"/>
      <c r="BQ19" s="45"/>
      <c r="BR19" s="46"/>
      <c r="BS19" s="45"/>
      <c r="BT19" s="46"/>
      <c r="BU19" s="45"/>
    </row>
    <row r="20" spans="1:73" ht="15">
      <c r="A20" s="61" t="s">
        <v>226</v>
      </c>
      <c r="B20" s="61" t="s">
        <v>228</v>
      </c>
      <c r="C20" s="62" t="s">
        <v>11692</v>
      </c>
      <c r="D20" s="63">
        <v>3</v>
      </c>
      <c r="E20" s="64" t="s">
        <v>132</v>
      </c>
      <c r="F20" s="65">
        <v>32</v>
      </c>
      <c r="G20" s="62"/>
      <c r="H20" s="66"/>
      <c r="I20" s="67"/>
      <c r="J20" s="67"/>
      <c r="K20" s="31" t="s">
        <v>65</v>
      </c>
      <c r="L20" s="75">
        <v>20</v>
      </c>
      <c r="M20" s="75"/>
      <c r="N20" s="69"/>
      <c r="O20" s="77" t="s">
        <v>540</v>
      </c>
      <c r="P20" s="79">
        <v>45149.552881944444</v>
      </c>
      <c r="Q20" s="77" t="s">
        <v>549</v>
      </c>
      <c r="R20" s="77">
        <v>0</v>
      </c>
      <c r="S20" s="77">
        <v>0</v>
      </c>
      <c r="T20" s="77">
        <v>0</v>
      </c>
      <c r="U20" s="77">
        <v>0</v>
      </c>
      <c r="V20" s="77">
        <v>8</v>
      </c>
      <c r="W20" s="77"/>
      <c r="X20" s="83" t="str">
        <f>HYPERLINK("https://twitter.com/NassimRETIERE/status/1582748701843329026?s=20")</f>
        <v>https://twitter.com/NassimRETIERE/status/1582748701843329026?s=20</v>
      </c>
      <c r="Y20" s="77" t="s">
        <v>733</v>
      </c>
      <c r="Z20" s="77" t="s">
        <v>750</v>
      </c>
      <c r="AA20" s="77"/>
      <c r="AB20" s="77"/>
      <c r="AC20" s="81" t="s">
        <v>853</v>
      </c>
      <c r="AD20" s="77" t="s">
        <v>859</v>
      </c>
      <c r="AE20" s="83" t="str">
        <f>HYPERLINK("https://twitter.com/nassimretiere/status/1689989080170332160")</f>
        <v>https://twitter.com/nassimretiere/status/1689989080170332160</v>
      </c>
      <c r="AF20" s="79">
        <v>45149.552881944444</v>
      </c>
      <c r="AG20" s="85">
        <v>45149</v>
      </c>
      <c r="AH20" s="81" t="s">
        <v>876</v>
      </c>
      <c r="AI20" s="77" t="b">
        <v>0</v>
      </c>
      <c r="AJ20" s="77"/>
      <c r="AK20" s="77"/>
      <c r="AL20" s="77"/>
      <c r="AM20" s="77"/>
      <c r="AN20" s="77"/>
      <c r="AO20" s="77"/>
      <c r="AP20" s="77"/>
      <c r="AQ20" s="77"/>
      <c r="AR20" s="77"/>
      <c r="AS20" s="77"/>
      <c r="AT20" s="77"/>
      <c r="AU20" s="77"/>
      <c r="AV20" s="83" t="str">
        <f>HYPERLINK("https://pbs.twimg.com/profile_images/1673635551541428224/F1spWyZM_normal.jpg")</f>
        <v>https://pbs.twimg.com/profile_images/1673635551541428224/F1spWyZM_normal.jpg</v>
      </c>
      <c r="AW20" s="81" t="s">
        <v>1031</v>
      </c>
      <c r="AX20" s="81" t="s">
        <v>1044</v>
      </c>
      <c r="AY20" s="81" t="s">
        <v>1171</v>
      </c>
      <c r="AZ20" s="81" t="s">
        <v>1044</v>
      </c>
      <c r="BA20" s="81" t="s">
        <v>1030</v>
      </c>
      <c r="BB20" s="81" t="s">
        <v>1190</v>
      </c>
      <c r="BC20" s="81" t="s">
        <v>1044</v>
      </c>
      <c r="BD20" s="77">
        <v>466698672</v>
      </c>
      <c r="BE20" s="77"/>
      <c r="BF20" s="77"/>
      <c r="BG20" s="77"/>
      <c r="BH20" s="77"/>
      <c r="BI20" s="77"/>
      <c r="BJ20">
        <v>1</v>
      </c>
      <c r="BK20" s="76" t="str">
        <f>REPLACE(INDEX(GroupVertices[Group],MATCH(Edges[[#This Row],[Vertex 1]],GroupVertices[Vertex],0)),1,1,"")</f>
        <v>2</v>
      </c>
      <c r="BL20" s="76" t="str">
        <f>REPLACE(INDEX(GroupVertices[Group],MATCH(Edges[[#This Row],[Vertex 2]],GroupVertices[Vertex],0)),1,1,"")</f>
        <v>2</v>
      </c>
      <c r="BM20" s="45">
        <v>1</v>
      </c>
      <c r="BN20" s="46">
        <v>5.882352941176471</v>
      </c>
      <c r="BO20" s="45">
        <v>0</v>
      </c>
      <c r="BP20" s="46">
        <v>0</v>
      </c>
      <c r="BQ20" s="45">
        <v>0</v>
      </c>
      <c r="BR20" s="46">
        <v>0</v>
      </c>
      <c r="BS20" s="45">
        <v>13</v>
      </c>
      <c r="BT20" s="46">
        <v>76.47058823529412</v>
      </c>
      <c r="BU20" s="45">
        <v>17</v>
      </c>
    </row>
    <row r="21" spans="1:73" ht="15">
      <c r="A21" s="61" t="s">
        <v>227</v>
      </c>
      <c r="B21" s="61" t="s">
        <v>274</v>
      </c>
      <c r="C21" s="62" t="s">
        <v>11692</v>
      </c>
      <c r="D21" s="63">
        <v>3</v>
      </c>
      <c r="E21" s="64" t="s">
        <v>132</v>
      </c>
      <c r="F21" s="65">
        <v>32</v>
      </c>
      <c r="G21" s="62"/>
      <c r="H21" s="66"/>
      <c r="I21" s="67"/>
      <c r="J21" s="67"/>
      <c r="K21" s="31" t="s">
        <v>65</v>
      </c>
      <c r="L21" s="75">
        <v>21</v>
      </c>
      <c r="M21" s="75"/>
      <c r="N21" s="69"/>
      <c r="O21" s="77" t="s">
        <v>541</v>
      </c>
      <c r="P21" s="79">
        <v>45116.12596064815</v>
      </c>
      <c r="Q21" s="77" t="s">
        <v>550</v>
      </c>
      <c r="R21" s="77">
        <v>2</v>
      </c>
      <c r="S21" s="77">
        <v>0</v>
      </c>
      <c r="T21" s="77">
        <v>3</v>
      </c>
      <c r="U21" s="77">
        <v>1</v>
      </c>
      <c r="V21" s="77">
        <v>1223</v>
      </c>
      <c r="W21" s="81" t="s">
        <v>669</v>
      </c>
      <c r="X21" s="77" t="s">
        <v>728</v>
      </c>
      <c r="Y21" s="77" t="s">
        <v>734</v>
      </c>
      <c r="Z21" s="77" t="s">
        <v>751</v>
      </c>
      <c r="AA21" s="77" t="s">
        <v>823</v>
      </c>
      <c r="AB21" s="77" t="s">
        <v>848</v>
      </c>
      <c r="AC21" s="81" t="s">
        <v>853</v>
      </c>
      <c r="AD21" s="77" t="s">
        <v>859</v>
      </c>
      <c r="AE21" s="83" t="str">
        <f>HYPERLINK("https://twitter.com/charpy73/status/1677875566521864193")</f>
        <v>https://twitter.com/charpy73/status/1677875566521864193</v>
      </c>
      <c r="AF21" s="79">
        <v>45116.12596064815</v>
      </c>
      <c r="AG21" s="85">
        <v>45116</v>
      </c>
      <c r="AH21" s="81" t="s">
        <v>877</v>
      </c>
      <c r="AI21" s="77" t="b">
        <v>0</v>
      </c>
      <c r="AJ21" s="77"/>
      <c r="AK21" s="77"/>
      <c r="AL21" s="77"/>
      <c r="AM21" s="77"/>
      <c r="AN21" s="77"/>
      <c r="AO21" s="77"/>
      <c r="AP21" s="77"/>
      <c r="AQ21" s="77" t="s">
        <v>1002</v>
      </c>
      <c r="AR21" s="77"/>
      <c r="AS21" s="77"/>
      <c r="AT21" s="77"/>
      <c r="AU21" s="77"/>
      <c r="AV21" s="83" t="str">
        <f>HYPERLINK("https://pbs.twimg.com/media/F0kBquSXgAATesr.png")</f>
        <v>https://pbs.twimg.com/media/F0kBquSXgAATesr.png</v>
      </c>
      <c r="AW21" s="81" t="s">
        <v>1032</v>
      </c>
      <c r="AX21" s="81" t="s">
        <v>1152</v>
      </c>
      <c r="AY21" s="81" t="s">
        <v>1172</v>
      </c>
      <c r="AZ21" s="81" t="s">
        <v>1152</v>
      </c>
      <c r="BA21" s="81" t="s">
        <v>1200</v>
      </c>
      <c r="BB21" s="81" t="s">
        <v>1190</v>
      </c>
      <c r="BC21" s="81" t="s">
        <v>1152</v>
      </c>
      <c r="BD21" s="81" t="s">
        <v>1173</v>
      </c>
      <c r="BE21" s="77"/>
      <c r="BF21" s="77"/>
      <c r="BG21" s="77"/>
      <c r="BH21" s="77"/>
      <c r="BI21" s="77"/>
      <c r="BJ21">
        <v>1</v>
      </c>
      <c r="BK21" s="76" t="str">
        <f>REPLACE(INDEX(GroupVertices[Group],MATCH(Edges[[#This Row],[Vertex 1]],GroupVertices[Vertex],0)),1,1,"")</f>
        <v>4</v>
      </c>
      <c r="BL21" s="76" t="str">
        <f>REPLACE(INDEX(GroupVertices[Group],MATCH(Edges[[#This Row],[Vertex 2]],GroupVertices[Vertex],0)),1,1,"")</f>
        <v>4</v>
      </c>
      <c r="BM21" s="45"/>
      <c r="BN21" s="46"/>
      <c r="BO21" s="45"/>
      <c r="BP21" s="46"/>
      <c r="BQ21" s="45"/>
      <c r="BR21" s="46"/>
      <c r="BS21" s="45"/>
      <c r="BT21" s="46"/>
      <c r="BU21" s="45"/>
    </row>
    <row r="22" spans="1:73" ht="15">
      <c r="A22" s="61" t="s">
        <v>227</v>
      </c>
      <c r="B22" s="61" t="s">
        <v>275</v>
      </c>
      <c r="C22" s="62" t="s">
        <v>11692</v>
      </c>
      <c r="D22" s="63">
        <v>3</v>
      </c>
      <c r="E22" s="64" t="s">
        <v>132</v>
      </c>
      <c r="F22" s="65">
        <v>32</v>
      </c>
      <c r="G22" s="62"/>
      <c r="H22" s="66"/>
      <c r="I22" s="67"/>
      <c r="J22" s="67"/>
      <c r="K22" s="31" t="s">
        <v>65</v>
      </c>
      <c r="L22" s="75">
        <v>22</v>
      </c>
      <c r="M22" s="75"/>
      <c r="N22" s="69"/>
      <c r="O22" s="77" t="s">
        <v>541</v>
      </c>
      <c r="P22" s="79">
        <v>45116.12596064815</v>
      </c>
      <c r="Q22" s="77" t="s">
        <v>550</v>
      </c>
      <c r="R22" s="77">
        <v>2</v>
      </c>
      <c r="S22" s="77">
        <v>0</v>
      </c>
      <c r="T22" s="77">
        <v>3</v>
      </c>
      <c r="U22" s="77">
        <v>1</v>
      </c>
      <c r="V22" s="77">
        <v>1223</v>
      </c>
      <c r="W22" s="81" t="s">
        <v>669</v>
      </c>
      <c r="X22" s="77" t="s">
        <v>728</v>
      </c>
      <c r="Y22" s="77" t="s">
        <v>734</v>
      </c>
      <c r="Z22" s="77" t="s">
        <v>751</v>
      </c>
      <c r="AA22" s="77" t="s">
        <v>823</v>
      </c>
      <c r="AB22" s="77" t="s">
        <v>848</v>
      </c>
      <c r="AC22" s="81" t="s">
        <v>853</v>
      </c>
      <c r="AD22" s="77" t="s">
        <v>859</v>
      </c>
      <c r="AE22" s="83" t="str">
        <f>HYPERLINK("https://twitter.com/charpy73/status/1677875566521864193")</f>
        <v>https://twitter.com/charpy73/status/1677875566521864193</v>
      </c>
      <c r="AF22" s="79">
        <v>45116.12596064815</v>
      </c>
      <c r="AG22" s="85">
        <v>45116</v>
      </c>
      <c r="AH22" s="81" t="s">
        <v>877</v>
      </c>
      <c r="AI22" s="77" t="b">
        <v>0</v>
      </c>
      <c r="AJ22" s="77"/>
      <c r="AK22" s="77"/>
      <c r="AL22" s="77"/>
      <c r="AM22" s="77"/>
      <c r="AN22" s="77"/>
      <c r="AO22" s="77"/>
      <c r="AP22" s="77"/>
      <c r="AQ22" s="77" t="s">
        <v>1002</v>
      </c>
      <c r="AR22" s="77"/>
      <c r="AS22" s="77"/>
      <c r="AT22" s="77"/>
      <c r="AU22" s="77"/>
      <c r="AV22" s="83" t="str">
        <f>HYPERLINK("https://pbs.twimg.com/media/F0kBquSXgAATesr.png")</f>
        <v>https://pbs.twimg.com/media/F0kBquSXgAATesr.png</v>
      </c>
      <c r="AW22" s="81" t="s">
        <v>1032</v>
      </c>
      <c r="AX22" s="81" t="s">
        <v>1152</v>
      </c>
      <c r="AY22" s="81" t="s">
        <v>1172</v>
      </c>
      <c r="AZ22" s="81" t="s">
        <v>1152</v>
      </c>
      <c r="BA22" s="81" t="s">
        <v>1200</v>
      </c>
      <c r="BB22" s="81" t="s">
        <v>1190</v>
      </c>
      <c r="BC22" s="81" t="s">
        <v>1152</v>
      </c>
      <c r="BD22" s="81" t="s">
        <v>1173</v>
      </c>
      <c r="BE22" s="77"/>
      <c r="BF22" s="77"/>
      <c r="BG22" s="77"/>
      <c r="BH22" s="77"/>
      <c r="BI22" s="77"/>
      <c r="BJ22">
        <v>1</v>
      </c>
      <c r="BK22" s="76" t="str">
        <f>REPLACE(INDEX(GroupVertices[Group],MATCH(Edges[[#This Row],[Vertex 1]],GroupVertices[Vertex],0)),1,1,"")</f>
        <v>4</v>
      </c>
      <c r="BL22" s="76" t="str">
        <f>REPLACE(INDEX(GroupVertices[Group],MATCH(Edges[[#This Row],[Vertex 2]],GroupVertices[Vertex],0)),1,1,"")</f>
        <v>4</v>
      </c>
      <c r="BM22" s="45"/>
      <c r="BN22" s="46"/>
      <c r="BO22" s="45"/>
      <c r="BP22" s="46"/>
      <c r="BQ22" s="45"/>
      <c r="BR22" s="46"/>
      <c r="BS22" s="45"/>
      <c r="BT22" s="46"/>
      <c r="BU22" s="45"/>
    </row>
    <row r="23" spans="1:73" ht="15">
      <c r="A23" s="61" t="s">
        <v>227</v>
      </c>
      <c r="B23" s="61" t="s">
        <v>276</v>
      </c>
      <c r="C23" s="62" t="s">
        <v>11692</v>
      </c>
      <c r="D23" s="63">
        <v>3</v>
      </c>
      <c r="E23" s="64" t="s">
        <v>132</v>
      </c>
      <c r="F23" s="65">
        <v>32</v>
      </c>
      <c r="G23" s="62"/>
      <c r="H23" s="66"/>
      <c r="I23" s="67"/>
      <c r="J23" s="67"/>
      <c r="K23" s="31" t="s">
        <v>65</v>
      </c>
      <c r="L23" s="75">
        <v>23</v>
      </c>
      <c r="M23" s="75"/>
      <c r="N23" s="69"/>
      <c r="O23" s="77" t="s">
        <v>541</v>
      </c>
      <c r="P23" s="79">
        <v>45116.12596064815</v>
      </c>
      <c r="Q23" s="77" t="s">
        <v>550</v>
      </c>
      <c r="R23" s="77">
        <v>2</v>
      </c>
      <c r="S23" s="77">
        <v>0</v>
      </c>
      <c r="T23" s="77">
        <v>3</v>
      </c>
      <c r="U23" s="77">
        <v>1</v>
      </c>
      <c r="V23" s="77">
        <v>1223</v>
      </c>
      <c r="W23" s="81" t="s">
        <v>669</v>
      </c>
      <c r="X23" s="77" t="s">
        <v>728</v>
      </c>
      <c r="Y23" s="77" t="s">
        <v>734</v>
      </c>
      <c r="Z23" s="77" t="s">
        <v>751</v>
      </c>
      <c r="AA23" s="77" t="s">
        <v>823</v>
      </c>
      <c r="AB23" s="77" t="s">
        <v>848</v>
      </c>
      <c r="AC23" s="81" t="s">
        <v>853</v>
      </c>
      <c r="AD23" s="77" t="s">
        <v>859</v>
      </c>
      <c r="AE23" s="83" t="str">
        <f>HYPERLINK("https://twitter.com/charpy73/status/1677875566521864193")</f>
        <v>https://twitter.com/charpy73/status/1677875566521864193</v>
      </c>
      <c r="AF23" s="79">
        <v>45116.12596064815</v>
      </c>
      <c r="AG23" s="85">
        <v>45116</v>
      </c>
      <c r="AH23" s="81" t="s">
        <v>877</v>
      </c>
      <c r="AI23" s="77" t="b">
        <v>0</v>
      </c>
      <c r="AJ23" s="77"/>
      <c r="AK23" s="77"/>
      <c r="AL23" s="77"/>
      <c r="AM23" s="77"/>
      <c r="AN23" s="77"/>
      <c r="AO23" s="77"/>
      <c r="AP23" s="77"/>
      <c r="AQ23" s="77" t="s">
        <v>1002</v>
      </c>
      <c r="AR23" s="77"/>
      <c r="AS23" s="77"/>
      <c r="AT23" s="77"/>
      <c r="AU23" s="77"/>
      <c r="AV23" s="83" t="str">
        <f>HYPERLINK("https://pbs.twimg.com/media/F0kBquSXgAATesr.png")</f>
        <v>https://pbs.twimg.com/media/F0kBquSXgAATesr.png</v>
      </c>
      <c r="AW23" s="81" t="s">
        <v>1032</v>
      </c>
      <c r="AX23" s="81" t="s">
        <v>1152</v>
      </c>
      <c r="AY23" s="81" t="s">
        <v>1172</v>
      </c>
      <c r="AZ23" s="81" t="s">
        <v>1152</v>
      </c>
      <c r="BA23" s="81" t="s">
        <v>1200</v>
      </c>
      <c r="BB23" s="81" t="s">
        <v>1190</v>
      </c>
      <c r="BC23" s="81" t="s">
        <v>1152</v>
      </c>
      <c r="BD23" s="81" t="s">
        <v>1173</v>
      </c>
      <c r="BE23" s="77"/>
      <c r="BF23" s="77"/>
      <c r="BG23" s="77"/>
      <c r="BH23" s="77"/>
      <c r="BI23" s="77"/>
      <c r="BJ23">
        <v>1</v>
      </c>
      <c r="BK23" s="76" t="str">
        <f>REPLACE(INDEX(GroupVertices[Group],MATCH(Edges[[#This Row],[Vertex 1]],GroupVertices[Vertex],0)),1,1,"")</f>
        <v>4</v>
      </c>
      <c r="BL23" s="76" t="str">
        <f>REPLACE(INDEX(GroupVertices[Group],MATCH(Edges[[#This Row],[Vertex 2]],GroupVertices[Vertex],0)),1,1,"")</f>
        <v>4</v>
      </c>
      <c r="BM23" s="45"/>
      <c r="BN23" s="46"/>
      <c r="BO23" s="45"/>
      <c r="BP23" s="46"/>
      <c r="BQ23" s="45"/>
      <c r="BR23" s="46"/>
      <c r="BS23" s="45"/>
      <c r="BT23" s="46"/>
      <c r="BU23" s="45"/>
    </row>
    <row r="24" spans="1:73" ht="15">
      <c r="A24" s="61" t="s">
        <v>227</v>
      </c>
      <c r="B24" s="61" t="s">
        <v>277</v>
      </c>
      <c r="C24" s="62" t="s">
        <v>11692</v>
      </c>
      <c r="D24" s="63">
        <v>3</v>
      </c>
      <c r="E24" s="64" t="s">
        <v>132</v>
      </c>
      <c r="F24" s="65">
        <v>32</v>
      </c>
      <c r="G24" s="62"/>
      <c r="H24" s="66"/>
      <c r="I24" s="67"/>
      <c r="J24" s="67"/>
      <c r="K24" s="31" t="s">
        <v>65</v>
      </c>
      <c r="L24" s="75">
        <v>24</v>
      </c>
      <c r="M24" s="75"/>
      <c r="N24" s="69"/>
      <c r="O24" s="77" t="s">
        <v>541</v>
      </c>
      <c r="P24" s="79">
        <v>45116.12596064815</v>
      </c>
      <c r="Q24" s="77" t="s">
        <v>550</v>
      </c>
      <c r="R24" s="77">
        <v>2</v>
      </c>
      <c r="S24" s="77">
        <v>0</v>
      </c>
      <c r="T24" s="77">
        <v>3</v>
      </c>
      <c r="U24" s="77">
        <v>1</v>
      </c>
      <c r="V24" s="77">
        <v>1223</v>
      </c>
      <c r="W24" s="81" t="s">
        <v>669</v>
      </c>
      <c r="X24" s="77" t="s">
        <v>728</v>
      </c>
      <c r="Y24" s="77" t="s">
        <v>734</v>
      </c>
      <c r="Z24" s="77" t="s">
        <v>751</v>
      </c>
      <c r="AA24" s="77" t="s">
        <v>823</v>
      </c>
      <c r="AB24" s="77" t="s">
        <v>848</v>
      </c>
      <c r="AC24" s="81" t="s">
        <v>853</v>
      </c>
      <c r="AD24" s="77" t="s">
        <v>859</v>
      </c>
      <c r="AE24" s="83" t="str">
        <f>HYPERLINK("https://twitter.com/charpy73/status/1677875566521864193")</f>
        <v>https://twitter.com/charpy73/status/1677875566521864193</v>
      </c>
      <c r="AF24" s="79">
        <v>45116.12596064815</v>
      </c>
      <c r="AG24" s="85">
        <v>45116</v>
      </c>
      <c r="AH24" s="81" t="s">
        <v>877</v>
      </c>
      <c r="AI24" s="77" t="b">
        <v>0</v>
      </c>
      <c r="AJ24" s="77"/>
      <c r="AK24" s="77"/>
      <c r="AL24" s="77"/>
      <c r="AM24" s="77"/>
      <c r="AN24" s="77"/>
      <c r="AO24" s="77"/>
      <c r="AP24" s="77"/>
      <c r="AQ24" s="77" t="s">
        <v>1002</v>
      </c>
      <c r="AR24" s="77"/>
      <c r="AS24" s="77"/>
      <c r="AT24" s="77"/>
      <c r="AU24" s="77"/>
      <c r="AV24" s="83" t="str">
        <f>HYPERLINK("https://pbs.twimg.com/media/F0kBquSXgAATesr.png")</f>
        <v>https://pbs.twimg.com/media/F0kBquSXgAATesr.png</v>
      </c>
      <c r="AW24" s="81" t="s">
        <v>1032</v>
      </c>
      <c r="AX24" s="81" t="s">
        <v>1152</v>
      </c>
      <c r="AY24" s="81" t="s">
        <v>1172</v>
      </c>
      <c r="AZ24" s="81" t="s">
        <v>1152</v>
      </c>
      <c r="BA24" s="81" t="s">
        <v>1200</v>
      </c>
      <c r="BB24" s="81" t="s">
        <v>1190</v>
      </c>
      <c r="BC24" s="81" t="s">
        <v>1152</v>
      </c>
      <c r="BD24" s="81" t="s">
        <v>1173</v>
      </c>
      <c r="BE24" s="77"/>
      <c r="BF24" s="77"/>
      <c r="BG24" s="77"/>
      <c r="BH24" s="77"/>
      <c r="BI24" s="77"/>
      <c r="BJ24">
        <v>1</v>
      </c>
      <c r="BK24" s="76" t="str">
        <f>REPLACE(INDEX(GroupVertices[Group],MATCH(Edges[[#This Row],[Vertex 1]],GroupVertices[Vertex],0)),1,1,"")</f>
        <v>4</v>
      </c>
      <c r="BL24" s="76" t="str">
        <f>REPLACE(INDEX(GroupVertices[Group],MATCH(Edges[[#This Row],[Vertex 2]],GroupVertices[Vertex],0)),1,1,"")</f>
        <v>4</v>
      </c>
      <c r="BM24" s="45"/>
      <c r="BN24" s="46"/>
      <c r="BO24" s="45"/>
      <c r="BP24" s="46"/>
      <c r="BQ24" s="45"/>
      <c r="BR24" s="46"/>
      <c r="BS24" s="45"/>
      <c r="BT24" s="46"/>
      <c r="BU24" s="45"/>
    </row>
    <row r="25" spans="1:73" ht="15">
      <c r="A25" s="61" t="s">
        <v>227</v>
      </c>
      <c r="B25" s="61" t="s">
        <v>278</v>
      </c>
      <c r="C25" s="62" t="s">
        <v>11692</v>
      </c>
      <c r="D25" s="63">
        <v>3</v>
      </c>
      <c r="E25" s="64" t="s">
        <v>132</v>
      </c>
      <c r="F25" s="65">
        <v>32</v>
      </c>
      <c r="G25" s="62"/>
      <c r="H25" s="66"/>
      <c r="I25" s="67"/>
      <c r="J25" s="67"/>
      <c r="K25" s="31" t="s">
        <v>65</v>
      </c>
      <c r="L25" s="75">
        <v>25</v>
      </c>
      <c r="M25" s="75"/>
      <c r="N25" s="69"/>
      <c r="O25" s="77" t="s">
        <v>541</v>
      </c>
      <c r="P25" s="79">
        <v>45116.12596064815</v>
      </c>
      <c r="Q25" s="77" t="s">
        <v>550</v>
      </c>
      <c r="R25" s="77">
        <v>2</v>
      </c>
      <c r="S25" s="77">
        <v>0</v>
      </c>
      <c r="T25" s="77">
        <v>3</v>
      </c>
      <c r="U25" s="77">
        <v>1</v>
      </c>
      <c r="V25" s="77">
        <v>1223</v>
      </c>
      <c r="W25" s="81" t="s">
        <v>669</v>
      </c>
      <c r="X25" s="77" t="s">
        <v>728</v>
      </c>
      <c r="Y25" s="77" t="s">
        <v>734</v>
      </c>
      <c r="Z25" s="77" t="s">
        <v>751</v>
      </c>
      <c r="AA25" s="77" t="s">
        <v>823</v>
      </c>
      <c r="AB25" s="77" t="s">
        <v>848</v>
      </c>
      <c r="AC25" s="81" t="s">
        <v>853</v>
      </c>
      <c r="AD25" s="77" t="s">
        <v>859</v>
      </c>
      <c r="AE25" s="83" t="str">
        <f>HYPERLINK("https://twitter.com/charpy73/status/1677875566521864193")</f>
        <v>https://twitter.com/charpy73/status/1677875566521864193</v>
      </c>
      <c r="AF25" s="79">
        <v>45116.12596064815</v>
      </c>
      <c r="AG25" s="85">
        <v>45116</v>
      </c>
      <c r="AH25" s="81" t="s">
        <v>877</v>
      </c>
      <c r="AI25" s="77" t="b">
        <v>0</v>
      </c>
      <c r="AJ25" s="77"/>
      <c r="AK25" s="77"/>
      <c r="AL25" s="77"/>
      <c r="AM25" s="77"/>
      <c r="AN25" s="77"/>
      <c r="AO25" s="77"/>
      <c r="AP25" s="77"/>
      <c r="AQ25" s="77" t="s">
        <v>1002</v>
      </c>
      <c r="AR25" s="77"/>
      <c r="AS25" s="77"/>
      <c r="AT25" s="77"/>
      <c r="AU25" s="77"/>
      <c r="AV25" s="83" t="str">
        <f>HYPERLINK("https://pbs.twimg.com/media/F0kBquSXgAATesr.png")</f>
        <v>https://pbs.twimg.com/media/F0kBquSXgAATesr.png</v>
      </c>
      <c r="AW25" s="81" t="s">
        <v>1032</v>
      </c>
      <c r="AX25" s="81" t="s">
        <v>1152</v>
      </c>
      <c r="AY25" s="81" t="s">
        <v>1172</v>
      </c>
      <c r="AZ25" s="81" t="s">
        <v>1152</v>
      </c>
      <c r="BA25" s="81" t="s">
        <v>1200</v>
      </c>
      <c r="BB25" s="81" t="s">
        <v>1190</v>
      </c>
      <c r="BC25" s="81" t="s">
        <v>1152</v>
      </c>
      <c r="BD25" s="81" t="s">
        <v>1173</v>
      </c>
      <c r="BE25" s="77"/>
      <c r="BF25" s="77"/>
      <c r="BG25" s="77"/>
      <c r="BH25" s="77"/>
      <c r="BI25" s="77"/>
      <c r="BJ25">
        <v>1</v>
      </c>
      <c r="BK25" s="76" t="str">
        <f>REPLACE(INDEX(GroupVertices[Group],MATCH(Edges[[#This Row],[Vertex 1]],GroupVertices[Vertex],0)),1,1,"")</f>
        <v>4</v>
      </c>
      <c r="BL25" s="76" t="str">
        <f>REPLACE(INDEX(GroupVertices[Group],MATCH(Edges[[#This Row],[Vertex 2]],GroupVertices[Vertex],0)),1,1,"")</f>
        <v>4</v>
      </c>
      <c r="BM25" s="45"/>
      <c r="BN25" s="46"/>
      <c r="BO25" s="45"/>
      <c r="BP25" s="46"/>
      <c r="BQ25" s="45"/>
      <c r="BR25" s="46"/>
      <c r="BS25" s="45"/>
      <c r="BT25" s="46"/>
      <c r="BU25" s="45"/>
    </row>
    <row r="26" spans="1:73" ht="15">
      <c r="A26" s="61" t="s">
        <v>227</v>
      </c>
      <c r="B26" s="61" t="s">
        <v>279</v>
      </c>
      <c r="C26" s="62" t="s">
        <v>11692</v>
      </c>
      <c r="D26" s="63">
        <v>3</v>
      </c>
      <c r="E26" s="64" t="s">
        <v>132</v>
      </c>
      <c r="F26" s="65">
        <v>32</v>
      </c>
      <c r="G26" s="62"/>
      <c r="H26" s="66"/>
      <c r="I26" s="67"/>
      <c r="J26" s="67"/>
      <c r="K26" s="31" t="s">
        <v>65</v>
      </c>
      <c r="L26" s="75">
        <v>26</v>
      </c>
      <c r="M26" s="75"/>
      <c r="N26" s="69"/>
      <c r="O26" s="77" t="s">
        <v>541</v>
      </c>
      <c r="P26" s="79">
        <v>45116.12596064815</v>
      </c>
      <c r="Q26" s="77" t="s">
        <v>550</v>
      </c>
      <c r="R26" s="77">
        <v>2</v>
      </c>
      <c r="S26" s="77">
        <v>0</v>
      </c>
      <c r="T26" s="77">
        <v>3</v>
      </c>
      <c r="U26" s="77">
        <v>1</v>
      </c>
      <c r="V26" s="77">
        <v>1223</v>
      </c>
      <c r="W26" s="81" t="s">
        <v>669</v>
      </c>
      <c r="X26" s="77" t="s">
        <v>728</v>
      </c>
      <c r="Y26" s="77" t="s">
        <v>734</v>
      </c>
      <c r="Z26" s="77" t="s">
        <v>751</v>
      </c>
      <c r="AA26" s="77" t="s">
        <v>823</v>
      </c>
      <c r="AB26" s="77" t="s">
        <v>848</v>
      </c>
      <c r="AC26" s="81" t="s">
        <v>853</v>
      </c>
      <c r="AD26" s="77" t="s">
        <v>859</v>
      </c>
      <c r="AE26" s="83" t="str">
        <f>HYPERLINK("https://twitter.com/charpy73/status/1677875566521864193")</f>
        <v>https://twitter.com/charpy73/status/1677875566521864193</v>
      </c>
      <c r="AF26" s="79">
        <v>45116.12596064815</v>
      </c>
      <c r="AG26" s="85">
        <v>45116</v>
      </c>
      <c r="AH26" s="81" t="s">
        <v>877</v>
      </c>
      <c r="AI26" s="77" t="b">
        <v>0</v>
      </c>
      <c r="AJ26" s="77"/>
      <c r="AK26" s="77"/>
      <c r="AL26" s="77"/>
      <c r="AM26" s="77"/>
      <c r="AN26" s="77"/>
      <c r="AO26" s="77"/>
      <c r="AP26" s="77"/>
      <c r="AQ26" s="77" t="s">
        <v>1002</v>
      </c>
      <c r="AR26" s="77"/>
      <c r="AS26" s="77"/>
      <c r="AT26" s="77"/>
      <c r="AU26" s="77"/>
      <c r="AV26" s="83" t="str">
        <f>HYPERLINK("https://pbs.twimg.com/media/F0kBquSXgAATesr.png")</f>
        <v>https://pbs.twimg.com/media/F0kBquSXgAATesr.png</v>
      </c>
      <c r="AW26" s="81" t="s">
        <v>1032</v>
      </c>
      <c r="AX26" s="81" t="s">
        <v>1152</v>
      </c>
      <c r="AY26" s="81" t="s">
        <v>1172</v>
      </c>
      <c r="AZ26" s="81" t="s">
        <v>1152</v>
      </c>
      <c r="BA26" s="81" t="s">
        <v>1200</v>
      </c>
      <c r="BB26" s="81" t="s">
        <v>1190</v>
      </c>
      <c r="BC26" s="81" t="s">
        <v>1152</v>
      </c>
      <c r="BD26" s="81" t="s">
        <v>1173</v>
      </c>
      <c r="BE26" s="77"/>
      <c r="BF26" s="77"/>
      <c r="BG26" s="77"/>
      <c r="BH26" s="77"/>
      <c r="BI26" s="77"/>
      <c r="BJ26">
        <v>1</v>
      </c>
      <c r="BK26" s="76" t="str">
        <f>REPLACE(INDEX(GroupVertices[Group],MATCH(Edges[[#This Row],[Vertex 1]],GroupVertices[Vertex],0)),1,1,"")</f>
        <v>4</v>
      </c>
      <c r="BL26" s="76" t="str">
        <f>REPLACE(INDEX(GroupVertices[Group],MATCH(Edges[[#This Row],[Vertex 2]],GroupVertices[Vertex],0)),1,1,"")</f>
        <v>4</v>
      </c>
      <c r="BM26" s="45"/>
      <c r="BN26" s="46"/>
      <c r="BO26" s="45"/>
      <c r="BP26" s="46"/>
      <c r="BQ26" s="45"/>
      <c r="BR26" s="46"/>
      <c r="BS26" s="45"/>
      <c r="BT26" s="46"/>
      <c r="BU26" s="45"/>
    </row>
    <row r="27" spans="1:73" ht="15">
      <c r="A27" s="61" t="s">
        <v>227</v>
      </c>
      <c r="B27" s="61" t="s">
        <v>280</v>
      </c>
      <c r="C27" s="62" t="s">
        <v>11692</v>
      </c>
      <c r="D27" s="63">
        <v>3</v>
      </c>
      <c r="E27" s="64" t="s">
        <v>132</v>
      </c>
      <c r="F27" s="65">
        <v>32</v>
      </c>
      <c r="G27" s="62"/>
      <c r="H27" s="66"/>
      <c r="I27" s="67"/>
      <c r="J27" s="67"/>
      <c r="K27" s="31" t="s">
        <v>65</v>
      </c>
      <c r="L27" s="75">
        <v>27</v>
      </c>
      <c r="M27" s="75"/>
      <c r="N27" s="69"/>
      <c r="O27" s="77" t="s">
        <v>541</v>
      </c>
      <c r="P27" s="79">
        <v>45148.36515046296</v>
      </c>
      <c r="Q27" s="77" t="s">
        <v>551</v>
      </c>
      <c r="R27" s="77">
        <v>0</v>
      </c>
      <c r="S27" s="77">
        <v>0</v>
      </c>
      <c r="T27" s="77">
        <v>0</v>
      </c>
      <c r="U27" s="77">
        <v>0</v>
      </c>
      <c r="V27" s="77">
        <v>44</v>
      </c>
      <c r="W27" s="77"/>
      <c r="X27" s="83" t="str">
        <f>HYPERLINK("https://twitter.com/Charpy73/status/1071073087528058880?s=20")</f>
        <v>https://twitter.com/Charpy73/status/1071073087528058880?s=20</v>
      </c>
      <c r="Y27" s="77" t="s">
        <v>733</v>
      </c>
      <c r="Z27" s="77" t="s">
        <v>752</v>
      </c>
      <c r="AA27" s="77"/>
      <c r="AB27" s="77"/>
      <c r="AC27" s="81" t="s">
        <v>853</v>
      </c>
      <c r="AD27" s="77" t="s">
        <v>859</v>
      </c>
      <c r="AE27" s="83" t="str">
        <f>HYPERLINK("https://twitter.com/charpy73/status/1689558661083934720")</f>
        <v>https://twitter.com/charpy73/status/1689558661083934720</v>
      </c>
      <c r="AF27" s="79">
        <v>45148.36515046296</v>
      </c>
      <c r="AG27" s="85">
        <v>45148</v>
      </c>
      <c r="AH27" s="81" t="s">
        <v>878</v>
      </c>
      <c r="AI27" s="77" t="b">
        <v>0</v>
      </c>
      <c r="AJ27" s="77"/>
      <c r="AK27" s="77"/>
      <c r="AL27" s="77"/>
      <c r="AM27" s="77"/>
      <c r="AN27" s="77"/>
      <c r="AO27" s="77"/>
      <c r="AP27" s="77"/>
      <c r="AQ27" s="77"/>
      <c r="AR27" s="77"/>
      <c r="AS27" s="77"/>
      <c r="AT27" s="77"/>
      <c r="AU27" s="77"/>
      <c r="AV27" s="83" t="str">
        <f>HYPERLINK("https://pbs.twimg.com/profile_images/1310352185679654912/xskSwHii_normal.jpg")</f>
        <v>https://pbs.twimg.com/profile_images/1310352185679654912/xskSwHii_normal.jpg</v>
      </c>
      <c r="AW27" s="81" t="s">
        <v>1033</v>
      </c>
      <c r="AX27" s="81" t="s">
        <v>1153</v>
      </c>
      <c r="AY27" s="81" t="s">
        <v>1173</v>
      </c>
      <c r="AZ27" s="81" t="s">
        <v>1034</v>
      </c>
      <c r="BA27" s="81" t="s">
        <v>1040</v>
      </c>
      <c r="BB27" s="81" t="s">
        <v>1190</v>
      </c>
      <c r="BC27" s="81" t="s">
        <v>1034</v>
      </c>
      <c r="BD27" s="81" t="s">
        <v>1173</v>
      </c>
      <c r="BE27" s="77"/>
      <c r="BF27" s="77"/>
      <c r="BG27" s="77"/>
      <c r="BH27" s="77"/>
      <c r="BI27" s="77"/>
      <c r="BJ27">
        <v>1</v>
      </c>
      <c r="BK27" s="76" t="str">
        <f>REPLACE(INDEX(GroupVertices[Group],MATCH(Edges[[#This Row],[Vertex 1]],GroupVertices[Vertex],0)),1,1,"")</f>
        <v>4</v>
      </c>
      <c r="BL27" s="76" t="str">
        <f>REPLACE(INDEX(GroupVertices[Group],MATCH(Edges[[#This Row],[Vertex 2]],GroupVertices[Vertex],0)),1,1,"")</f>
        <v>4</v>
      </c>
      <c r="BM27" s="45"/>
      <c r="BN27" s="46"/>
      <c r="BO27" s="45"/>
      <c r="BP27" s="46"/>
      <c r="BQ27" s="45"/>
      <c r="BR27" s="46"/>
      <c r="BS27" s="45"/>
      <c r="BT27" s="46"/>
      <c r="BU27" s="45"/>
    </row>
    <row r="28" spans="1:73" ht="15">
      <c r="A28" s="61" t="s">
        <v>227</v>
      </c>
      <c r="B28" s="61" t="s">
        <v>281</v>
      </c>
      <c r="C28" s="62" t="s">
        <v>11693</v>
      </c>
      <c r="D28" s="63">
        <v>4.4</v>
      </c>
      <c r="E28" s="64" t="s">
        <v>132</v>
      </c>
      <c r="F28" s="65">
        <v>27.6</v>
      </c>
      <c r="G28" s="62"/>
      <c r="H28" s="66"/>
      <c r="I28" s="67"/>
      <c r="J28" s="67"/>
      <c r="K28" s="31" t="s">
        <v>65</v>
      </c>
      <c r="L28" s="75">
        <v>28</v>
      </c>
      <c r="M28" s="75"/>
      <c r="N28" s="69"/>
      <c r="O28" s="77" t="s">
        <v>541</v>
      </c>
      <c r="P28" s="79">
        <v>45148.36515046296</v>
      </c>
      <c r="Q28" s="77" t="s">
        <v>551</v>
      </c>
      <c r="R28" s="77">
        <v>0</v>
      </c>
      <c r="S28" s="77">
        <v>0</v>
      </c>
      <c r="T28" s="77">
        <v>0</v>
      </c>
      <c r="U28" s="77">
        <v>0</v>
      </c>
      <c r="V28" s="77">
        <v>44</v>
      </c>
      <c r="W28" s="77"/>
      <c r="X28" s="83" t="str">
        <f>HYPERLINK("https://twitter.com/Charpy73/status/1071073087528058880?s=20")</f>
        <v>https://twitter.com/Charpy73/status/1071073087528058880?s=20</v>
      </c>
      <c r="Y28" s="77" t="s">
        <v>733</v>
      </c>
      <c r="Z28" s="77" t="s">
        <v>752</v>
      </c>
      <c r="AA28" s="77"/>
      <c r="AB28" s="77"/>
      <c r="AC28" s="81" t="s">
        <v>853</v>
      </c>
      <c r="AD28" s="77" t="s">
        <v>859</v>
      </c>
      <c r="AE28" s="83" t="str">
        <f>HYPERLINK("https://twitter.com/charpy73/status/1689558661083934720")</f>
        <v>https://twitter.com/charpy73/status/1689558661083934720</v>
      </c>
      <c r="AF28" s="79">
        <v>45148.36515046296</v>
      </c>
      <c r="AG28" s="85">
        <v>45148</v>
      </c>
      <c r="AH28" s="81" t="s">
        <v>878</v>
      </c>
      <c r="AI28" s="77" t="b">
        <v>0</v>
      </c>
      <c r="AJ28" s="77"/>
      <c r="AK28" s="77"/>
      <c r="AL28" s="77"/>
      <c r="AM28" s="77"/>
      <c r="AN28" s="77"/>
      <c r="AO28" s="77"/>
      <c r="AP28" s="77"/>
      <c r="AQ28" s="77"/>
      <c r="AR28" s="77"/>
      <c r="AS28" s="77"/>
      <c r="AT28" s="77"/>
      <c r="AU28" s="77"/>
      <c r="AV28" s="83" t="str">
        <f>HYPERLINK("https://pbs.twimg.com/profile_images/1310352185679654912/xskSwHii_normal.jpg")</f>
        <v>https://pbs.twimg.com/profile_images/1310352185679654912/xskSwHii_normal.jpg</v>
      </c>
      <c r="AW28" s="81" t="s">
        <v>1033</v>
      </c>
      <c r="AX28" s="81" t="s">
        <v>1153</v>
      </c>
      <c r="AY28" s="81" t="s">
        <v>1173</v>
      </c>
      <c r="AZ28" s="81" t="s">
        <v>1034</v>
      </c>
      <c r="BA28" s="81" t="s">
        <v>1040</v>
      </c>
      <c r="BB28" s="81" t="s">
        <v>1190</v>
      </c>
      <c r="BC28" s="81" t="s">
        <v>1034</v>
      </c>
      <c r="BD28" s="81" t="s">
        <v>1173</v>
      </c>
      <c r="BE28" s="77"/>
      <c r="BF28" s="77"/>
      <c r="BG28" s="77"/>
      <c r="BH28" s="77"/>
      <c r="BI28" s="77"/>
      <c r="BJ28">
        <v>2</v>
      </c>
      <c r="BK28" s="76" t="str">
        <f>REPLACE(INDEX(GroupVertices[Group],MATCH(Edges[[#This Row],[Vertex 1]],GroupVertices[Vertex],0)),1,1,"")</f>
        <v>4</v>
      </c>
      <c r="BL28" s="76" t="str">
        <f>REPLACE(INDEX(GroupVertices[Group],MATCH(Edges[[#This Row],[Vertex 2]],GroupVertices[Vertex],0)),1,1,"")</f>
        <v>4</v>
      </c>
      <c r="BM28" s="45"/>
      <c r="BN28" s="46"/>
      <c r="BO28" s="45"/>
      <c r="BP28" s="46"/>
      <c r="BQ28" s="45"/>
      <c r="BR28" s="46"/>
      <c r="BS28" s="45"/>
      <c r="BT28" s="46"/>
      <c r="BU28" s="45"/>
    </row>
    <row r="29" spans="1:73" ht="15">
      <c r="A29" s="61" t="s">
        <v>227</v>
      </c>
      <c r="B29" s="61" t="s">
        <v>281</v>
      </c>
      <c r="C29" s="62" t="s">
        <v>11693</v>
      </c>
      <c r="D29" s="63">
        <v>4.4</v>
      </c>
      <c r="E29" s="64" t="s">
        <v>132</v>
      </c>
      <c r="F29" s="65">
        <v>27.6</v>
      </c>
      <c r="G29" s="62"/>
      <c r="H29" s="66"/>
      <c r="I29" s="67"/>
      <c r="J29" s="67"/>
      <c r="K29" s="31" t="s">
        <v>65</v>
      </c>
      <c r="L29" s="75">
        <v>29</v>
      </c>
      <c r="M29" s="75"/>
      <c r="N29" s="69"/>
      <c r="O29" s="77" t="s">
        <v>541</v>
      </c>
      <c r="P29" s="79">
        <v>45148.35780092593</v>
      </c>
      <c r="Q29" s="77" t="s">
        <v>552</v>
      </c>
      <c r="R29" s="77">
        <v>0</v>
      </c>
      <c r="S29" s="77">
        <v>0</v>
      </c>
      <c r="T29" s="77">
        <v>1</v>
      </c>
      <c r="U29" s="77">
        <v>0</v>
      </c>
      <c r="V29" s="77">
        <v>80</v>
      </c>
      <c r="W29" s="81" t="s">
        <v>670</v>
      </c>
      <c r="X29" s="77" t="s">
        <v>729</v>
      </c>
      <c r="Y29" s="77" t="s">
        <v>735</v>
      </c>
      <c r="Z29" s="77" t="s">
        <v>753</v>
      </c>
      <c r="AA29" s="77"/>
      <c r="AB29" s="77"/>
      <c r="AC29" s="81" t="s">
        <v>853</v>
      </c>
      <c r="AD29" s="77" t="s">
        <v>859</v>
      </c>
      <c r="AE29" s="83" t="str">
        <f>HYPERLINK("https://twitter.com/charpy73/status/1689555994278330368")</f>
        <v>https://twitter.com/charpy73/status/1689555994278330368</v>
      </c>
      <c r="AF29" s="79">
        <v>45148.35780092593</v>
      </c>
      <c r="AG29" s="85">
        <v>45148</v>
      </c>
      <c r="AH29" s="81" t="s">
        <v>879</v>
      </c>
      <c r="AI29" s="77" t="b">
        <v>0</v>
      </c>
      <c r="AJ29" s="77"/>
      <c r="AK29" s="77"/>
      <c r="AL29" s="77"/>
      <c r="AM29" s="77"/>
      <c r="AN29" s="77"/>
      <c r="AO29" s="77"/>
      <c r="AP29" s="77"/>
      <c r="AQ29" s="77"/>
      <c r="AR29" s="77"/>
      <c r="AS29" s="77"/>
      <c r="AT29" s="77"/>
      <c r="AU29" s="77"/>
      <c r="AV29" s="83" t="str">
        <f>HYPERLINK("https://pbs.twimg.com/profile_images/1310352185679654912/xskSwHii_normal.jpg")</f>
        <v>https://pbs.twimg.com/profile_images/1310352185679654912/xskSwHii_normal.jpg</v>
      </c>
      <c r="AW29" s="81" t="s">
        <v>1034</v>
      </c>
      <c r="AX29" s="81" t="s">
        <v>1153</v>
      </c>
      <c r="AY29" s="81" t="s">
        <v>1173</v>
      </c>
      <c r="AZ29" s="81" t="s">
        <v>1036</v>
      </c>
      <c r="BA29" s="81" t="s">
        <v>1041</v>
      </c>
      <c r="BB29" s="81" t="s">
        <v>1190</v>
      </c>
      <c r="BC29" s="81" t="s">
        <v>1036</v>
      </c>
      <c r="BD29" s="81" t="s">
        <v>1173</v>
      </c>
      <c r="BE29" s="77"/>
      <c r="BF29" s="77"/>
      <c r="BG29" s="77"/>
      <c r="BH29" s="77"/>
      <c r="BI29" s="77"/>
      <c r="BJ29">
        <v>2</v>
      </c>
      <c r="BK29" s="76" t="str">
        <f>REPLACE(INDEX(GroupVertices[Group],MATCH(Edges[[#This Row],[Vertex 1]],GroupVertices[Vertex],0)),1,1,"")</f>
        <v>4</v>
      </c>
      <c r="BL29" s="76" t="str">
        <f>REPLACE(INDEX(GroupVertices[Group],MATCH(Edges[[#This Row],[Vertex 2]],GroupVertices[Vertex],0)),1,1,"")</f>
        <v>4</v>
      </c>
      <c r="BM29" s="45"/>
      <c r="BN29" s="46"/>
      <c r="BO29" s="45"/>
      <c r="BP29" s="46"/>
      <c r="BQ29" s="45"/>
      <c r="BR29" s="46"/>
      <c r="BS29" s="45"/>
      <c r="BT29" s="46"/>
      <c r="BU29" s="45"/>
    </row>
    <row r="30" spans="1:73" ht="15">
      <c r="A30" s="61" t="s">
        <v>227</v>
      </c>
      <c r="B30" s="61" t="s">
        <v>282</v>
      </c>
      <c r="C30" s="62" t="s">
        <v>11693</v>
      </c>
      <c r="D30" s="63">
        <v>4.4</v>
      </c>
      <c r="E30" s="64" t="s">
        <v>132</v>
      </c>
      <c r="F30" s="65">
        <v>27.6</v>
      </c>
      <c r="G30" s="62"/>
      <c r="H30" s="66"/>
      <c r="I30" s="67"/>
      <c r="J30" s="67"/>
      <c r="K30" s="31" t="s">
        <v>65</v>
      </c>
      <c r="L30" s="75">
        <v>30</v>
      </c>
      <c r="M30" s="75"/>
      <c r="N30" s="69"/>
      <c r="O30" s="77" t="s">
        <v>541</v>
      </c>
      <c r="P30" s="79">
        <v>45148.36515046296</v>
      </c>
      <c r="Q30" s="77" t="s">
        <v>551</v>
      </c>
      <c r="R30" s="77">
        <v>0</v>
      </c>
      <c r="S30" s="77">
        <v>0</v>
      </c>
      <c r="T30" s="77">
        <v>0</v>
      </c>
      <c r="U30" s="77">
        <v>0</v>
      </c>
      <c r="V30" s="77">
        <v>44</v>
      </c>
      <c r="W30" s="77"/>
      <c r="X30" s="83" t="str">
        <f>HYPERLINK("https://twitter.com/Charpy73/status/1071073087528058880?s=20")</f>
        <v>https://twitter.com/Charpy73/status/1071073087528058880?s=20</v>
      </c>
      <c r="Y30" s="77" t="s">
        <v>733</v>
      </c>
      <c r="Z30" s="77" t="s">
        <v>752</v>
      </c>
      <c r="AA30" s="77"/>
      <c r="AB30" s="77"/>
      <c r="AC30" s="81" t="s">
        <v>853</v>
      </c>
      <c r="AD30" s="77" t="s">
        <v>859</v>
      </c>
      <c r="AE30" s="83" t="str">
        <f>HYPERLINK("https://twitter.com/charpy73/status/1689558661083934720")</f>
        <v>https://twitter.com/charpy73/status/1689558661083934720</v>
      </c>
      <c r="AF30" s="79">
        <v>45148.36515046296</v>
      </c>
      <c r="AG30" s="85">
        <v>45148</v>
      </c>
      <c r="AH30" s="81" t="s">
        <v>878</v>
      </c>
      <c r="AI30" s="77" t="b">
        <v>0</v>
      </c>
      <c r="AJ30" s="77"/>
      <c r="AK30" s="77"/>
      <c r="AL30" s="77"/>
      <c r="AM30" s="77"/>
      <c r="AN30" s="77"/>
      <c r="AO30" s="77"/>
      <c r="AP30" s="77"/>
      <c r="AQ30" s="77"/>
      <c r="AR30" s="77"/>
      <c r="AS30" s="77"/>
      <c r="AT30" s="77"/>
      <c r="AU30" s="77"/>
      <c r="AV30" s="83" t="str">
        <f>HYPERLINK("https://pbs.twimg.com/profile_images/1310352185679654912/xskSwHii_normal.jpg")</f>
        <v>https://pbs.twimg.com/profile_images/1310352185679654912/xskSwHii_normal.jpg</v>
      </c>
      <c r="AW30" s="81" t="s">
        <v>1033</v>
      </c>
      <c r="AX30" s="81" t="s">
        <v>1153</v>
      </c>
      <c r="AY30" s="81" t="s">
        <v>1173</v>
      </c>
      <c r="AZ30" s="81" t="s">
        <v>1034</v>
      </c>
      <c r="BA30" s="81" t="s">
        <v>1040</v>
      </c>
      <c r="BB30" s="81" t="s">
        <v>1190</v>
      </c>
      <c r="BC30" s="81" t="s">
        <v>1034</v>
      </c>
      <c r="BD30" s="81" t="s">
        <v>1173</v>
      </c>
      <c r="BE30" s="77"/>
      <c r="BF30" s="77"/>
      <c r="BG30" s="77"/>
      <c r="BH30" s="77"/>
      <c r="BI30" s="77"/>
      <c r="BJ30">
        <v>2</v>
      </c>
      <c r="BK30" s="76" t="str">
        <f>REPLACE(INDEX(GroupVertices[Group],MATCH(Edges[[#This Row],[Vertex 1]],GroupVertices[Vertex],0)),1,1,"")</f>
        <v>4</v>
      </c>
      <c r="BL30" s="76" t="str">
        <f>REPLACE(INDEX(GroupVertices[Group],MATCH(Edges[[#This Row],[Vertex 2]],GroupVertices[Vertex],0)),1,1,"")</f>
        <v>4</v>
      </c>
      <c r="BM30" s="45"/>
      <c r="BN30" s="46"/>
      <c r="BO30" s="45"/>
      <c r="BP30" s="46"/>
      <c r="BQ30" s="45"/>
      <c r="BR30" s="46"/>
      <c r="BS30" s="45"/>
      <c r="BT30" s="46"/>
      <c r="BU30" s="45"/>
    </row>
    <row r="31" spans="1:73" ht="15">
      <c r="A31" s="61" t="s">
        <v>227</v>
      </c>
      <c r="B31" s="61" t="s">
        <v>282</v>
      </c>
      <c r="C31" s="62" t="s">
        <v>11693</v>
      </c>
      <c r="D31" s="63">
        <v>4.4</v>
      </c>
      <c r="E31" s="64" t="s">
        <v>132</v>
      </c>
      <c r="F31" s="65">
        <v>27.6</v>
      </c>
      <c r="G31" s="62"/>
      <c r="H31" s="66"/>
      <c r="I31" s="67"/>
      <c r="J31" s="67"/>
      <c r="K31" s="31" t="s">
        <v>65</v>
      </c>
      <c r="L31" s="75">
        <v>31</v>
      </c>
      <c r="M31" s="75"/>
      <c r="N31" s="69"/>
      <c r="O31" s="77" t="s">
        <v>541</v>
      </c>
      <c r="P31" s="79">
        <v>45148.35780092593</v>
      </c>
      <c r="Q31" s="77" t="s">
        <v>552</v>
      </c>
      <c r="R31" s="77">
        <v>0</v>
      </c>
      <c r="S31" s="77">
        <v>0</v>
      </c>
      <c r="T31" s="77">
        <v>1</v>
      </c>
      <c r="U31" s="77">
        <v>0</v>
      </c>
      <c r="V31" s="77">
        <v>80</v>
      </c>
      <c r="W31" s="81" t="s">
        <v>670</v>
      </c>
      <c r="X31" s="77" t="s">
        <v>729</v>
      </c>
      <c r="Y31" s="77" t="s">
        <v>735</v>
      </c>
      <c r="Z31" s="77" t="s">
        <v>753</v>
      </c>
      <c r="AA31" s="77"/>
      <c r="AB31" s="77"/>
      <c r="AC31" s="81" t="s">
        <v>853</v>
      </c>
      <c r="AD31" s="77" t="s">
        <v>859</v>
      </c>
      <c r="AE31" s="83" t="str">
        <f>HYPERLINK("https://twitter.com/charpy73/status/1689555994278330368")</f>
        <v>https://twitter.com/charpy73/status/1689555994278330368</v>
      </c>
      <c r="AF31" s="79">
        <v>45148.35780092593</v>
      </c>
      <c r="AG31" s="85">
        <v>45148</v>
      </c>
      <c r="AH31" s="81" t="s">
        <v>879</v>
      </c>
      <c r="AI31" s="77" t="b">
        <v>0</v>
      </c>
      <c r="AJ31" s="77"/>
      <c r="AK31" s="77"/>
      <c r="AL31" s="77"/>
      <c r="AM31" s="77"/>
      <c r="AN31" s="77"/>
      <c r="AO31" s="77"/>
      <c r="AP31" s="77"/>
      <c r="AQ31" s="77"/>
      <c r="AR31" s="77"/>
      <c r="AS31" s="77"/>
      <c r="AT31" s="77"/>
      <c r="AU31" s="77"/>
      <c r="AV31" s="83" t="str">
        <f>HYPERLINK("https://pbs.twimg.com/profile_images/1310352185679654912/xskSwHii_normal.jpg")</f>
        <v>https://pbs.twimg.com/profile_images/1310352185679654912/xskSwHii_normal.jpg</v>
      </c>
      <c r="AW31" s="81" t="s">
        <v>1034</v>
      </c>
      <c r="AX31" s="81" t="s">
        <v>1153</v>
      </c>
      <c r="AY31" s="81" t="s">
        <v>1173</v>
      </c>
      <c r="AZ31" s="81" t="s">
        <v>1036</v>
      </c>
      <c r="BA31" s="81" t="s">
        <v>1041</v>
      </c>
      <c r="BB31" s="81" t="s">
        <v>1190</v>
      </c>
      <c r="BC31" s="81" t="s">
        <v>1036</v>
      </c>
      <c r="BD31" s="81" t="s">
        <v>1173</v>
      </c>
      <c r="BE31" s="77"/>
      <c r="BF31" s="77"/>
      <c r="BG31" s="77"/>
      <c r="BH31" s="77"/>
      <c r="BI31" s="77"/>
      <c r="BJ31">
        <v>2</v>
      </c>
      <c r="BK31" s="76" t="str">
        <f>REPLACE(INDEX(GroupVertices[Group],MATCH(Edges[[#This Row],[Vertex 1]],GroupVertices[Vertex],0)),1,1,"")</f>
        <v>4</v>
      </c>
      <c r="BL31" s="76" t="str">
        <f>REPLACE(INDEX(GroupVertices[Group],MATCH(Edges[[#This Row],[Vertex 2]],GroupVertices[Vertex],0)),1,1,"")</f>
        <v>4</v>
      </c>
      <c r="BM31" s="45"/>
      <c r="BN31" s="46"/>
      <c r="BO31" s="45"/>
      <c r="BP31" s="46"/>
      <c r="BQ31" s="45"/>
      <c r="BR31" s="46"/>
      <c r="BS31" s="45"/>
      <c r="BT31" s="46"/>
      <c r="BU31" s="45"/>
    </row>
    <row r="32" spans="1:73" ht="15">
      <c r="A32" s="61" t="s">
        <v>227</v>
      </c>
      <c r="B32" s="61" t="s">
        <v>283</v>
      </c>
      <c r="C32" s="62" t="s">
        <v>11693</v>
      </c>
      <c r="D32" s="63">
        <v>4.4</v>
      </c>
      <c r="E32" s="64" t="s">
        <v>132</v>
      </c>
      <c r="F32" s="65">
        <v>27.6</v>
      </c>
      <c r="G32" s="62"/>
      <c r="H32" s="66"/>
      <c r="I32" s="67"/>
      <c r="J32" s="67"/>
      <c r="K32" s="31" t="s">
        <v>65</v>
      </c>
      <c r="L32" s="75">
        <v>32</v>
      </c>
      <c r="M32" s="75"/>
      <c r="N32" s="69"/>
      <c r="O32" s="77" t="s">
        <v>541</v>
      </c>
      <c r="P32" s="79">
        <v>45148.36515046296</v>
      </c>
      <c r="Q32" s="77" t="s">
        <v>551</v>
      </c>
      <c r="R32" s="77">
        <v>0</v>
      </c>
      <c r="S32" s="77">
        <v>0</v>
      </c>
      <c r="T32" s="77">
        <v>0</v>
      </c>
      <c r="U32" s="77">
        <v>0</v>
      </c>
      <c r="V32" s="77">
        <v>44</v>
      </c>
      <c r="W32" s="77"/>
      <c r="X32" s="83" t="str">
        <f>HYPERLINK("https://twitter.com/Charpy73/status/1071073087528058880?s=20")</f>
        <v>https://twitter.com/Charpy73/status/1071073087528058880?s=20</v>
      </c>
      <c r="Y32" s="77" t="s">
        <v>733</v>
      </c>
      <c r="Z32" s="77" t="s">
        <v>752</v>
      </c>
      <c r="AA32" s="77"/>
      <c r="AB32" s="77"/>
      <c r="AC32" s="81" t="s">
        <v>853</v>
      </c>
      <c r="AD32" s="77" t="s">
        <v>859</v>
      </c>
      <c r="AE32" s="83" t="str">
        <f>HYPERLINK("https://twitter.com/charpy73/status/1689558661083934720")</f>
        <v>https://twitter.com/charpy73/status/1689558661083934720</v>
      </c>
      <c r="AF32" s="79">
        <v>45148.36515046296</v>
      </c>
      <c r="AG32" s="85">
        <v>45148</v>
      </c>
      <c r="AH32" s="81" t="s">
        <v>878</v>
      </c>
      <c r="AI32" s="77" t="b">
        <v>0</v>
      </c>
      <c r="AJ32" s="77"/>
      <c r="AK32" s="77"/>
      <c r="AL32" s="77"/>
      <c r="AM32" s="77"/>
      <c r="AN32" s="77"/>
      <c r="AO32" s="77"/>
      <c r="AP32" s="77"/>
      <c r="AQ32" s="77"/>
      <c r="AR32" s="77"/>
      <c r="AS32" s="77"/>
      <c r="AT32" s="77"/>
      <c r="AU32" s="77"/>
      <c r="AV32" s="83" t="str">
        <f>HYPERLINK("https://pbs.twimg.com/profile_images/1310352185679654912/xskSwHii_normal.jpg")</f>
        <v>https://pbs.twimg.com/profile_images/1310352185679654912/xskSwHii_normal.jpg</v>
      </c>
      <c r="AW32" s="81" t="s">
        <v>1033</v>
      </c>
      <c r="AX32" s="81" t="s">
        <v>1153</v>
      </c>
      <c r="AY32" s="81" t="s">
        <v>1173</v>
      </c>
      <c r="AZ32" s="81" t="s">
        <v>1034</v>
      </c>
      <c r="BA32" s="81" t="s">
        <v>1040</v>
      </c>
      <c r="BB32" s="81" t="s">
        <v>1190</v>
      </c>
      <c r="BC32" s="81" t="s">
        <v>1034</v>
      </c>
      <c r="BD32" s="81" t="s">
        <v>1173</v>
      </c>
      <c r="BE32" s="77"/>
      <c r="BF32" s="77"/>
      <c r="BG32" s="77"/>
      <c r="BH32" s="77"/>
      <c r="BI32" s="77"/>
      <c r="BJ32">
        <v>2</v>
      </c>
      <c r="BK32" s="76" t="str">
        <f>REPLACE(INDEX(GroupVertices[Group],MATCH(Edges[[#This Row],[Vertex 1]],GroupVertices[Vertex],0)),1,1,"")</f>
        <v>4</v>
      </c>
      <c r="BL32" s="76" t="str">
        <f>REPLACE(INDEX(GroupVertices[Group],MATCH(Edges[[#This Row],[Vertex 2]],GroupVertices[Vertex],0)),1,1,"")</f>
        <v>4</v>
      </c>
      <c r="BM32" s="45"/>
      <c r="BN32" s="46"/>
      <c r="BO32" s="45"/>
      <c r="BP32" s="46"/>
      <c r="BQ32" s="45"/>
      <c r="BR32" s="46"/>
      <c r="BS32" s="45"/>
      <c r="BT32" s="46"/>
      <c r="BU32" s="45"/>
    </row>
    <row r="33" spans="1:73" ht="15">
      <c r="A33" s="61" t="s">
        <v>227</v>
      </c>
      <c r="B33" s="61" t="s">
        <v>283</v>
      </c>
      <c r="C33" s="62" t="s">
        <v>11693</v>
      </c>
      <c r="D33" s="63">
        <v>4.4</v>
      </c>
      <c r="E33" s="64" t="s">
        <v>132</v>
      </c>
      <c r="F33" s="65">
        <v>27.6</v>
      </c>
      <c r="G33" s="62"/>
      <c r="H33" s="66"/>
      <c r="I33" s="67"/>
      <c r="J33" s="67"/>
      <c r="K33" s="31" t="s">
        <v>65</v>
      </c>
      <c r="L33" s="75">
        <v>33</v>
      </c>
      <c r="M33" s="75"/>
      <c r="N33" s="69"/>
      <c r="O33" s="77" t="s">
        <v>541</v>
      </c>
      <c r="P33" s="79">
        <v>45148.35780092593</v>
      </c>
      <c r="Q33" s="77" t="s">
        <v>552</v>
      </c>
      <c r="R33" s="77">
        <v>0</v>
      </c>
      <c r="S33" s="77">
        <v>0</v>
      </c>
      <c r="T33" s="77">
        <v>1</v>
      </c>
      <c r="U33" s="77">
        <v>0</v>
      </c>
      <c r="V33" s="77">
        <v>80</v>
      </c>
      <c r="W33" s="81" t="s">
        <v>670</v>
      </c>
      <c r="X33" s="77" t="s">
        <v>729</v>
      </c>
      <c r="Y33" s="77" t="s">
        <v>735</v>
      </c>
      <c r="Z33" s="77" t="s">
        <v>753</v>
      </c>
      <c r="AA33" s="77"/>
      <c r="AB33" s="77"/>
      <c r="AC33" s="81" t="s">
        <v>853</v>
      </c>
      <c r="AD33" s="77" t="s">
        <v>859</v>
      </c>
      <c r="AE33" s="83" t="str">
        <f>HYPERLINK("https://twitter.com/charpy73/status/1689555994278330368")</f>
        <v>https://twitter.com/charpy73/status/1689555994278330368</v>
      </c>
      <c r="AF33" s="79">
        <v>45148.35780092593</v>
      </c>
      <c r="AG33" s="85">
        <v>45148</v>
      </c>
      <c r="AH33" s="81" t="s">
        <v>879</v>
      </c>
      <c r="AI33" s="77" t="b">
        <v>0</v>
      </c>
      <c r="AJ33" s="77"/>
      <c r="AK33" s="77"/>
      <c r="AL33" s="77"/>
      <c r="AM33" s="77"/>
      <c r="AN33" s="77"/>
      <c r="AO33" s="77"/>
      <c r="AP33" s="77"/>
      <c r="AQ33" s="77"/>
      <c r="AR33" s="77"/>
      <c r="AS33" s="77"/>
      <c r="AT33" s="77"/>
      <c r="AU33" s="77"/>
      <c r="AV33" s="83" t="str">
        <f>HYPERLINK("https://pbs.twimg.com/profile_images/1310352185679654912/xskSwHii_normal.jpg")</f>
        <v>https://pbs.twimg.com/profile_images/1310352185679654912/xskSwHii_normal.jpg</v>
      </c>
      <c r="AW33" s="81" t="s">
        <v>1034</v>
      </c>
      <c r="AX33" s="81" t="s">
        <v>1153</v>
      </c>
      <c r="AY33" s="81" t="s">
        <v>1173</v>
      </c>
      <c r="AZ33" s="81" t="s">
        <v>1036</v>
      </c>
      <c r="BA33" s="81" t="s">
        <v>1041</v>
      </c>
      <c r="BB33" s="81" t="s">
        <v>1190</v>
      </c>
      <c r="BC33" s="81" t="s">
        <v>1036</v>
      </c>
      <c r="BD33" s="81" t="s">
        <v>1173</v>
      </c>
      <c r="BE33" s="77"/>
      <c r="BF33" s="77"/>
      <c r="BG33" s="77"/>
      <c r="BH33" s="77"/>
      <c r="BI33" s="77"/>
      <c r="BJ33">
        <v>2</v>
      </c>
      <c r="BK33" s="76" t="str">
        <f>REPLACE(INDEX(GroupVertices[Group],MATCH(Edges[[#This Row],[Vertex 1]],GroupVertices[Vertex],0)),1,1,"")</f>
        <v>4</v>
      </c>
      <c r="BL33" s="76" t="str">
        <f>REPLACE(INDEX(GroupVertices[Group],MATCH(Edges[[#This Row],[Vertex 2]],GroupVertices[Vertex],0)),1,1,"")</f>
        <v>4</v>
      </c>
      <c r="BM33" s="45"/>
      <c r="BN33" s="46"/>
      <c r="BO33" s="45"/>
      <c r="BP33" s="46"/>
      <c r="BQ33" s="45"/>
      <c r="BR33" s="46"/>
      <c r="BS33" s="45"/>
      <c r="BT33" s="46"/>
      <c r="BU33" s="45"/>
    </row>
    <row r="34" spans="1:73" ht="15">
      <c r="A34" s="61" t="s">
        <v>227</v>
      </c>
      <c r="B34" s="61" t="s">
        <v>284</v>
      </c>
      <c r="C34" s="62" t="s">
        <v>11693</v>
      </c>
      <c r="D34" s="63">
        <v>4.4</v>
      </c>
      <c r="E34" s="64" t="s">
        <v>132</v>
      </c>
      <c r="F34" s="65">
        <v>27.6</v>
      </c>
      <c r="G34" s="62"/>
      <c r="H34" s="66"/>
      <c r="I34" s="67"/>
      <c r="J34" s="67"/>
      <c r="K34" s="31" t="s">
        <v>65</v>
      </c>
      <c r="L34" s="75">
        <v>34</v>
      </c>
      <c r="M34" s="75"/>
      <c r="N34" s="69"/>
      <c r="O34" s="77" t="s">
        <v>541</v>
      </c>
      <c r="P34" s="79">
        <v>45148.36515046296</v>
      </c>
      <c r="Q34" s="77" t="s">
        <v>551</v>
      </c>
      <c r="R34" s="77">
        <v>0</v>
      </c>
      <c r="S34" s="77">
        <v>0</v>
      </c>
      <c r="T34" s="77">
        <v>0</v>
      </c>
      <c r="U34" s="77">
        <v>0</v>
      </c>
      <c r="V34" s="77">
        <v>44</v>
      </c>
      <c r="W34" s="77"/>
      <c r="X34" s="83" t="str">
        <f>HYPERLINK("https://twitter.com/Charpy73/status/1071073087528058880?s=20")</f>
        <v>https://twitter.com/Charpy73/status/1071073087528058880?s=20</v>
      </c>
      <c r="Y34" s="77" t="s">
        <v>733</v>
      </c>
      <c r="Z34" s="77" t="s">
        <v>752</v>
      </c>
      <c r="AA34" s="77"/>
      <c r="AB34" s="77"/>
      <c r="AC34" s="81" t="s">
        <v>853</v>
      </c>
      <c r="AD34" s="77" t="s">
        <v>859</v>
      </c>
      <c r="AE34" s="83" t="str">
        <f>HYPERLINK("https://twitter.com/charpy73/status/1689558661083934720")</f>
        <v>https://twitter.com/charpy73/status/1689558661083934720</v>
      </c>
      <c r="AF34" s="79">
        <v>45148.36515046296</v>
      </c>
      <c r="AG34" s="85">
        <v>45148</v>
      </c>
      <c r="AH34" s="81" t="s">
        <v>878</v>
      </c>
      <c r="AI34" s="77" t="b">
        <v>0</v>
      </c>
      <c r="AJ34" s="77"/>
      <c r="AK34" s="77"/>
      <c r="AL34" s="77"/>
      <c r="AM34" s="77"/>
      <c r="AN34" s="77"/>
      <c r="AO34" s="77"/>
      <c r="AP34" s="77"/>
      <c r="AQ34" s="77"/>
      <c r="AR34" s="77"/>
      <c r="AS34" s="77"/>
      <c r="AT34" s="77"/>
      <c r="AU34" s="77"/>
      <c r="AV34" s="83" t="str">
        <f>HYPERLINK("https://pbs.twimg.com/profile_images/1310352185679654912/xskSwHii_normal.jpg")</f>
        <v>https://pbs.twimg.com/profile_images/1310352185679654912/xskSwHii_normal.jpg</v>
      </c>
      <c r="AW34" s="81" t="s">
        <v>1033</v>
      </c>
      <c r="AX34" s="81" t="s">
        <v>1153</v>
      </c>
      <c r="AY34" s="81" t="s">
        <v>1173</v>
      </c>
      <c r="AZ34" s="81" t="s">
        <v>1034</v>
      </c>
      <c r="BA34" s="81" t="s">
        <v>1040</v>
      </c>
      <c r="BB34" s="81" t="s">
        <v>1190</v>
      </c>
      <c r="BC34" s="81" t="s">
        <v>1034</v>
      </c>
      <c r="BD34" s="81" t="s">
        <v>1173</v>
      </c>
      <c r="BE34" s="77"/>
      <c r="BF34" s="77"/>
      <c r="BG34" s="77"/>
      <c r="BH34" s="77"/>
      <c r="BI34" s="77"/>
      <c r="BJ34">
        <v>2</v>
      </c>
      <c r="BK34" s="76" t="str">
        <f>REPLACE(INDEX(GroupVertices[Group],MATCH(Edges[[#This Row],[Vertex 1]],GroupVertices[Vertex],0)),1,1,"")</f>
        <v>4</v>
      </c>
      <c r="BL34" s="76" t="str">
        <f>REPLACE(INDEX(GroupVertices[Group],MATCH(Edges[[#This Row],[Vertex 2]],GroupVertices[Vertex],0)),1,1,"")</f>
        <v>4</v>
      </c>
      <c r="BM34" s="45"/>
      <c r="BN34" s="46"/>
      <c r="BO34" s="45"/>
      <c r="BP34" s="46"/>
      <c r="BQ34" s="45"/>
      <c r="BR34" s="46"/>
      <c r="BS34" s="45"/>
      <c r="BT34" s="46"/>
      <c r="BU34" s="45"/>
    </row>
    <row r="35" spans="1:73" ht="15">
      <c r="A35" s="61" t="s">
        <v>227</v>
      </c>
      <c r="B35" s="61" t="s">
        <v>284</v>
      </c>
      <c r="C35" s="62" t="s">
        <v>11693</v>
      </c>
      <c r="D35" s="63">
        <v>4.4</v>
      </c>
      <c r="E35" s="64" t="s">
        <v>132</v>
      </c>
      <c r="F35" s="65">
        <v>27.6</v>
      </c>
      <c r="G35" s="62"/>
      <c r="H35" s="66"/>
      <c r="I35" s="67"/>
      <c r="J35" s="67"/>
      <c r="K35" s="31" t="s">
        <v>65</v>
      </c>
      <c r="L35" s="75">
        <v>35</v>
      </c>
      <c r="M35" s="75"/>
      <c r="N35" s="69"/>
      <c r="O35" s="77" t="s">
        <v>541</v>
      </c>
      <c r="P35" s="79">
        <v>45148.35780092593</v>
      </c>
      <c r="Q35" s="77" t="s">
        <v>552</v>
      </c>
      <c r="R35" s="77">
        <v>0</v>
      </c>
      <c r="S35" s="77">
        <v>0</v>
      </c>
      <c r="T35" s="77">
        <v>1</v>
      </c>
      <c r="U35" s="77">
        <v>0</v>
      </c>
      <c r="V35" s="77">
        <v>80</v>
      </c>
      <c r="W35" s="81" t="s">
        <v>670</v>
      </c>
      <c r="X35" s="77" t="s">
        <v>729</v>
      </c>
      <c r="Y35" s="77" t="s">
        <v>735</v>
      </c>
      <c r="Z35" s="77" t="s">
        <v>753</v>
      </c>
      <c r="AA35" s="77"/>
      <c r="AB35" s="77"/>
      <c r="AC35" s="81" t="s">
        <v>853</v>
      </c>
      <c r="AD35" s="77" t="s">
        <v>859</v>
      </c>
      <c r="AE35" s="83" t="str">
        <f>HYPERLINK("https://twitter.com/charpy73/status/1689555994278330368")</f>
        <v>https://twitter.com/charpy73/status/1689555994278330368</v>
      </c>
      <c r="AF35" s="79">
        <v>45148.35780092593</v>
      </c>
      <c r="AG35" s="85">
        <v>45148</v>
      </c>
      <c r="AH35" s="81" t="s">
        <v>879</v>
      </c>
      <c r="AI35" s="77" t="b">
        <v>0</v>
      </c>
      <c r="AJ35" s="77"/>
      <c r="AK35" s="77"/>
      <c r="AL35" s="77"/>
      <c r="AM35" s="77"/>
      <c r="AN35" s="77"/>
      <c r="AO35" s="77"/>
      <c r="AP35" s="77"/>
      <c r="AQ35" s="77"/>
      <c r="AR35" s="77"/>
      <c r="AS35" s="77"/>
      <c r="AT35" s="77"/>
      <c r="AU35" s="77"/>
      <c r="AV35" s="83" t="str">
        <f>HYPERLINK("https://pbs.twimg.com/profile_images/1310352185679654912/xskSwHii_normal.jpg")</f>
        <v>https://pbs.twimg.com/profile_images/1310352185679654912/xskSwHii_normal.jpg</v>
      </c>
      <c r="AW35" s="81" t="s">
        <v>1034</v>
      </c>
      <c r="AX35" s="81" t="s">
        <v>1153</v>
      </c>
      <c r="AY35" s="81" t="s">
        <v>1173</v>
      </c>
      <c r="AZ35" s="81" t="s">
        <v>1036</v>
      </c>
      <c r="BA35" s="81" t="s">
        <v>1041</v>
      </c>
      <c r="BB35" s="81" t="s">
        <v>1190</v>
      </c>
      <c r="BC35" s="81" t="s">
        <v>1036</v>
      </c>
      <c r="BD35" s="81" t="s">
        <v>1173</v>
      </c>
      <c r="BE35" s="77"/>
      <c r="BF35" s="77"/>
      <c r="BG35" s="77"/>
      <c r="BH35" s="77"/>
      <c r="BI35" s="77"/>
      <c r="BJ35">
        <v>2</v>
      </c>
      <c r="BK35" s="76" t="str">
        <f>REPLACE(INDEX(GroupVertices[Group],MATCH(Edges[[#This Row],[Vertex 1]],GroupVertices[Vertex],0)),1,1,"")</f>
        <v>4</v>
      </c>
      <c r="BL35" s="76" t="str">
        <f>REPLACE(INDEX(GroupVertices[Group],MATCH(Edges[[#This Row],[Vertex 2]],GroupVertices[Vertex],0)),1,1,"")</f>
        <v>4</v>
      </c>
      <c r="BM35" s="45"/>
      <c r="BN35" s="46"/>
      <c r="BO35" s="45"/>
      <c r="BP35" s="46"/>
      <c r="BQ35" s="45"/>
      <c r="BR35" s="46"/>
      <c r="BS35" s="45"/>
      <c r="BT35" s="46"/>
      <c r="BU35" s="45"/>
    </row>
    <row r="36" spans="1:73" ht="15">
      <c r="A36" s="61" t="s">
        <v>227</v>
      </c>
      <c r="B36" s="61" t="s">
        <v>285</v>
      </c>
      <c r="C36" s="62" t="s">
        <v>11694</v>
      </c>
      <c r="D36" s="63">
        <v>5.8</v>
      </c>
      <c r="E36" s="64" t="s">
        <v>132</v>
      </c>
      <c r="F36" s="65">
        <v>23.2</v>
      </c>
      <c r="G36" s="62"/>
      <c r="H36" s="66"/>
      <c r="I36" s="67"/>
      <c r="J36" s="67"/>
      <c r="K36" s="31" t="s">
        <v>65</v>
      </c>
      <c r="L36" s="75">
        <v>36</v>
      </c>
      <c r="M36" s="75"/>
      <c r="N36" s="69"/>
      <c r="O36" s="77" t="s">
        <v>541</v>
      </c>
      <c r="P36" s="79">
        <v>45116.12596064815</v>
      </c>
      <c r="Q36" s="77" t="s">
        <v>550</v>
      </c>
      <c r="R36" s="77">
        <v>2</v>
      </c>
      <c r="S36" s="77">
        <v>0</v>
      </c>
      <c r="T36" s="77">
        <v>3</v>
      </c>
      <c r="U36" s="77">
        <v>1</v>
      </c>
      <c r="V36" s="77">
        <v>1223</v>
      </c>
      <c r="W36" s="81" t="s">
        <v>669</v>
      </c>
      <c r="X36" s="77" t="s">
        <v>728</v>
      </c>
      <c r="Y36" s="77" t="s">
        <v>734</v>
      </c>
      <c r="Z36" s="77" t="s">
        <v>751</v>
      </c>
      <c r="AA36" s="77" t="s">
        <v>823</v>
      </c>
      <c r="AB36" s="77" t="s">
        <v>848</v>
      </c>
      <c r="AC36" s="81" t="s">
        <v>853</v>
      </c>
      <c r="AD36" s="77" t="s">
        <v>859</v>
      </c>
      <c r="AE36" s="83" t="str">
        <f>HYPERLINK("https://twitter.com/charpy73/status/1677875566521864193")</f>
        <v>https://twitter.com/charpy73/status/1677875566521864193</v>
      </c>
      <c r="AF36" s="79">
        <v>45116.12596064815</v>
      </c>
      <c r="AG36" s="85">
        <v>45116</v>
      </c>
      <c r="AH36" s="81" t="s">
        <v>877</v>
      </c>
      <c r="AI36" s="77" t="b">
        <v>0</v>
      </c>
      <c r="AJ36" s="77"/>
      <c r="AK36" s="77"/>
      <c r="AL36" s="77"/>
      <c r="AM36" s="77"/>
      <c r="AN36" s="77"/>
      <c r="AO36" s="77"/>
      <c r="AP36" s="77"/>
      <c r="AQ36" s="77" t="s">
        <v>1002</v>
      </c>
      <c r="AR36" s="77"/>
      <c r="AS36" s="77"/>
      <c r="AT36" s="77"/>
      <c r="AU36" s="77"/>
      <c r="AV36" s="83" t="str">
        <f>HYPERLINK("https://pbs.twimg.com/media/F0kBquSXgAATesr.png")</f>
        <v>https://pbs.twimg.com/media/F0kBquSXgAATesr.png</v>
      </c>
      <c r="AW36" s="81" t="s">
        <v>1032</v>
      </c>
      <c r="AX36" s="81" t="s">
        <v>1152</v>
      </c>
      <c r="AY36" s="81" t="s">
        <v>1172</v>
      </c>
      <c r="AZ36" s="81" t="s">
        <v>1152</v>
      </c>
      <c r="BA36" s="81" t="s">
        <v>1200</v>
      </c>
      <c r="BB36" s="81" t="s">
        <v>1190</v>
      </c>
      <c r="BC36" s="81" t="s">
        <v>1152</v>
      </c>
      <c r="BD36" s="81" t="s">
        <v>1173</v>
      </c>
      <c r="BE36" s="77"/>
      <c r="BF36" s="77"/>
      <c r="BG36" s="77"/>
      <c r="BH36" s="77"/>
      <c r="BI36" s="77"/>
      <c r="BJ36">
        <v>3</v>
      </c>
      <c r="BK36" s="76" t="str">
        <f>REPLACE(INDEX(GroupVertices[Group],MATCH(Edges[[#This Row],[Vertex 1]],GroupVertices[Vertex],0)),1,1,"")</f>
        <v>4</v>
      </c>
      <c r="BL36" s="76" t="str">
        <f>REPLACE(INDEX(GroupVertices[Group],MATCH(Edges[[#This Row],[Vertex 2]],GroupVertices[Vertex],0)),1,1,"")</f>
        <v>4</v>
      </c>
      <c r="BM36" s="45"/>
      <c r="BN36" s="46"/>
      <c r="BO36" s="45"/>
      <c r="BP36" s="46"/>
      <c r="BQ36" s="45"/>
      <c r="BR36" s="46"/>
      <c r="BS36" s="45"/>
      <c r="BT36" s="46"/>
      <c r="BU36" s="45"/>
    </row>
    <row r="37" spans="1:73" ht="15">
      <c r="A37" s="61" t="s">
        <v>227</v>
      </c>
      <c r="B37" s="61" t="s">
        <v>285</v>
      </c>
      <c r="C37" s="62" t="s">
        <v>11694</v>
      </c>
      <c r="D37" s="63">
        <v>5.8</v>
      </c>
      <c r="E37" s="64" t="s">
        <v>132</v>
      </c>
      <c r="F37" s="65">
        <v>23.2</v>
      </c>
      <c r="G37" s="62"/>
      <c r="H37" s="66"/>
      <c r="I37" s="67"/>
      <c r="J37" s="67"/>
      <c r="K37" s="31" t="s">
        <v>65</v>
      </c>
      <c r="L37" s="75">
        <v>37</v>
      </c>
      <c r="M37" s="75"/>
      <c r="N37" s="69"/>
      <c r="O37" s="77" t="s">
        <v>541</v>
      </c>
      <c r="P37" s="79">
        <v>45148.36515046296</v>
      </c>
      <c r="Q37" s="77" t="s">
        <v>551</v>
      </c>
      <c r="R37" s="77">
        <v>0</v>
      </c>
      <c r="S37" s="77">
        <v>0</v>
      </c>
      <c r="T37" s="77">
        <v>0</v>
      </c>
      <c r="U37" s="77">
        <v>0</v>
      </c>
      <c r="V37" s="77">
        <v>44</v>
      </c>
      <c r="W37" s="77"/>
      <c r="X37" s="83" t="str">
        <f>HYPERLINK("https://twitter.com/Charpy73/status/1071073087528058880?s=20")</f>
        <v>https://twitter.com/Charpy73/status/1071073087528058880?s=20</v>
      </c>
      <c r="Y37" s="77" t="s">
        <v>733</v>
      </c>
      <c r="Z37" s="77" t="s">
        <v>752</v>
      </c>
      <c r="AA37" s="77"/>
      <c r="AB37" s="77"/>
      <c r="AC37" s="81" t="s">
        <v>853</v>
      </c>
      <c r="AD37" s="77" t="s">
        <v>859</v>
      </c>
      <c r="AE37" s="83" t="str">
        <f>HYPERLINK("https://twitter.com/charpy73/status/1689558661083934720")</f>
        <v>https://twitter.com/charpy73/status/1689558661083934720</v>
      </c>
      <c r="AF37" s="79">
        <v>45148.36515046296</v>
      </c>
      <c r="AG37" s="85">
        <v>45148</v>
      </c>
      <c r="AH37" s="81" t="s">
        <v>878</v>
      </c>
      <c r="AI37" s="77" t="b">
        <v>0</v>
      </c>
      <c r="AJ37" s="77"/>
      <c r="AK37" s="77"/>
      <c r="AL37" s="77"/>
      <c r="AM37" s="77"/>
      <c r="AN37" s="77"/>
      <c r="AO37" s="77"/>
      <c r="AP37" s="77"/>
      <c r="AQ37" s="77"/>
      <c r="AR37" s="77"/>
      <c r="AS37" s="77"/>
      <c r="AT37" s="77"/>
      <c r="AU37" s="77"/>
      <c r="AV37" s="83" t="str">
        <f>HYPERLINK("https://pbs.twimg.com/profile_images/1310352185679654912/xskSwHii_normal.jpg")</f>
        <v>https://pbs.twimg.com/profile_images/1310352185679654912/xskSwHii_normal.jpg</v>
      </c>
      <c r="AW37" s="81" t="s">
        <v>1033</v>
      </c>
      <c r="AX37" s="81" t="s">
        <v>1153</v>
      </c>
      <c r="AY37" s="81" t="s">
        <v>1173</v>
      </c>
      <c r="AZ37" s="81" t="s">
        <v>1034</v>
      </c>
      <c r="BA37" s="81" t="s">
        <v>1040</v>
      </c>
      <c r="BB37" s="81" t="s">
        <v>1190</v>
      </c>
      <c r="BC37" s="81" t="s">
        <v>1034</v>
      </c>
      <c r="BD37" s="81" t="s">
        <v>1173</v>
      </c>
      <c r="BE37" s="77"/>
      <c r="BF37" s="77"/>
      <c r="BG37" s="77"/>
      <c r="BH37" s="77"/>
      <c r="BI37" s="77"/>
      <c r="BJ37">
        <v>3</v>
      </c>
      <c r="BK37" s="76" t="str">
        <f>REPLACE(INDEX(GroupVertices[Group],MATCH(Edges[[#This Row],[Vertex 1]],GroupVertices[Vertex],0)),1,1,"")</f>
        <v>4</v>
      </c>
      <c r="BL37" s="76" t="str">
        <f>REPLACE(INDEX(GroupVertices[Group],MATCH(Edges[[#This Row],[Vertex 2]],GroupVertices[Vertex],0)),1,1,"")</f>
        <v>4</v>
      </c>
      <c r="BM37" s="45"/>
      <c r="BN37" s="46"/>
      <c r="BO37" s="45"/>
      <c r="BP37" s="46"/>
      <c r="BQ37" s="45"/>
      <c r="BR37" s="46"/>
      <c r="BS37" s="45"/>
      <c r="BT37" s="46"/>
      <c r="BU37" s="45"/>
    </row>
    <row r="38" spans="1:73" ht="15">
      <c r="A38" s="61" t="s">
        <v>227</v>
      </c>
      <c r="B38" s="61" t="s">
        <v>285</v>
      </c>
      <c r="C38" s="62" t="s">
        <v>11694</v>
      </c>
      <c r="D38" s="63">
        <v>5.8</v>
      </c>
      <c r="E38" s="64" t="s">
        <v>132</v>
      </c>
      <c r="F38" s="65">
        <v>23.2</v>
      </c>
      <c r="G38" s="62"/>
      <c r="H38" s="66"/>
      <c r="I38" s="67"/>
      <c r="J38" s="67"/>
      <c r="K38" s="31" t="s">
        <v>65</v>
      </c>
      <c r="L38" s="75">
        <v>38</v>
      </c>
      <c r="M38" s="75"/>
      <c r="N38" s="69"/>
      <c r="O38" s="77" t="s">
        <v>541</v>
      </c>
      <c r="P38" s="79">
        <v>45148.35780092593</v>
      </c>
      <c r="Q38" s="77" t="s">
        <v>552</v>
      </c>
      <c r="R38" s="77">
        <v>0</v>
      </c>
      <c r="S38" s="77">
        <v>0</v>
      </c>
      <c r="T38" s="77">
        <v>1</v>
      </c>
      <c r="U38" s="77">
        <v>0</v>
      </c>
      <c r="V38" s="77">
        <v>80</v>
      </c>
      <c r="W38" s="81" t="s">
        <v>670</v>
      </c>
      <c r="X38" s="77" t="s">
        <v>729</v>
      </c>
      <c r="Y38" s="77" t="s">
        <v>735</v>
      </c>
      <c r="Z38" s="77" t="s">
        <v>753</v>
      </c>
      <c r="AA38" s="77"/>
      <c r="AB38" s="77"/>
      <c r="AC38" s="81" t="s">
        <v>853</v>
      </c>
      <c r="AD38" s="77" t="s">
        <v>859</v>
      </c>
      <c r="AE38" s="83" t="str">
        <f>HYPERLINK("https://twitter.com/charpy73/status/1689555994278330368")</f>
        <v>https://twitter.com/charpy73/status/1689555994278330368</v>
      </c>
      <c r="AF38" s="79">
        <v>45148.35780092593</v>
      </c>
      <c r="AG38" s="85">
        <v>45148</v>
      </c>
      <c r="AH38" s="81" t="s">
        <v>879</v>
      </c>
      <c r="AI38" s="77" t="b">
        <v>0</v>
      </c>
      <c r="AJ38" s="77"/>
      <c r="AK38" s="77"/>
      <c r="AL38" s="77"/>
      <c r="AM38" s="77"/>
      <c r="AN38" s="77"/>
      <c r="AO38" s="77"/>
      <c r="AP38" s="77"/>
      <c r="AQ38" s="77"/>
      <c r="AR38" s="77"/>
      <c r="AS38" s="77"/>
      <c r="AT38" s="77"/>
      <c r="AU38" s="77"/>
      <c r="AV38" s="83" t="str">
        <f>HYPERLINK("https://pbs.twimg.com/profile_images/1310352185679654912/xskSwHii_normal.jpg")</f>
        <v>https://pbs.twimg.com/profile_images/1310352185679654912/xskSwHii_normal.jpg</v>
      </c>
      <c r="AW38" s="81" t="s">
        <v>1034</v>
      </c>
      <c r="AX38" s="81" t="s">
        <v>1153</v>
      </c>
      <c r="AY38" s="81" t="s">
        <v>1173</v>
      </c>
      <c r="AZ38" s="81" t="s">
        <v>1036</v>
      </c>
      <c r="BA38" s="81" t="s">
        <v>1041</v>
      </c>
      <c r="BB38" s="81" t="s">
        <v>1190</v>
      </c>
      <c r="BC38" s="81" t="s">
        <v>1036</v>
      </c>
      <c r="BD38" s="81" t="s">
        <v>1173</v>
      </c>
      <c r="BE38" s="77"/>
      <c r="BF38" s="77"/>
      <c r="BG38" s="77"/>
      <c r="BH38" s="77"/>
      <c r="BI38" s="77"/>
      <c r="BJ38">
        <v>3</v>
      </c>
      <c r="BK38" s="76" t="str">
        <f>REPLACE(INDEX(GroupVertices[Group],MATCH(Edges[[#This Row],[Vertex 1]],GroupVertices[Vertex],0)),1,1,"")</f>
        <v>4</v>
      </c>
      <c r="BL38" s="76" t="str">
        <f>REPLACE(INDEX(GroupVertices[Group],MATCH(Edges[[#This Row],[Vertex 2]],GroupVertices[Vertex],0)),1,1,"")</f>
        <v>4</v>
      </c>
      <c r="BM38" s="45"/>
      <c r="BN38" s="46"/>
      <c r="BO38" s="45"/>
      <c r="BP38" s="46"/>
      <c r="BQ38" s="45"/>
      <c r="BR38" s="46"/>
      <c r="BS38" s="45"/>
      <c r="BT38" s="46"/>
      <c r="BU38" s="45"/>
    </row>
    <row r="39" spans="1:73" ht="15">
      <c r="A39" s="61" t="s">
        <v>227</v>
      </c>
      <c r="B39" s="61" t="s">
        <v>286</v>
      </c>
      <c r="C39" s="62" t="s">
        <v>11692</v>
      </c>
      <c r="D39" s="63">
        <v>3</v>
      </c>
      <c r="E39" s="64" t="s">
        <v>132</v>
      </c>
      <c r="F39" s="65">
        <v>32</v>
      </c>
      <c r="G39" s="62"/>
      <c r="H39" s="66"/>
      <c r="I39" s="67"/>
      <c r="J39" s="67"/>
      <c r="K39" s="31" t="s">
        <v>65</v>
      </c>
      <c r="L39" s="75">
        <v>39</v>
      </c>
      <c r="M39" s="75"/>
      <c r="N39" s="69"/>
      <c r="O39" s="77" t="s">
        <v>543</v>
      </c>
      <c r="P39" s="79">
        <v>45148.35189814815</v>
      </c>
      <c r="Q39" s="77" t="s">
        <v>553</v>
      </c>
      <c r="R39" s="77">
        <v>0</v>
      </c>
      <c r="S39" s="77">
        <v>0</v>
      </c>
      <c r="T39" s="77">
        <v>1</v>
      </c>
      <c r="U39" s="77">
        <v>0</v>
      </c>
      <c r="V39" s="77">
        <v>17</v>
      </c>
      <c r="W39" s="77"/>
      <c r="X39" s="83" t="str">
        <f>HYPERLINK("https://www.nodexlgraphgallery.org/Pages/Graph.aspx?graphID=254623")</f>
        <v>https://www.nodexlgraphgallery.org/Pages/Graph.aspx?graphID=254623</v>
      </c>
      <c r="Y39" s="77" t="s">
        <v>732</v>
      </c>
      <c r="Z39" s="77" t="s">
        <v>754</v>
      </c>
      <c r="AA39" s="77"/>
      <c r="AB39" s="77"/>
      <c r="AC39" s="81" t="s">
        <v>853</v>
      </c>
      <c r="AD39" s="77" t="s">
        <v>862</v>
      </c>
      <c r="AE39" s="83" t="str">
        <f>HYPERLINK("https://twitter.com/charpy73/status/1689553858408693762")</f>
        <v>https://twitter.com/charpy73/status/1689553858408693762</v>
      </c>
      <c r="AF39" s="79">
        <v>45148.35189814815</v>
      </c>
      <c r="AG39" s="85">
        <v>45148</v>
      </c>
      <c r="AH39" s="81" t="s">
        <v>880</v>
      </c>
      <c r="AI39" s="77" t="b">
        <v>0</v>
      </c>
      <c r="AJ39" s="77"/>
      <c r="AK39" s="77"/>
      <c r="AL39" s="77"/>
      <c r="AM39" s="77"/>
      <c r="AN39" s="77"/>
      <c r="AO39" s="77"/>
      <c r="AP39" s="77"/>
      <c r="AQ39" s="77"/>
      <c r="AR39" s="77"/>
      <c r="AS39" s="77"/>
      <c r="AT39" s="77"/>
      <c r="AU39" s="77"/>
      <c r="AV39" s="83" t="str">
        <f>HYPERLINK("https://pbs.twimg.com/profile_images/1310352185679654912/xskSwHii_normal.jpg")</f>
        <v>https://pbs.twimg.com/profile_images/1310352185679654912/xskSwHii_normal.jpg</v>
      </c>
      <c r="AW39" s="81" t="s">
        <v>1035</v>
      </c>
      <c r="AX39" s="81" t="s">
        <v>1153</v>
      </c>
      <c r="AY39" s="81" t="s">
        <v>1173</v>
      </c>
      <c r="AZ39" s="81" t="s">
        <v>1038</v>
      </c>
      <c r="BA39" s="81" t="s">
        <v>1190</v>
      </c>
      <c r="BB39" s="81" t="s">
        <v>1190</v>
      </c>
      <c r="BC39" s="81" t="s">
        <v>1038</v>
      </c>
      <c r="BD39" s="81" t="s">
        <v>1173</v>
      </c>
      <c r="BE39" s="77"/>
      <c r="BF39" s="77"/>
      <c r="BG39" s="77"/>
      <c r="BH39" s="77"/>
      <c r="BI39" s="77"/>
      <c r="BJ39">
        <v>1</v>
      </c>
      <c r="BK39" s="76" t="str">
        <f>REPLACE(INDEX(GroupVertices[Group],MATCH(Edges[[#This Row],[Vertex 1]],GroupVertices[Vertex],0)),1,1,"")</f>
        <v>4</v>
      </c>
      <c r="BL39" s="76" t="str">
        <f>REPLACE(INDEX(GroupVertices[Group],MATCH(Edges[[#This Row],[Vertex 2]],GroupVertices[Vertex],0)),1,1,"")</f>
        <v>4</v>
      </c>
      <c r="BM39" s="45"/>
      <c r="BN39" s="46"/>
      <c r="BO39" s="45"/>
      <c r="BP39" s="46"/>
      <c r="BQ39" s="45"/>
      <c r="BR39" s="46"/>
      <c r="BS39" s="45"/>
      <c r="BT39" s="46"/>
      <c r="BU39" s="45"/>
    </row>
    <row r="40" spans="1:73" ht="15">
      <c r="A40" s="61" t="s">
        <v>227</v>
      </c>
      <c r="B40" s="61" t="s">
        <v>286</v>
      </c>
      <c r="C40" s="62" t="s">
        <v>11695</v>
      </c>
      <c r="D40" s="63">
        <v>7.2</v>
      </c>
      <c r="E40" s="64" t="s">
        <v>132</v>
      </c>
      <c r="F40" s="65">
        <v>18.8</v>
      </c>
      <c r="G40" s="62"/>
      <c r="H40" s="66"/>
      <c r="I40" s="67"/>
      <c r="J40" s="67"/>
      <c r="K40" s="31" t="s">
        <v>65</v>
      </c>
      <c r="L40" s="75">
        <v>40</v>
      </c>
      <c r="M40" s="75"/>
      <c r="N40" s="69"/>
      <c r="O40" s="77" t="s">
        <v>541</v>
      </c>
      <c r="P40" s="79">
        <v>45148.353993055556</v>
      </c>
      <c r="Q40" s="77" t="s">
        <v>554</v>
      </c>
      <c r="R40" s="77">
        <v>0</v>
      </c>
      <c r="S40" s="77">
        <v>0</v>
      </c>
      <c r="T40" s="77">
        <v>1</v>
      </c>
      <c r="U40" s="77">
        <v>0</v>
      </c>
      <c r="V40" s="77">
        <v>21</v>
      </c>
      <c r="W40" s="77"/>
      <c r="X40" s="83" t="str">
        <f>HYPERLINK("https://twitter.com/Charpy73/status/1081734473513869312?s=20")</f>
        <v>https://twitter.com/Charpy73/status/1081734473513869312?s=20</v>
      </c>
      <c r="Y40" s="77" t="s">
        <v>733</v>
      </c>
      <c r="Z40" s="77" t="s">
        <v>755</v>
      </c>
      <c r="AA40" s="77"/>
      <c r="AB40" s="77"/>
      <c r="AC40" s="81" t="s">
        <v>853</v>
      </c>
      <c r="AD40" s="77" t="s">
        <v>862</v>
      </c>
      <c r="AE40" s="83" t="str">
        <f>HYPERLINK("https://twitter.com/charpy73/status/1689554615862255616")</f>
        <v>https://twitter.com/charpy73/status/1689554615862255616</v>
      </c>
      <c r="AF40" s="79">
        <v>45148.353993055556</v>
      </c>
      <c r="AG40" s="85">
        <v>45148</v>
      </c>
      <c r="AH40" s="81" t="s">
        <v>881</v>
      </c>
      <c r="AI40" s="77" t="b">
        <v>0</v>
      </c>
      <c r="AJ40" s="77"/>
      <c r="AK40" s="77"/>
      <c r="AL40" s="77"/>
      <c r="AM40" s="77"/>
      <c r="AN40" s="77"/>
      <c r="AO40" s="77"/>
      <c r="AP40" s="77"/>
      <c r="AQ40" s="77"/>
      <c r="AR40" s="77"/>
      <c r="AS40" s="77"/>
      <c r="AT40" s="77"/>
      <c r="AU40" s="77"/>
      <c r="AV40" s="83" t="str">
        <f>HYPERLINK("https://pbs.twimg.com/profile_images/1310352185679654912/xskSwHii_normal.jpg")</f>
        <v>https://pbs.twimg.com/profile_images/1310352185679654912/xskSwHii_normal.jpg</v>
      </c>
      <c r="AW40" s="81" t="s">
        <v>1036</v>
      </c>
      <c r="AX40" s="81" t="s">
        <v>1153</v>
      </c>
      <c r="AY40" s="81" t="s">
        <v>1173</v>
      </c>
      <c r="AZ40" s="81" t="s">
        <v>1037</v>
      </c>
      <c r="BA40" s="81" t="s">
        <v>1039</v>
      </c>
      <c r="BB40" s="81" t="s">
        <v>1190</v>
      </c>
      <c r="BC40" s="81" t="s">
        <v>1037</v>
      </c>
      <c r="BD40" s="81" t="s">
        <v>1173</v>
      </c>
      <c r="BE40" s="77"/>
      <c r="BF40" s="77"/>
      <c r="BG40" s="77"/>
      <c r="BH40" s="77"/>
      <c r="BI40" s="77"/>
      <c r="BJ40">
        <v>4</v>
      </c>
      <c r="BK40" s="76" t="str">
        <f>REPLACE(INDEX(GroupVertices[Group],MATCH(Edges[[#This Row],[Vertex 1]],GroupVertices[Vertex],0)),1,1,"")</f>
        <v>4</v>
      </c>
      <c r="BL40" s="76" t="str">
        <f>REPLACE(INDEX(GroupVertices[Group],MATCH(Edges[[#This Row],[Vertex 2]],GroupVertices[Vertex],0)),1,1,"")</f>
        <v>4</v>
      </c>
      <c r="BM40" s="45"/>
      <c r="BN40" s="46"/>
      <c r="BO40" s="45"/>
      <c r="BP40" s="46"/>
      <c r="BQ40" s="45"/>
      <c r="BR40" s="46"/>
      <c r="BS40" s="45"/>
      <c r="BT40" s="46"/>
      <c r="BU40" s="45"/>
    </row>
    <row r="41" spans="1:73" ht="15">
      <c r="A41" s="61" t="s">
        <v>227</v>
      </c>
      <c r="B41" s="61" t="s">
        <v>286</v>
      </c>
      <c r="C41" s="62" t="s">
        <v>11695</v>
      </c>
      <c r="D41" s="63">
        <v>7.2</v>
      </c>
      <c r="E41" s="64" t="s">
        <v>132</v>
      </c>
      <c r="F41" s="65">
        <v>18.8</v>
      </c>
      <c r="G41" s="62"/>
      <c r="H41" s="66"/>
      <c r="I41" s="67"/>
      <c r="J41" s="67"/>
      <c r="K41" s="31" t="s">
        <v>65</v>
      </c>
      <c r="L41" s="75">
        <v>41</v>
      </c>
      <c r="M41" s="75"/>
      <c r="N41" s="69"/>
      <c r="O41" s="77" t="s">
        <v>541</v>
      </c>
      <c r="P41" s="79">
        <v>45148.353738425925</v>
      </c>
      <c r="Q41" s="77" t="s">
        <v>555</v>
      </c>
      <c r="R41" s="77">
        <v>0</v>
      </c>
      <c r="S41" s="77">
        <v>0</v>
      </c>
      <c r="T41" s="77">
        <v>1</v>
      </c>
      <c r="U41" s="77">
        <v>0</v>
      </c>
      <c r="V41" s="77">
        <v>17</v>
      </c>
      <c r="W41" s="77"/>
      <c r="X41" s="83" t="str">
        <f>HYPERLINK("https://twitter.com/Charpy73/status/1677875566521864193?s=20")</f>
        <v>https://twitter.com/Charpy73/status/1677875566521864193?s=20</v>
      </c>
      <c r="Y41" s="77" t="s">
        <v>733</v>
      </c>
      <c r="Z41" s="77" t="s">
        <v>755</v>
      </c>
      <c r="AA41" s="77"/>
      <c r="AB41" s="77"/>
      <c r="AC41" s="81" t="s">
        <v>853</v>
      </c>
      <c r="AD41" s="77" t="s">
        <v>862</v>
      </c>
      <c r="AE41" s="83" t="str">
        <f>HYPERLINK("https://twitter.com/charpy73/status/1689554525403643904")</f>
        <v>https://twitter.com/charpy73/status/1689554525403643904</v>
      </c>
      <c r="AF41" s="79">
        <v>45148.353738425925</v>
      </c>
      <c r="AG41" s="85">
        <v>45148</v>
      </c>
      <c r="AH41" s="81" t="s">
        <v>882</v>
      </c>
      <c r="AI41" s="77" t="b">
        <v>0</v>
      </c>
      <c r="AJ41" s="77"/>
      <c r="AK41" s="77"/>
      <c r="AL41" s="77"/>
      <c r="AM41" s="77"/>
      <c r="AN41" s="77"/>
      <c r="AO41" s="77"/>
      <c r="AP41" s="77"/>
      <c r="AQ41" s="77"/>
      <c r="AR41" s="77"/>
      <c r="AS41" s="77"/>
      <c r="AT41" s="77"/>
      <c r="AU41" s="77"/>
      <c r="AV41" s="83" t="str">
        <f>HYPERLINK("https://pbs.twimg.com/profile_images/1310352185679654912/xskSwHii_normal.jpg")</f>
        <v>https://pbs.twimg.com/profile_images/1310352185679654912/xskSwHii_normal.jpg</v>
      </c>
      <c r="AW41" s="81" t="s">
        <v>1037</v>
      </c>
      <c r="AX41" s="81" t="s">
        <v>1153</v>
      </c>
      <c r="AY41" s="81" t="s">
        <v>1173</v>
      </c>
      <c r="AZ41" s="81" t="s">
        <v>1035</v>
      </c>
      <c r="BA41" s="81" t="s">
        <v>1032</v>
      </c>
      <c r="BB41" s="81" t="s">
        <v>1190</v>
      </c>
      <c r="BC41" s="81" t="s">
        <v>1035</v>
      </c>
      <c r="BD41" s="81" t="s">
        <v>1173</v>
      </c>
      <c r="BE41" s="77"/>
      <c r="BF41" s="77"/>
      <c r="BG41" s="77"/>
      <c r="BH41" s="77"/>
      <c r="BI41" s="77"/>
      <c r="BJ41">
        <v>4</v>
      </c>
      <c r="BK41" s="76" t="str">
        <f>REPLACE(INDEX(GroupVertices[Group],MATCH(Edges[[#This Row],[Vertex 1]],GroupVertices[Vertex],0)),1,1,"")</f>
        <v>4</v>
      </c>
      <c r="BL41" s="76" t="str">
        <f>REPLACE(INDEX(GroupVertices[Group],MATCH(Edges[[#This Row],[Vertex 2]],GroupVertices[Vertex],0)),1,1,"")</f>
        <v>4</v>
      </c>
      <c r="BM41" s="45"/>
      <c r="BN41" s="46"/>
      <c r="BO41" s="45"/>
      <c r="BP41" s="46"/>
      <c r="BQ41" s="45"/>
      <c r="BR41" s="46"/>
      <c r="BS41" s="45"/>
      <c r="BT41" s="46"/>
      <c r="BU41" s="45"/>
    </row>
    <row r="42" spans="1:73" ht="15">
      <c r="A42" s="61" t="s">
        <v>227</v>
      </c>
      <c r="B42" s="61" t="s">
        <v>286</v>
      </c>
      <c r="C42" s="62" t="s">
        <v>11695</v>
      </c>
      <c r="D42" s="63">
        <v>7.2</v>
      </c>
      <c r="E42" s="64" t="s">
        <v>132</v>
      </c>
      <c r="F42" s="65">
        <v>18.8</v>
      </c>
      <c r="G42" s="62"/>
      <c r="H42" s="66"/>
      <c r="I42" s="67"/>
      <c r="J42" s="67"/>
      <c r="K42" s="31" t="s">
        <v>65</v>
      </c>
      <c r="L42" s="75">
        <v>42</v>
      </c>
      <c r="M42" s="75"/>
      <c r="N42" s="69"/>
      <c r="O42" s="77" t="s">
        <v>541</v>
      </c>
      <c r="P42" s="79">
        <v>45148.36515046296</v>
      </c>
      <c r="Q42" s="77" t="s">
        <v>551</v>
      </c>
      <c r="R42" s="77">
        <v>0</v>
      </c>
      <c r="S42" s="77">
        <v>0</v>
      </c>
      <c r="T42" s="77">
        <v>0</v>
      </c>
      <c r="U42" s="77">
        <v>0</v>
      </c>
      <c r="V42" s="77">
        <v>44</v>
      </c>
      <c r="W42" s="77"/>
      <c r="X42" s="83" t="str">
        <f>HYPERLINK("https://twitter.com/Charpy73/status/1071073087528058880?s=20")</f>
        <v>https://twitter.com/Charpy73/status/1071073087528058880?s=20</v>
      </c>
      <c r="Y42" s="77" t="s">
        <v>733</v>
      </c>
      <c r="Z42" s="77" t="s">
        <v>752</v>
      </c>
      <c r="AA42" s="77"/>
      <c r="AB42" s="77"/>
      <c r="AC42" s="81" t="s">
        <v>853</v>
      </c>
      <c r="AD42" s="77" t="s">
        <v>859</v>
      </c>
      <c r="AE42" s="83" t="str">
        <f>HYPERLINK("https://twitter.com/charpy73/status/1689558661083934720")</f>
        <v>https://twitter.com/charpy73/status/1689558661083934720</v>
      </c>
      <c r="AF42" s="79">
        <v>45148.36515046296</v>
      </c>
      <c r="AG42" s="85">
        <v>45148</v>
      </c>
      <c r="AH42" s="81" t="s">
        <v>878</v>
      </c>
      <c r="AI42" s="77" t="b">
        <v>0</v>
      </c>
      <c r="AJ42" s="77"/>
      <c r="AK42" s="77"/>
      <c r="AL42" s="77"/>
      <c r="AM42" s="77"/>
      <c r="AN42" s="77"/>
      <c r="AO42" s="77"/>
      <c r="AP42" s="77"/>
      <c r="AQ42" s="77"/>
      <c r="AR42" s="77"/>
      <c r="AS42" s="77"/>
      <c r="AT42" s="77"/>
      <c r="AU42" s="77"/>
      <c r="AV42" s="83" t="str">
        <f>HYPERLINK("https://pbs.twimg.com/profile_images/1310352185679654912/xskSwHii_normal.jpg")</f>
        <v>https://pbs.twimg.com/profile_images/1310352185679654912/xskSwHii_normal.jpg</v>
      </c>
      <c r="AW42" s="81" t="s">
        <v>1033</v>
      </c>
      <c r="AX42" s="81" t="s">
        <v>1153</v>
      </c>
      <c r="AY42" s="81" t="s">
        <v>1173</v>
      </c>
      <c r="AZ42" s="81" t="s">
        <v>1034</v>
      </c>
      <c r="BA42" s="81" t="s">
        <v>1040</v>
      </c>
      <c r="BB42" s="81" t="s">
        <v>1190</v>
      </c>
      <c r="BC42" s="81" t="s">
        <v>1034</v>
      </c>
      <c r="BD42" s="81" t="s">
        <v>1173</v>
      </c>
      <c r="BE42" s="77"/>
      <c r="BF42" s="77"/>
      <c r="BG42" s="77"/>
      <c r="BH42" s="77"/>
      <c r="BI42" s="77"/>
      <c r="BJ42">
        <v>4</v>
      </c>
      <c r="BK42" s="76" t="str">
        <f>REPLACE(INDEX(GroupVertices[Group],MATCH(Edges[[#This Row],[Vertex 1]],GroupVertices[Vertex],0)),1,1,"")</f>
        <v>4</v>
      </c>
      <c r="BL42" s="76" t="str">
        <f>REPLACE(INDEX(GroupVertices[Group],MATCH(Edges[[#This Row],[Vertex 2]],GroupVertices[Vertex],0)),1,1,"")</f>
        <v>4</v>
      </c>
      <c r="BM42" s="45"/>
      <c r="BN42" s="46"/>
      <c r="BO42" s="45"/>
      <c r="BP42" s="46"/>
      <c r="BQ42" s="45"/>
      <c r="BR42" s="46"/>
      <c r="BS42" s="45"/>
      <c r="BT42" s="46"/>
      <c r="BU42" s="45"/>
    </row>
    <row r="43" spans="1:73" ht="15">
      <c r="A43" s="61" t="s">
        <v>227</v>
      </c>
      <c r="B43" s="61" t="s">
        <v>286</v>
      </c>
      <c r="C43" s="62" t="s">
        <v>11695</v>
      </c>
      <c r="D43" s="63">
        <v>7.2</v>
      </c>
      <c r="E43" s="64" t="s">
        <v>132</v>
      </c>
      <c r="F43" s="65">
        <v>18.8</v>
      </c>
      <c r="G43" s="62"/>
      <c r="H43" s="66"/>
      <c r="I43" s="67"/>
      <c r="J43" s="67"/>
      <c r="K43" s="31" t="s">
        <v>65</v>
      </c>
      <c r="L43" s="75">
        <v>43</v>
      </c>
      <c r="M43" s="75"/>
      <c r="N43" s="69"/>
      <c r="O43" s="77" t="s">
        <v>541</v>
      </c>
      <c r="P43" s="79">
        <v>45148.35780092593</v>
      </c>
      <c r="Q43" s="77" t="s">
        <v>552</v>
      </c>
      <c r="R43" s="77">
        <v>0</v>
      </c>
      <c r="S43" s="77">
        <v>0</v>
      </c>
      <c r="T43" s="77">
        <v>1</v>
      </c>
      <c r="U43" s="77">
        <v>0</v>
      </c>
      <c r="V43" s="77">
        <v>80</v>
      </c>
      <c r="W43" s="81" t="s">
        <v>670</v>
      </c>
      <c r="X43" s="77" t="s">
        <v>729</v>
      </c>
      <c r="Y43" s="77" t="s">
        <v>735</v>
      </c>
      <c r="Z43" s="77" t="s">
        <v>753</v>
      </c>
      <c r="AA43" s="77"/>
      <c r="AB43" s="77"/>
      <c r="AC43" s="81" t="s">
        <v>853</v>
      </c>
      <c r="AD43" s="77" t="s">
        <v>859</v>
      </c>
      <c r="AE43" s="83" t="str">
        <f>HYPERLINK("https://twitter.com/charpy73/status/1689555994278330368")</f>
        <v>https://twitter.com/charpy73/status/1689555994278330368</v>
      </c>
      <c r="AF43" s="79">
        <v>45148.35780092593</v>
      </c>
      <c r="AG43" s="85">
        <v>45148</v>
      </c>
      <c r="AH43" s="81" t="s">
        <v>879</v>
      </c>
      <c r="AI43" s="77" t="b">
        <v>0</v>
      </c>
      <c r="AJ43" s="77"/>
      <c r="AK43" s="77"/>
      <c r="AL43" s="77"/>
      <c r="AM43" s="77"/>
      <c r="AN43" s="77"/>
      <c r="AO43" s="77"/>
      <c r="AP43" s="77"/>
      <c r="AQ43" s="77"/>
      <c r="AR43" s="77"/>
      <c r="AS43" s="77"/>
      <c r="AT43" s="77"/>
      <c r="AU43" s="77"/>
      <c r="AV43" s="83" t="str">
        <f>HYPERLINK("https://pbs.twimg.com/profile_images/1310352185679654912/xskSwHii_normal.jpg")</f>
        <v>https://pbs.twimg.com/profile_images/1310352185679654912/xskSwHii_normal.jpg</v>
      </c>
      <c r="AW43" s="81" t="s">
        <v>1034</v>
      </c>
      <c r="AX43" s="81" t="s">
        <v>1153</v>
      </c>
      <c r="AY43" s="81" t="s">
        <v>1173</v>
      </c>
      <c r="AZ43" s="81" t="s">
        <v>1036</v>
      </c>
      <c r="BA43" s="81" t="s">
        <v>1041</v>
      </c>
      <c r="BB43" s="81" t="s">
        <v>1190</v>
      </c>
      <c r="BC43" s="81" t="s">
        <v>1036</v>
      </c>
      <c r="BD43" s="81" t="s">
        <v>1173</v>
      </c>
      <c r="BE43" s="77"/>
      <c r="BF43" s="77"/>
      <c r="BG43" s="77"/>
      <c r="BH43" s="77"/>
      <c r="BI43" s="77"/>
      <c r="BJ43">
        <v>4</v>
      </c>
      <c r="BK43" s="76" t="str">
        <f>REPLACE(INDEX(GroupVertices[Group],MATCH(Edges[[#This Row],[Vertex 1]],GroupVertices[Vertex],0)),1,1,"")</f>
        <v>4</v>
      </c>
      <c r="BL43" s="76" t="str">
        <f>REPLACE(INDEX(GroupVertices[Group],MATCH(Edges[[#This Row],[Vertex 2]],GroupVertices[Vertex],0)),1,1,"")</f>
        <v>4</v>
      </c>
      <c r="BM43" s="45"/>
      <c r="BN43" s="46"/>
      <c r="BO43" s="45"/>
      <c r="BP43" s="46"/>
      <c r="BQ43" s="45"/>
      <c r="BR43" s="46"/>
      <c r="BS43" s="45"/>
      <c r="BT43" s="46"/>
      <c r="BU43" s="45"/>
    </row>
    <row r="44" spans="1:73" ht="15">
      <c r="A44" s="61" t="s">
        <v>227</v>
      </c>
      <c r="B44" s="61" t="s">
        <v>287</v>
      </c>
      <c r="C44" s="62" t="s">
        <v>11692</v>
      </c>
      <c r="D44" s="63">
        <v>3</v>
      </c>
      <c r="E44" s="64" t="s">
        <v>132</v>
      </c>
      <c r="F44" s="65">
        <v>32</v>
      </c>
      <c r="G44" s="62"/>
      <c r="H44" s="66"/>
      <c r="I44" s="67"/>
      <c r="J44" s="67"/>
      <c r="K44" s="31" t="s">
        <v>65</v>
      </c>
      <c r="L44" s="75">
        <v>44</v>
      </c>
      <c r="M44" s="75"/>
      <c r="N44" s="69"/>
      <c r="O44" s="77" t="s">
        <v>543</v>
      </c>
      <c r="P44" s="79">
        <v>45148.35189814815</v>
      </c>
      <c r="Q44" s="77" t="s">
        <v>553</v>
      </c>
      <c r="R44" s="77">
        <v>0</v>
      </c>
      <c r="S44" s="77">
        <v>0</v>
      </c>
      <c r="T44" s="77">
        <v>1</v>
      </c>
      <c r="U44" s="77">
        <v>0</v>
      </c>
      <c r="V44" s="77">
        <v>17</v>
      </c>
      <c r="W44" s="77"/>
      <c r="X44" s="83" t="str">
        <f>HYPERLINK("https://www.nodexlgraphgallery.org/Pages/Graph.aspx?graphID=254623")</f>
        <v>https://www.nodexlgraphgallery.org/Pages/Graph.aspx?graphID=254623</v>
      </c>
      <c r="Y44" s="77" t="s">
        <v>732</v>
      </c>
      <c r="Z44" s="77" t="s">
        <v>754</v>
      </c>
      <c r="AA44" s="77"/>
      <c r="AB44" s="77"/>
      <c r="AC44" s="81" t="s">
        <v>853</v>
      </c>
      <c r="AD44" s="77" t="s">
        <v>862</v>
      </c>
      <c r="AE44" s="83" t="str">
        <f>HYPERLINK("https://twitter.com/charpy73/status/1689553858408693762")</f>
        <v>https://twitter.com/charpy73/status/1689553858408693762</v>
      </c>
      <c r="AF44" s="79">
        <v>45148.35189814815</v>
      </c>
      <c r="AG44" s="85">
        <v>45148</v>
      </c>
      <c r="AH44" s="81" t="s">
        <v>880</v>
      </c>
      <c r="AI44" s="77" t="b">
        <v>0</v>
      </c>
      <c r="AJ44" s="77"/>
      <c r="AK44" s="77"/>
      <c r="AL44" s="77"/>
      <c r="AM44" s="77"/>
      <c r="AN44" s="77"/>
      <c r="AO44" s="77"/>
      <c r="AP44" s="77"/>
      <c r="AQ44" s="77"/>
      <c r="AR44" s="77"/>
      <c r="AS44" s="77"/>
      <c r="AT44" s="77"/>
      <c r="AU44" s="77"/>
      <c r="AV44" s="83" t="str">
        <f>HYPERLINK("https://pbs.twimg.com/profile_images/1310352185679654912/xskSwHii_normal.jpg")</f>
        <v>https://pbs.twimg.com/profile_images/1310352185679654912/xskSwHii_normal.jpg</v>
      </c>
      <c r="AW44" s="81" t="s">
        <v>1035</v>
      </c>
      <c r="AX44" s="81" t="s">
        <v>1153</v>
      </c>
      <c r="AY44" s="81" t="s">
        <v>1173</v>
      </c>
      <c r="AZ44" s="81" t="s">
        <v>1038</v>
      </c>
      <c r="BA44" s="81" t="s">
        <v>1190</v>
      </c>
      <c r="BB44" s="81" t="s">
        <v>1190</v>
      </c>
      <c r="BC44" s="81" t="s">
        <v>1038</v>
      </c>
      <c r="BD44" s="81" t="s">
        <v>1173</v>
      </c>
      <c r="BE44" s="77"/>
      <c r="BF44" s="77"/>
      <c r="BG44" s="77"/>
      <c r="BH44" s="77"/>
      <c r="BI44" s="77"/>
      <c r="BJ44">
        <v>1</v>
      </c>
      <c r="BK44" s="76" t="str">
        <f>REPLACE(INDEX(GroupVertices[Group],MATCH(Edges[[#This Row],[Vertex 1]],GroupVertices[Vertex],0)),1,1,"")</f>
        <v>4</v>
      </c>
      <c r="BL44" s="76" t="str">
        <f>REPLACE(INDEX(GroupVertices[Group],MATCH(Edges[[#This Row],[Vertex 2]],GroupVertices[Vertex],0)),1,1,"")</f>
        <v>4</v>
      </c>
      <c r="BM44" s="45"/>
      <c r="BN44" s="46"/>
      <c r="BO44" s="45"/>
      <c r="BP44" s="46"/>
      <c r="BQ44" s="45"/>
      <c r="BR44" s="46"/>
      <c r="BS44" s="45"/>
      <c r="BT44" s="46"/>
      <c r="BU44" s="45"/>
    </row>
    <row r="45" spans="1:73" ht="15">
      <c r="A45" s="61" t="s">
        <v>227</v>
      </c>
      <c r="B45" s="61" t="s">
        <v>287</v>
      </c>
      <c r="C45" s="62" t="s">
        <v>11695</v>
      </c>
      <c r="D45" s="63">
        <v>7.2</v>
      </c>
      <c r="E45" s="64" t="s">
        <v>132</v>
      </c>
      <c r="F45" s="65">
        <v>18.8</v>
      </c>
      <c r="G45" s="62"/>
      <c r="H45" s="66"/>
      <c r="I45" s="67"/>
      <c r="J45" s="67"/>
      <c r="K45" s="31" t="s">
        <v>65</v>
      </c>
      <c r="L45" s="75">
        <v>45</v>
      </c>
      <c r="M45" s="75"/>
      <c r="N45" s="69"/>
      <c r="O45" s="77" t="s">
        <v>541</v>
      </c>
      <c r="P45" s="79">
        <v>45148.353993055556</v>
      </c>
      <c r="Q45" s="77" t="s">
        <v>554</v>
      </c>
      <c r="R45" s="77">
        <v>0</v>
      </c>
      <c r="S45" s="77">
        <v>0</v>
      </c>
      <c r="T45" s="77">
        <v>1</v>
      </c>
      <c r="U45" s="77">
        <v>0</v>
      </c>
      <c r="V45" s="77">
        <v>21</v>
      </c>
      <c r="W45" s="77"/>
      <c r="X45" s="83" t="str">
        <f>HYPERLINK("https://twitter.com/Charpy73/status/1081734473513869312?s=20")</f>
        <v>https://twitter.com/Charpy73/status/1081734473513869312?s=20</v>
      </c>
      <c r="Y45" s="77" t="s">
        <v>733</v>
      </c>
      <c r="Z45" s="77" t="s">
        <v>755</v>
      </c>
      <c r="AA45" s="77"/>
      <c r="AB45" s="77"/>
      <c r="AC45" s="81" t="s">
        <v>853</v>
      </c>
      <c r="AD45" s="77" t="s">
        <v>862</v>
      </c>
      <c r="AE45" s="83" t="str">
        <f>HYPERLINK("https://twitter.com/charpy73/status/1689554615862255616")</f>
        <v>https://twitter.com/charpy73/status/1689554615862255616</v>
      </c>
      <c r="AF45" s="79">
        <v>45148.353993055556</v>
      </c>
      <c r="AG45" s="85">
        <v>45148</v>
      </c>
      <c r="AH45" s="81" t="s">
        <v>881</v>
      </c>
      <c r="AI45" s="77" t="b">
        <v>0</v>
      </c>
      <c r="AJ45" s="77"/>
      <c r="AK45" s="77"/>
      <c r="AL45" s="77"/>
      <c r="AM45" s="77"/>
      <c r="AN45" s="77"/>
      <c r="AO45" s="77"/>
      <c r="AP45" s="77"/>
      <c r="AQ45" s="77"/>
      <c r="AR45" s="77"/>
      <c r="AS45" s="77"/>
      <c r="AT45" s="77"/>
      <c r="AU45" s="77"/>
      <c r="AV45" s="83" t="str">
        <f>HYPERLINK("https://pbs.twimg.com/profile_images/1310352185679654912/xskSwHii_normal.jpg")</f>
        <v>https://pbs.twimg.com/profile_images/1310352185679654912/xskSwHii_normal.jpg</v>
      </c>
      <c r="AW45" s="81" t="s">
        <v>1036</v>
      </c>
      <c r="AX45" s="81" t="s">
        <v>1153</v>
      </c>
      <c r="AY45" s="81" t="s">
        <v>1173</v>
      </c>
      <c r="AZ45" s="81" t="s">
        <v>1037</v>
      </c>
      <c r="BA45" s="81" t="s">
        <v>1039</v>
      </c>
      <c r="BB45" s="81" t="s">
        <v>1190</v>
      </c>
      <c r="BC45" s="81" t="s">
        <v>1037</v>
      </c>
      <c r="BD45" s="81" t="s">
        <v>1173</v>
      </c>
      <c r="BE45" s="77"/>
      <c r="BF45" s="77"/>
      <c r="BG45" s="77"/>
      <c r="BH45" s="77"/>
      <c r="BI45" s="77"/>
      <c r="BJ45">
        <v>4</v>
      </c>
      <c r="BK45" s="76" t="str">
        <f>REPLACE(INDEX(GroupVertices[Group],MATCH(Edges[[#This Row],[Vertex 1]],GroupVertices[Vertex],0)),1,1,"")</f>
        <v>4</v>
      </c>
      <c r="BL45" s="76" t="str">
        <f>REPLACE(INDEX(GroupVertices[Group],MATCH(Edges[[#This Row],[Vertex 2]],GroupVertices[Vertex],0)),1,1,"")</f>
        <v>4</v>
      </c>
      <c r="BM45" s="45"/>
      <c r="BN45" s="46"/>
      <c r="BO45" s="45"/>
      <c r="BP45" s="46"/>
      <c r="BQ45" s="45"/>
      <c r="BR45" s="46"/>
      <c r="BS45" s="45"/>
      <c r="BT45" s="46"/>
      <c r="BU45" s="45"/>
    </row>
    <row r="46" spans="1:73" ht="15">
      <c r="A46" s="61" t="s">
        <v>227</v>
      </c>
      <c r="B46" s="61" t="s">
        <v>287</v>
      </c>
      <c r="C46" s="62" t="s">
        <v>11695</v>
      </c>
      <c r="D46" s="63">
        <v>7.2</v>
      </c>
      <c r="E46" s="64" t="s">
        <v>132</v>
      </c>
      <c r="F46" s="65">
        <v>18.8</v>
      </c>
      <c r="G46" s="62"/>
      <c r="H46" s="66"/>
      <c r="I46" s="67"/>
      <c r="J46" s="67"/>
      <c r="K46" s="31" t="s">
        <v>65</v>
      </c>
      <c r="L46" s="75">
        <v>46</v>
      </c>
      <c r="M46" s="75"/>
      <c r="N46" s="69"/>
      <c r="O46" s="77" t="s">
        <v>541</v>
      </c>
      <c r="P46" s="79">
        <v>45148.353738425925</v>
      </c>
      <c r="Q46" s="77" t="s">
        <v>555</v>
      </c>
      <c r="R46" s="77">
        <v>0</v>
      </c>
      <c r="S46" s="77">
        <v>0</v>
      </c>
      <c r="T46" s="77">
        <v>1</v>
      </c>
      <c r="U46" s="77">
        <v>0</v>
      </c>
      <c r="V46" s="77">
        <v>17</v>
      </c>
      <c r="W46" s="77"/>
      <c r="X46" s="83" t="str">
        <f>HYPERLINK("https://twitter.com/Charpy73/status/1677875566521864193?s=20")</f>
        <v>https://twitter.com/Charpy73/status/1677875566521864193?s=20</v>
      </c>
      <c r="Y46" s="77" t="s">
        <v>733</v>
      </c>
      <c r="Z46" s="77" t="s">
        <v>755</v>
      </c>
      <c r="AA46" s="77"/>
      <c r="AB46" s="77"/>
      <c r="AC46" s="81" t="s">
        <v>853</v>
      </c>
      <c r="AD46" s="77" t="s">
        <v>862</v>
      </c>
      <c r="AE46" s="83" t="str">
        <f>HYPERLINK("https://twitter.com/charpy73/status/1689554525403643904")</f>
        <v>https://twitter.com/charpy73/status/1689554525403643904</v>
      </c>
      <c r="AF46" s="79">
        <v>45148.353738425925</v>
      </c>
      <c r="AG46" s="85">
        <v>45148</v>
      </c>
      <c r="AH46" s="81" t="s">
        <v>882</v>
      </c>
      <c r="AI46" s="77" t="b">
        <v>0</v>
      </c>
      <c r="AJ46" s="77"/>
      <c r="AK46" s="77"/>
      <c r="AL46" s="77"/>
      <c r="AM46" s="77"/>
      <c r="AN46" s="77"/>
      <c r="AO46" s="77"/>
      <c r="AP46" s="77"/>
      <c r="AQ46" s="77"/>
      <c r="AR46" s="77"/>
      <c r="AS46" s="77"/>
      <c r="AT46" s="77"/>
      <c r="AU46" s="77"/>
      <c r="AV46" s="83" t="str">
        <f>HYPERLINK("https://pbs.twimg.com/profile_images/1310352185679654912/xskSwHii_normal.jpg")</f>
        <v>https://pbs.twimg.com/profile_images/1310352185679654912/xskSwHii_normal.jpg</v>
      </c>
      <c r="AW46" s="81" t="s">
        <v>1037</v>
      </c>
      <c r="AX46" s="81" t="s">
        <v>1153</v>
      </c>
      <c r="AY46" s="81" t="s">
        <v>1173</v>
      </c>
      <c r="AZ46" s="81" t="s">
        <v>1035</v>
      </c>
      <c r="BA46" s="81" t="s">
        <v>1032</v>
      </c>
      <c r="BB46" s="81" t="s">
        <v>1190</v>
      </c>
      <c r="BC46" s="81" t="s">
        <v>1035</v>
      </c>
      <c r="BD46" s="81" t="s">
        <v>1173</v>
      </c>
      <c r="BE46" s="77"/>
      <c r="BF46" s="77"/>
      <c r="BG46" s="77"/>
      <c r="BH46" s="77"/>
      <c r="BI46" s="77"/>
      <c r="BJ46">
        <v>4</v>
      </c>
      <c r="BK46" s="76" t="str">
        <f>REPLACE(INDEX(GroupVertices[Group],MATCH(Edges[[#This Row],[Vertex 1]],GroupVertices[Vertex],0)),1,1,"")</f>
        <v>4</v>
      </c>
      <c r="BL46" s="76" t="str">
        <f>REPLACE(INDEX(GroupVertices[Group],MATCH(Edges[[#This Row],[Vertex 2]],GroupVertices[Vertex],0)),1,1,"")</f>
        <v>4</v>
      </c>
      <c r="BM46" s="45"/>
      <c r="BN46" s="46"/>
      <c r="BO46" s="45"/>
      <c r="BP46" s="46"/>
      <c r="BQ46" s="45"/>
      <c r="BR46" s="46"/>
      <c r="BS46" s="45"/>
      <c r="BT46" s="46"/>
      <c r="BU46" s="45"/>
    </row>
    <row r="47" spans="1:73" ht="15">
      <c r="A47" s="61" t="s">
        <v>227</v>
      </c>
      <c r="B47" s="61" t="s">
        <v>287</v>
      </c>
      <c r="C47" s="62" t="s">
        <v>11695</v>
      </c>
      <c r="D47" s="63">
        <v>7.2</v>
      </c>
      <c r="E47" s="64" t="s">
        <v>132</v>
      </c>
      <c r="F47" s="65">
        <v>18.8</v>
      </c>
      <c r="G47" s="62"/>
      <c r="H47" s="66"/>
      <c r="I47" s="67"/>
      <c r="J47" s="67"/>
      <c r="K47" s="31" t="s">
        <v>65</v>
      </c>
      <c r="L47" s="75">
        <v>47</v>
      </c>
      <c r="M47" s="75"/>
      <c r="N47" s="69"/>
      <c r="O47" s="77" t="s">
        <v>541</v>
      </c>
      <c r="P47" s="79">
        <v>45148.36515046296</v>
      </c>
      <c r="Q47" s="77" t="s">
        <v>551</v>
      </c>
      <c r="R47" s="77">
        <v>0</v>
      </c>
      <c r="S47" s="77">
        <v>0</v>
      </c>
      <c r="T47" s="77">
        <v>0</v>
      </c>
      <c r="U47" s="77">
        <v>0</v>
      </c>
      <c r="V47" s="77">
        <v>44</v>
      </c>
      <c r="W47" s="77"/>
      <c r="X47" s="83" t="str">
        <f>HYPERLINK("https://twitter.com/Charpy73/status/1071073087528058880?s=20")</f>
        <v>https://twitter.com/Charpy73/status/1071073087528058880?s=20</v>
      </c>
      <c r="Y47" s="77" t="s">
        <v>733</v>
      </c>
      <c r="Z47" s="77" t="s">
        <v>752</v>
      </c>
      <c r="AA47" s="77"/>
      <c r="AB47" s="77"/>
      <c r="AC47" s="81" t="s">
        <v>853</v>
      </c>
      <c r="AD47" s="77" t="s">
        <v>859</v>
      </c>
      <c r="AE47" s="83" t="str">
        <f>HYPERLINK("https://twitter.com/charpy73/status/1689558661083934720")</f>
        <v>https://twitter.com/charpy73/status/1689558661083934720</v>
      </c>
      <c r="AF47" s="79">
        <v>45148.36515046296</v>
      </c>
      <c r="AG47" s="85">
        <v>45148</v>
      </c>
      <c r="AH47" s="81" t="s">
        <v>878</v>
      </c>
      <c r="AI47" s="77" t="b">
        <v>0</v>
      </c>
      <c r="AJ47" s="77"/>
      <c r="AK47" s="77"/>
      <c r="AL47" s="77"/>
      <c r="AM47" s="77"/>
      <c r="AN47" s="77"/>
      <c r="AO47" s="77"/>
      <c r="AP47" s="77"/>
      <c r="AQ47" s="77"/>
      <c r="AR47" s="77"/>
      <c r="AS47" s="77"/>
      <c r="AT47" s="77"/>
      <c r="AU47" s="77"/>
      <c r="AV47" s="83" t="str">
        <f>HYPERLINK("https://pbs.twimg.com/profile_images/1310352185679654912/xskSwHii_normal.jpg")</f>
        <v>https://pbs.twimg.com/profile_images/1310352185679654912/xskSwHii_normal.jpg</v>
      </c>
      <c r="AW47" s="81" t="s">
        <v>1033</v>
      </c>
      <c r="AX47" s="81" t="s">
        <v>1153</v>
      </c>
      <c r="AY47" s="81" t="s">
        <v>1173</v>
      </c>
      <c r="AZ47" s="81" t="s">
        <v>1034</v>
      </c>
      <c r="BA47" s="81" t="s">
        <v>1040</v>
      </c>
      <c r="BB47" s="81" t="s">
        <v>1190</v>
      </c>
      <c r="BC47" s="81" t="s">
        <v>1034</v>
      </c>
      <c r="BD47" s="81" t="s">
        <v>1173</v>
      </c>
      <c r="BE47" s="77"/>
      <c r="BF47" s="77"/>
      <c r="BG47" s="77"/>
      <c r="BH47" s="77"/>
      <c r="BI47" s="77"/>
      <c r="BJ47">
        <v>4</v>
      </c>
      <c r="BK47" s="76" t="str">
        <f>REPLACE(INDEX(GroupVertices[Group],MATCH(Edges[[#This Row],[Vertex 1]],GroupVertices[Vertex],0)),1,1,"")</f>
        <v>4</v>
      </c>
      <c r="BL47" s="76" t="str">
        <f>REPLACE(INDEX(GroupVertices[Group],MATCH(Edges[[#This Row],[Vertex 2]],GroupVertices[Vertex],0)),1,1,"")</f>
        <v>4</v>
      </c>
      <c r="BM47" s="45"/>
      <c r="BN47" s="46"/>
      <c r="BO47" s="45"/>
      <c r="BP47" s="46"/>
      <c r="BQ47" s="45"/>
      <c r="BR47" s="46"/>
      <c r="BS47" s="45"/>
      <c r="BT47" s="46"/>
      <c r="BU47" s="45"/>
    </row>
    <row r="48" spans="1:73" ht="15">
      <c r="A48" s="61" t="s">
        <v>227</v>
      </c>
      <c r="B48" s="61" t="s">
        <v>287</v>
      </c>
      <c r="C48" s="62" t="s">
        <v>11695</v>
      </c>
      <c r="D48" s="63">
        <v>7.2</v>
      </c>
      <c r="E48" s="64" t="s">
        <v>132</v>
      </c>
      <c r="F48" s="65">
        <v>18.8</v>
      </c>
      <c r="G48" s="62"/>
      <c r="H48" s="66"/>
      <c r="I48" s="67"/>
      <c r="J48" s="67"/>
      <c r="K48" s="31" t="s">
        <v>65</v>
      </c>
      <c r="L48" s="75">
        <v>48</v>
      </c>
      <c r="M48" s="75"/>
      <c r="N48" s="69"/>
      <c r="O48" s="77" t="s">
        <v>541</v>
      </c>
      <c r="P48" s="79">
        <v>45148.35780092593</v>
      </c>
      <c r="Q48" s="77" t="s">
        <v>552</v>
      </c>
      <c r="R48" s="77">
        <v>0</v>
      </c>
      <c r="S48" s="77">
        <v>0</v>
      </c>
      <c r="T48" s="77">
        <v>1</v>
      </c>
      <c r="U48" s="77">
        <v>0</v>
      </c>
      <c r="V48" s="77">
        <v>80</v>
      </c>
      <c r="W48" s="81" t="s">
        <v>670</v>
      </c>
      <c r="X48" s="77" t="s">
        <v>729</v>
      </c>
      <c r="Y48" s="77" t="s">
        <v>735</v>
      </c>
      <c r="Z48" s="77" t="s">
        <v>753</v>
      </c>
      <c r="AA48" s="77"/>
      <c r="AB48" s="77"/>
      <c r="AC48" s="81" t="s">
        <v>853</v>
      </c>
      <c r="AD48" s="77" t="s">
        <v>859</v>
      </c>
      <c r="AE48" s="83" t="str">
        <f>HYPERLINK("https://twitter.com/charpy73/status/1689555994278330368")</f>
        <v>https://twitter.com/charpy73/status/1689555994278330368</v>
      </c>
      <c r="AF48" s="79">
        <v>45148.35780092593</v>
      </c>
      <c r="AG48" s="85">
        <v>45148</v>
      </c>
      <c r="AH48" s="81" t="s">
        <v>879</v>
      </c>
      <c r="AI48" s="77" t="b">
        <v>0</v>
      </c>
      <c r="AJ48" s="77"/>
      <c r="AK48" s="77"/>
      <c r="AL48" s="77"/>
      <c r="AM48" s="77"/>
      <c r="AN48" s="77"/>
      <c r="AO48" s="77"/>
      <c r="AP48" s="77"/>
      <c r="AQ48" s="77"/>
      <c r="AR48" s="77"/>
      <c r="AS48" s="77"/>
      <c r="AT48" s="77"/>
      <c r="AU48" s="77"/>
      <c r="AV48" s="83" t="str">
        <f>HYPERLINK("https://pbs.twimg.com/profile_images/1310352185679654912/xskSwHii_normal.jpg")</f>
        <v>https://pbs.twimg.com/profile_images/1310352185679654912/xskSwHii_normal.jpg</v>
      </c>
      <c r="AW48" s="81" t="s">
        <v>1034</v>
      </c>
      <c r="AX48" s="81" t="s">
        <v>1153</v>
      </c>
      <c r="AY48" s="81" t="s">
        <v>1173</v>
      </c>
      <c r="AZ48" s="81" t="s">
        <v>1036</v>
      </c>
      <c r="BA48" s="81" t="s">
        <v>1041</v>
      </c>
      <c r="BB48" s="81" t="s">
        <v>1190</v>
      </c>
      <c r="BC48" s="81" t="s">
        <v>1036</v>
      </c>
      <c r="BD48" s="81" t="s">
        <v>1173</v>
      </c>
      <c r="BE48" s="77"/>
      <c r="BF48" s="77"/>
      <c r="BG48" s="77"/>
      <c r="BH48" s="77"/>
      <c r="BI48" s="77"/>
      <c r="BJ48">
        <v>4</v>
      </c>
      <c r="BK48" s="76" t="str">
        <f>REPLACE(INDEX(GroupVertices[Group],MATCH(Edges[[#This Row],[Vertex 1]],GroupVertices[Vertex],0)),1,1,"")</f>
        <v>4</v>
      </c>
      <c r="BL48" s="76" t="str">
        <f>REPLACE(INDEX(GroupVertices[Group],MATCH(Edges[[#This Row],[Vertex 2]],GroupVertices[Vertex],0)),1,1,"")</f>
        <v>4</v>
      </c>
      <c r="BM48" s="45"/>
      <c r="BN48" s="46"/>
      <c r="BO48" s="45"/>
      <c r="BP48" s="46"/>
      <c r="BQ48" s="45"/>
      <c r="BR48" s="46"/>
      <c r="BS48" s="45"/>
      <c r="BT48" s="46"/>
      <c r="BU48" s="45"/>
    </row>
    <row r="49" spans="1:73" ht="15">
      <c r="A49" s="61" t="s">
        <v>227</v>
      </c>
      <c r="B49" s="61" t="s">
        <v>288</v>
      </c>
      <c r="C49" s="62" t="s">
        <v>11692</v>
      </c>
      <c r="D49" s="63">
        <v>3</v>
      </c>
      <c r="E49" s="64" t="s">
        <v>132</v>
      </c>
      <c r="F49" s="65">
        <v>32</v>
      </c>
      <c r="G49" s="62"/>
      <c r="H49" s="66"/>
      <c r="I49" s="67"/>
      <c r="J49" s="67"/>
      <c r="K49" s="31" t="s">
        <v>65</v>
      </c>
      <c r="L49" s="75">
        <v>49</v>
      </c>
      <c r="M49" s="75"/>
      <c r="N49" s="69"/>
      <c r="O49" s="77" t="s">
        <v>543</v>
      </c>
      <c r="P49" s="79">
        <v>45148.35189814815</v>
      </c>
      <c r="Q49" s="77" t="s">
        <v>553</v>
      </c>
      <c r="R49" s="77">
        <v>0</v>
      </c>
      <c r="S49" s="77">
        <v>0</v>
      </c>
      <c r="T49" s="77">
        <v>1</v>
      </c>
      <c r="U49" s="77">
        <v>0</v>
      </c>
      <c r="V49" s="77">
        <v>17</v>
      </c>
      <c r="W49" s="77"/>
      <c r="X49" s="83" t="str">
        <f>HYPERLINK("https://www.nodexlgraphgallery.org/Pages/Graph.aspx?graphID=254623")</f>
        <v>https://www.nodexlgraphgallery.org/Pages/Graph.aspx?graphID=254623</v>
      </c>
      <c r="Y49" s="77" t="s">
        <v>732</v>
      </c>
      <c r="Z49" s="77" t="s">
        <v>754</v>
      </c>
      <c r="AA49" s="77"/>
      <c r="AB49" s="77"/>
      <c r="AC49" s="81" t="s">
        <v>853</v>
      </c>
      <c r="AD49" s="77" t="s">
        <v>862</v>
      </c>
      <c r="AE49" s="83" t="str">
        <f>HYPERLINK("https://twitter.com/charpy73/status/1689553858408693762")</f>
        <v>https://twitter.com/charpy73/status/1689553858408693762</v>
      </c>
      <c r="AF49" s="79">
        <v>45148.35189814815</v>
      </c>
      <c r="AG49" s="85">
        <v>45148</v>
      </c>
      <c r="AH49" s="81" t="s">
        <v>880</v>
      </c>
      <c r="AI49" s="77" t="b">
        <v>0</v>
      </c>
      <c r="AJ49" s="77"/>
      <c r="AK49" s="77"/>
      <c r="AL49" s="77"/>
      <c r="AM49" s="77"/>
      <c r="AN49" s="77"/>
      <c r="AO49" s="77"/>
      <c r="AP49" s="77"/>
      <c r="AQ49" s="77"/>
      <c r="AR49" s="77"/>
      <c r="AS49" s="77"/>
      <c r="AT49" s="77"/>
      <c r="AU49" s="77"/>
      <c r="AV49" s="83" t="str">
        <f>HYPERLINK("https://pbs.twimg.com/profile_images/1310352185679654912/xskSwHii_normal.jpg")</f>
        <v>https://pbs.twimg.com/profile_images/1310352185679654912/xskSwHii_normal.jpg</v>
      </c>
      <c r="AW49" s="81" t="s">
        <v>1035</v>
      </c>
      <c r="AX49" s="81" t="s">
        <v>1153</v>
      </c>
      <c r="AY49" s="81" t="s">
        <v>1173</v>
      </c>
      <c r="AZ49" s="81" t="s">
        <v>1038</v>
      </c>
      <c r="BA49" s="81" t="s">
        <v>1190</v>
      </c>
      <c r="BB49" s="81" t="s">
        <v>1190</v>
      </c>
      <c r="BC49" s="81" t="s">
        <v>1038</v>
      </c>
      <c r="BD49" s="81" t="s">
        <v>1173</v>
      </c>
      <c r="BE49" s="77"/>
      <c r="BF49" s="77"/>
      <c r="BG49" s="77"/>
      <c r="BH49" s="77"/>
      <c r="BI49" s="77"/>
      <c r="BJ49">
        <v>1</v>
      </c>
      <c r="BK49" s="76" t="str">
        <f>REPLACE(INDEX(GroupVertices[Group],MATCH(Edges[[#This Row],[Vertex 1]],GroupVertices[Vertex],0)),1,1,"")</f>
        <v>4</v>
      </c>
      <c r="BL49" s="76" t="str">
        <f>REPLACE(INDEX(GroupVertices[Group],MATCH(Edges[[#This Row],[Vertex 2]],GroupVertices[Vertex],0)),1,1,"")</f>
        <v>4</v>
      </c>
      <c r="BM49" s="45"/>
      <c r="BN49" s="46"/>
      <c r="BO49" s="45"/>
      <c r="BP49" s="46"/>
      <c r="BQ49" s="45"/>
      <c r="BR49" s="46"/>
      <c r="BS49" s="45"/>
      <c r="BT49" s="46"/>
      <c r="BU49" s="45"/>
    </row>
    <row r="50" spans="1:73" ht="15">
      <c r="A50" s="61" t="s">
        <v>227</v>
      </c>
      <c r="B50" s="61" t="s">
        <v>288</v>
      </c>
      <c r="C50" s="62" t="s">
        <v>11695</v>
      </c>
      <c r="D50" s="63">
        <v>7.2</v>
      </c>
      <c r="E50" s="64" t="s">
        <v>132</v>
      </c>
      <c r="F50" s="65">
        <v>18.8</v>
      </c>
      <c r="G50" s="62"/>
      <c r="H50" s="66"/>
      <c r="I50" s="67"/>
      <c r="J50" s="67"/>
      <c r="K50" s="31" t="s">
        <v>65</v>
      </c>
      <c r="L50" s="75">
        <v>50</v>
      </c>
      <c r="M50" s="75"/>
      <c r="N50" s="69"/>
      <c r="O50" s="77" t="s">
        <v>541</v>
      </c>
      <c r="P50" s="79">
        <v>45148.353993055556</v>
      </c>
      <c r="Q50" s="77" t="s">
        <v>554</v>
      </c>
      <c r="R50" s="77">
        <v>0</v>
      </c>
      <c r="S50" s="77">
        <v>0</v>
      </c>
      <c r="T50" s="77">
        <v>1</v>
      </c>
      <c r="U50" s="77">
        <v>0</v>
      </c>
      <c r="V50" s="77">
        <v>21</v>
      </c>
      <c r="W50" s="77"/>
      <c r="X50" s="83" t="str">
        <f>HYPERLINK("https://twitter.com/Charpy73/status/1081734473513869312?s=20")</f>
        <v>https://twitter.com/Charpy73/status/1081734473513869312?s=20</v>
      </c>
      <c r="Y50" s="77" t="s">
        <v>733</v>
      </c>
      <c r="Z50" s="77" t="s">
        <v>755</v>
      </c>
      <c r="AA50" s="77"/>
      <c r="AB50" s="77"/>
      <c r="AC50" s="81" t="s">
        <v>853</v>
      </c>
      <c r="AD50" s="77" t="s">
        <v>862</v>
      </c>
      <c r="AE50" s="83" t="str">
        <f>HYPERLINK("https://twitter.com/charpy73/status/1689554615862255616")</f>
        <v>https://twitter.com/charpy73/status/1689554615862255616</v>
      </c>
      <c r="AF50" s="79">
        <v>45148.353993055556</v>
      </c>
      <c r="AG50" s="85">
        <v>45148</v>
      </c>
      <c r="AH50" s="81" t="s">
        <v>881</v>
      </c>
      <c r="AI50" s="77" t="b">
        <v>0</v>
      </c>
      <c r="AJ50" s="77"/>
      <c r="AK50" s="77"/>
      <c r="AL50" s="77"/>
      <c r="AM50" s="77"/>
      <c r="AN50" s="77"/>
      <c r="AO50" s="77"/>
      <c r="AP50" s="77"/>
      <c r="AQ50" s="77"/>
      <c r="AR50" s="77"/>
      <c r="AS50" s="77"/>
      <c r="AT50" s="77"/>
      <c r="AU50" s="77"/>
      <c r="AV50" s="83" t="str">
        <f>HYPERLINK("https://pbs.twimg.com/profile_images/1310352185679654912/xskSwHii_normal.jpg")</f>
        <v>https://pbs.twimg.com/profile_images/1310352185679654912/xskSwHii_normal.jpg</v>
      </c>
      <c r="AW50" s="81" t="s">
        <v>1036</v>
      </c>
      <c r="AX50" s="81" t="s">
        <v>1153</v>
      </c>
      <c r="AY50" s="81" t="s">
        <v>1173</v>
      </c>
      <c r="AZ50" s="81" t="s">
        <v>1037</v>
      </c>
      <c r="BA50" s="81" t="s">
        <v>1039</v>
      </c>
      <c r="BB50" s="81" t="s">
        <v>1190</v>
      </c>
      <c r="BC50" s="81" t="s">
        <v>1037</v>
      </c>
      <c r="BD50" s="81" t="s">
        <v>1173</v>
      </c>
      <c r="BE50" s="77"/>
      <c r="BF50" s="77"/>
      <c r="BG50" s="77"/>
      <c r="BH50" s="77"/>
      <c r="BI50" s="77"/>
      <c r="BJ50">
        <v>4</v>
      </c>
      <c r="BK50" s="76" t="str">
        <f>REPLACE(INDEX(GroupVertices[Group],MATCH(Edges[[#This Row],[Vertex 1]],GroupVertices[Vertex],0)),1,1,"")</f>
        <v>4</v>
      </c>
      <c r="BL50" s="76" t="str">
        <f>REPLACE(INDEX(GroupVertices[Group],MATCH(Edges[[#This Row],[Vertex 2]],GroupVertices[Vertex],0)),1,1,"")</f>
        <v>4</v>
      </c>
      <c r="BM50" s="45"/>
      <c r="BN50" s="46"/>
      <c r="BO50" s="45"/>
      <c r="BP50" s="46"/>
      <c r="BQ50" s="45"/>
      <c r="BR50" s="46"/>
      <c r="BS50" s="45"/>
      <c r="BT50" s="46"/>
      <c r="BU50" s="45"/>
    </row>
    <row r="51" spans="1:73" ht="15">
      <c r="A51" s="61" t="s">
        <v>227</v>
      </c>
      <c r="B51" s="61" t="s">
        <v>288</v>
      </c>
      <c r="C51" s="62" t="s">
        <v>11695</v>
      </c>
      <c r="D51" s="63">
        <v>7.2</v>
      </c>
      <c r="E51" s="64" t="s">
        <v>132</v>
      </c>
      <c r="F51" s="65">
        <v>18.8</v>
      </c>
      <c r="G51" s="62"/>
      <c r="H51" s="66"/>
      <c r="I51" s="67"/>
      <c r="J51" s="67"/>
      <c r="K51" s="31" t="s">
        <v>65</v>
      </c>
      <c r="L51" s="75">
        <v>51</v>
      </c>
      <c r="M51" s="75"/>
      <c r="N51" s="69"/>
      <c r="O51" s="77" t="s">
        <v>541</v>
      </c>
      <c r="P51" s="79">
        <v>45148.353738425925</v>
      </c>
      <c r="Q51" s="77" t="s">
        <v>555</v>
      </c>
      <c r="R51" s="77">
        <v>0</v>
      </c>
      <c r="S51" s="77">
        <v>0</v>
      </c>
      <c r="T51" s="77">
        <v>1</v>
      </c>
      <c r="U51" s="77">
        <v>0</v>
      </c>
      <c r="V51" s="77">
        <v>17</v>
      </c>
      <c r="W51" s="77"/>
      <c r="X51" s="83" t="str">
        <f>HYPERLINK("https://twitter.com/Charpy73/status/1677875566521864193?s=20")</f>
        <v>https://twitter.com/Charpy73/status/1677875566521864193?s=20</v>
      </c>
      <c r="Y51" s="77" t="s">
        <v>733</v>
      </c>
      <c r="Z51" s="77" t="s">
        <v>755</v>
      </c>
      <c r="AA51" s="77"/>
      <c r="AB51" s="77"/>
      <c r="AC51" s="81" t="s">
        <v>853</v>
      </c>
      <c r="AD51" s="77" t="s">
        <v>862</v>
      </c>
      <c r="AE51" s="83" t="str">
        <f>HYPERLINK("https://twitter.com/charpy73/status/1689554525403643904")</f>
        <v>https://twitter.com/charpy73/status/1689554525403643904</v>
      </c>
      <c r="AF51" s="79">
        <v>45148.353738425925</v>
      </c>
      <c r="AG51" s="85">
        <v>45148</v>
      </c>
      <c r="AH51" s="81" t="s">
        <v>882</v>
      </c>
      <c r="AI51" s="77" t="b">
        <v>0</v>
      </c>
      <c r="AJ51" s="77"/>
      <c r="AK51" s="77"/>
      <c r="AL51" s="77"/>
      <c r="AM51" s="77"/>
      <c r="AN51" s="77"/>
      <c r="AO51" s="77"/>
      <c r="AP51" s="77"/>
      <c r="AQ51" s="77"/>
      <c r="AR51" s="77"/>
      <c r="AS51" s="77"/>
      <c r="AT51" s="77"/>
      <c r="AU51" s="77"/>
      <c r="AV51" s="83" t="str">
        <f>HYPERLINK("https://pbs.twimg.com/profile_images/1310352185679654912/xskSwHii_normal.jpg")</f>
        <v>https://pbs.twimg.com/profile_images/1310352185679654912/xskSwHii_normal.jpg</v>
      </c>
      <c r="AW51" s="81" t="s">
        <v>1037</v>
      </c>
      <c r="AX51" s="81" t="s">
        <v>1153</v>
      </c>
      <c r="AY51" s="81" t="s">
        <v>1173</v>
      </c>
      <c r="AZ51" s="81" t="s">
        <v>1035</v>
      </c>
      <c r="BA51" s="81" t="s">
        <v>1032</v>
      </c>
      <c r="BB51" s="81" t="s">
        <v>1190</v>
      </c>
      <c r="BC51" s="81" t="s">
        <v>1035</v>
      </c>
      <c r="BD51" s="81" t="s">
        <v>1173</v>
      </c>
      <c r="BE51" s="77"/>
      <c r="BF51" s="77"/>
      <c r="BG51" s="77"/>
      <c r="BH51" s="77"/>
      <c r="BI51" s="77"/>
      <c r="BJ51">
        <v>4</v>
      </c>
      <c r="BK51" s="76" t="str">
        <f>REPLACE(INDEX(GroupVertices[Group],MATCH(Edges[[#This Row],[Vertex 1]],GroupVertices[Vertex],0)),1,1,"")</f>
        <v>4</v>
      </c>
      <c r="BL51" s="76" t="str">
        <f>REPLACE(INDEX(GroupVertices[Group],MATCH(Edges[[#This Row],[Vertex 2]],GroupVertices[Vertex],0)),1,1,"")</f>
        <v>4</v>
      </c>
      <c r="BM51" s="45"/>
      <c r="BN51" s="46"/>
      <c r="BO51" s="45"/>
      <c r="BP51" s="46"/>
      <c r="BQ51" s="45"/>
      <c r="BR51" s="46"/>
      <c r="BS51" s="45"/>
      <c r="BT51" s="46"/>
      <c r="BU51" s="45"/>
    </row>
    <row r="52" spans="1:73" ht="15">
      <c r="A52" s="61" t="s">
        <v>227</v>
      </c>
      <c r="B52" s="61" t="s">
        <v>288</v>
      </c>
      <c r="C52" s="62" t="s">
        <v>11695</v>
      </c>
      <c r="D52" s="63">
        <v>7.2</v>
      </c>
      <c r="E52" s="64" t="s">
        <v>132</v>
      </c>
      <c r="F52" s="65">
        <v>18.8</v>
      </c>
      <c r="G52" s="62"/>
      <c r="H52" s="66"/>
      <c r="I52" s="67"/>
      <c r="J52" s="67"/>
      <c r="K52" s="31" t="s">
        <v>65</v>
      </c>
      <c r="L52" s="75">
        <v>52</v>
      </c>
      <c r="M52" s="75"/>
      <c r="N52" s="69"/>
      <c r="O52" s="77" t="s">
        <v>541</v>
      </c>
      <c r="P52" s="79">
        <v>45148.36515046296</v>
      </c>
      <c r="Q52" s="77" t="s">
        <v>551</v>
      </c>
      <c r="R52" s="77">
        <v>0</v>
      </c>
      <c r="S52" s="77">
        <v>0</v>
      </c>
      <c r="T52" s="77">
        <v>0</v>
      </c>
      <c r="U52" s="77">
        <v>0</v>
      </c>
      <c r="V52" s="77">
        <v>44</v>
      </c>
      <c r="W52" s="77"/>
      <c r="X52" s="83" t="str">
        <f>HYPERLINK("https://twitter.com/Charpy73/status/1071073087528058880?s=20")</f>
        <v>https://twitter.com/Charpy73/status/1071073087528058880?s=20</v>
      </c>
      <c r="Y52" s="77" t="s">
        <v>733</v>
      </c>
      <c r="Z52" s="77" t="s">
        <v>752</v>
      </c>
      <c r="AA52" s="77"/>
      <c r="AB52" s="77"/>
      <c r="AC52" s="81" t="s">
        <v>853</v>
      </c>
      <c r="AD52" s="77" t="s">
        <v>859</v>
      </c>
      <c r="AE52" s="83" t="str">
        <f>HYPERLINK("https://twitter.com/charpy73/status/1689558661083934720")</f>
        <v>https://twitter.com/charpy73/status/1689558661083934720</v>
      </c>
      <c r="AF52" s="79">
        <v>45148.36515046296</v>
      </c>
      <c r="AG52" s="85">
        <v>45148</v>
      </c>
      <c r="AH52" s="81" t="s">
        <v>878</v>
      </c>
      <c r="AI52" s="77" t="b">
        <v>0</v>
      </c>
      <c r="AJ52" s="77"/>
      <c r="AK52" s="77"/>
      <c r="AL52" s="77"/>
      <c r="AM52" s="77"/>
      <c r="AN52" s="77"/>
      <c r="AO52" s="77"/>
      <c r="AP52" s="77"/>
      <c r="AQ52" s="77"/>
      <c r="AR52" s="77"/>
      <c r="AS52" s="77"/>
      <c r="AT52" s="77"/>
      <c r="AU52" s="77"/>
      <c r="AV52" s="83" t="str">
        <f>HYPERLINK("https://pbs.twimg.com/profile_images/1310352185679654912/xskSwHii_normal.jpg")</f>
        <v>https://pbs.twimg.com/profile_images/1310352185679654912/xskSwHii_normal.jpg</v>
      </c>
      <c r="AW52" s="81" t="s">
        <v>1033</v>
      </c>
      <c r="AX52" s="81" t="s">
        <v>1153</v>
      </c>
      <c r="AY52" s="81" t="s">
        <v>1173</v>
      </c>
      <c r="AZ52" s="81" t="s">
        <v>1034</v>
      </c>
      <c r="BA52" s="81" t="s">
        <v>1040</v>
      </c>
      <c r="BB52" s="81" t="s">
        <v>1190</v>
      </c>
      <c r="BC52" s="81" t="s">
        <v>1034</v>
      </c>
      <c r="BD52" s="81" t="s">
        <v>1173</v>
      </c>
      <c r="BE52" s="77"/>
      <c r="BF52" s="77"/>
      <c r="BG52" s="77"/>
      <c r="BH52" s="77"/>
      <c r="BI52" s="77"/>
      <c r="BJ52">
        <v>4</v>
      </c>
      <c r="BK52" s="76" t="str">
        <f>REPLACE(INDEX(GroupVertices[Group],MATCH(Edges[[#This Row],[Vertex 1]],GroupVertices[Vertex],0)),1,1,"")</f>
        <v>4</v>
      </c>
      <c r="BL52" s="76" t="str">
        <f>REPLACE(INDEX(GroupVertices[Group],MATCH(Edges[[#This Row],[Vertex 2]],GroupVertices[Vertex],0)),1,1,"")</f>
        <v>4</v>
      </c>
      <c r="BM52" s="45"/>
      <c r="BN52" s="46"/>
      <c r="BO52" s="45"/>
      <c r="BP52" s="46"/>
      <c r="BQ52" s="45"/>
      <c r="BR52" s="46"/>
      <c r="BS52" s="45"/>
      <c r="BT52" s="46"/>
      <c r="BU52" s="45"/>
    </row>
    <row r="53" spans="1:73" ht="15">
      <c r="A53" s="61" t="s">
        <v>227</v>
      </c>
      <c r="B53" s="61" t="s">
        <v>288</v>
      </c>
      <c r="C53" s="62" t="s">
        <v>11695</v>
      </c>
      <c r="D53" s="63">
        <v>7.2</v>
      </c>
      <c r="E53" s="64" t="s">
        <v>132</v>
      </c>
      <c r="F53" s="65">
        <v>18.8</v>
      </c>
      <c r="G53" s="62"/>
      <c r="H53" s="66"/>
      <c r="I53" s="67"/>
      <c r="J53" s="67"/>
      <c r="K53" s="31" t="s">
        <v>65</v>
      </c>
      <c r="L53" s="75">
        <v>53</v>
      </c>
      <c r="M53" s="75"/>
      <c r="N53" s="69"/>
      <c r="O53" s="77" t="s">
        <v>541</v>
      </c>
      <c r="P53" s="79">
        <v>45148.35780092593</v>
      </c>
      <c r="Q53" s="77" t="s">
        <v>552</v>
      </c>
      <c r="R53" s="77">
        <v>0</v>
      </c>
      <c r="S53" s="77">
        <v>0</v>
      </c>
      <c r="T53" s="77">
        <v>1</v>
      </c>
      <c r="U53" s="77">
        <v>0</v>
      </c>
      <c r="V53" s="77">
        <v>80</v>
      </c>
      <c r="W53" s="81" t="s">
        <v>670</v>
      </c>
      <c r="X53" s="77" t="s">
        <v>729</v>
      </c>
      <c r="Y53" s="77" t="s">
        <v>735</v>
      </c>
      <c r="Z53" s="77" t="s">
        <v>753</v>
      </c>
      <c r="AA53" s="77"/>
      <c r="AB53" s="77"/>
      <c r="AC53" s="81" t="s">
        <v>853</v>
      </c>
      <c r="AD53" s="77" t="s">
        <v>859</v>
      </c>
      <c r="AE53" s="83" t="str">
        <f>HYPERLINK("https://twitter.com/charpy73/status/1689555994278330368")</f>
        <v>https://twitter.com/charpy73/status/1689555994278330368</v>
      </c>
      <c r="AF53" s="79">
        <v>45148.35780092593</v>
      </c>
      <c r="AG53" s="85">
        <v>45148</v>
      </c>
      <c r="AH53" s="81" t="s">
        <v>879</v>
      </c>
      <c r="AI53" s="77" t="b">
        <v>0</v>
      </c>
      <c r="AJ53" s="77"/>
      <c r="AK53" s="77"/>
      <c r="AL53" s="77"/>
      <c r="AM53" s="77"/>
      <c r="AN53" s="77"/>
      <c r="AO53" s="77"/>
      <c r="AP53" s="77"/>
      <c r="AQ53" s="77"/>
      <c r="AR53" s="77"/>
      <c r="AS53" s="77"/>
      <c r="AT53" s="77"/>
      <c r="AU53" s="77"/>
      <c r="AV53" s="83" t="str">
        <f>HYPERLINK("https://pbs.twimg.com/profile_images/1310352185679654912/xskSwHii_normal.jpg")</f>
        <v>https://pbs.twimg.com/profile_images/1310352185679654912/xskSwHii_normal.jpg</v>
      </c>
      <c r="AW53" s="81" t="s">
        <v>1034</v>
      </c>
      <c r="AX53" s="81" t="s">
        <v>1153</v>
      </c>
      <c r="AY53" s="81" t="s">
        <v>1173</v>
      </c>
      <c r="AZ53" s="81" t="s">
        <v>1036</v>
      </c>
      <c r="BA53" s="81" t="s">
        <v>1041</v>
      </c>
      <c r="BB53" s="81" t="s">
        <v>1190</v>
      </c>
      <c r="BC53" s="81" t="s">
        <v>1036</v>
      </c>
      <c r="BD53" s="81" t="s">
        <v>1173</v>
      </c>
      <c r="BE53" s="77"/>
      <c r="BF53" s="77"/>
      <c r="BG53" s="77"/>
      <c r="BH53" s="77"/>
      <c r="BI53" s="77"/>
      <c r="BJ53">
        <v>4</v>
      </c>
      <c r="BK53" s="76" t="str">
        <f>REPLACE(INDEX(GroupVertices[Group],MATCH(Edges[[#This Row],[Vertex 1]],GroupVertices[Vertex],0)),1,1,"")</f>
        <v>4</v>
      </c>
      <c r="BL53" s="76" t="str">
        <f>REPLACE(INDEX(GroupVertices[Group],MATCH(Edges[[#This Row],[Vertex 2]],GroupVertices[Vertex],0)),1,1,"")</f>
        <v>4</v>
      </c>
      <c r="BM53" s="45"/>
      <c r="BN53" s="46"/>
      <c r="BO53" s="45"/>
      <c r="BP53" s="46"/>
      <c r="BQ53" s="45"/>
      <c r="BR53" s="46"/>
      <c r="BS53" s="45"/>
      <c r="BT53" s="46"/>
      <c r="BU53" s="45"/>
    </row>
    <row r="54" spans="1:73" ht="15">
      <c r="A54" s="61" t="s">
        <v>227</v>
      </c>
      <c r="B54" s="61" t="s">
        <v>289</v>
      </c>
      <c r="C54" s="62" t="s">
        <v>11692</v>
      </c>
      <c r="D54" s="63">
        <v>3</v>
      </c>
      <c r="E54" s="64" t="s">
        <v>132</v>
      </c>
      <c r="F54" s="65">
        <v>32</v>
      </c>
      <c r="G54" s="62"/>
      <c r="H54" s="66"/>
      <c r="I54" s="67"/>
      <c r="J54" s="67"/>
      <c r="K54" s="31" t="s">
        <v>65</v>
      </c>
      <c r="L54" s="75">
        <v>54</v>
      </c>
      <c r="M54" s="75"/>
      <c r="N54" s="69"/>
      <c r="O54" s="77" t="s">
        <v>543</v>
      </c>
      <c r="P54" s="79">
        <v>45148.35189814815</v>
      </c>
      <c r="Q54" s="77" t="s">
        <v>553</v>
      </c>
      <c r="R54" s="77">
        <v>0</v>
      </c>
      <c r="S54" s="77">
        <v>0</v>
      </c>
      <c r="T54" s="77">
        <v>1</v>
      </c>
      <c r="U54" s="77">
        <v>0</v>
      </c>
      <c r="V54" s="77">
        <v>17</v>
      </c>
      <c r="W54" s="77"/>
      <c r="X54" s="83" t="str">
        <f>HYPERLINK("https://www.nodexlgraphgallery.org/Pages/Graph.aspx?graphID=254623")</f>
        <v>https://www.nodexlgraphgallery.org/Pages/Graph.aspx?graphID=254623</v>
      </c>
      <c r="Y54" s="77" t="s">
        <v>732</v>
      </c>
      <c r="Z54" s="77" t="s">
        <v>754</v>
      </c>
      <c r="AA54" s="77"/>
      <c r="AB54" s="77"/>
      <c r="AC54" s="81" t="s">
        <v>853</v>
      </c>
      <c r="AD54" s="77" t="s">
        <v>862</v>
      </c>
      <c r="AE54" s="83" t="str">
        <f>HYPERLINK("https://twitter.com/charpy73/status/1689553858408693762")</f>
        <v>https://twitter.com/charpy73/status/1689553858408693762</v>
      </c>
      <c r="AF54" s="79">
        <v>45148.35189814815</v>
      </c>
      <c r="AG54" s="85">
        <v>45148</v>
      </c>
      <c r="AH54" s="81" t="s">
        <v>880</v>
      </c>
      <c r="AI54" s="77" t="b">
        <v>0</v>
      </c>
      <c r="AJ54" s="77"/>
      <c r="AK54" s="77"/>
      <c r="AL54" s="77"/>
      <c r="AM54" s="77"/>
      <c r="AN54" s="77"/>
      <c r="AO54" s="77"/>
      <c r="AP54" s="77"/>
      <c r="AQ54" s="77"/>
      <c r="AR54" s="77"/>
      <c r="AS54" s="77"/>
      <c r="AT54" s="77"/>
      <c r="AU54" s="77"/>
      <c r="AV54" s="83" t="str">
        <f>HYPERLINK("https://pbs.twimg.com/profile_images/1310352185679654912/xskSwHii_normal.jpg")</f>
        <v>https://pbs.twimg.com/profile_images/1310352185679654912/xskSwHii_normal.jpg</v>
      </c>
      <c r="AW54" s="81" t="s">
        <v>1035</v>
      </c>
      <c r="AX54" s="81" t="s">
        <v>1153</v>
      </c>
      <c r="AY54" s="81" t="s">
        <v>1173</v>
      </c>
      <c r="AZ54" s="81" t="s">
        <v>1038</v>
      </c>
      <c r="BA54" s="81" t="s">
        <v>1190</v>
      </c>
      <c r="BB54" s="81" t="s">
        <v>1190</v>
      </c>
      <c r="BC54" s="81" t="s">
        <v>1038</v>
      </c>
      <c r="BD54" s="81" t="s">
        <v>1173</v>
      </c>
      <c r="BE54" s="77"/>
      <c r="BF54" s="77"/>
      <c r="BG54" s="77"/>
      <c r="BH54" s="77"/>
      <c r="BI54" s="77"/>
      <c r="BJ54">
        <v>1</v>
      </c>
      <c r="BK54" s="76" t="str">
        <f>REPLACE(INDEX(GroupVertices[Group],MATCH(Edges[[#This Row],[Vertex 1]],GroupVertices[Vertex],0)),1,1,"")</f>
        <v>4</v>
      </c>
      <c r="BL54" s="76" t="str">
        <f>REPLACE(INDEX(GroupVertices[Group],MATCH(Edges[[#This Row],[Vertex 2]],GroupVertices[Vertex],0)),1,1,"")</f>
        <v>4</v>
      </c>
      <c r="BM54" s="45"/>
      <c r="BN54" s="46"/>
      <c r="BO54" s="45"/>
      <c r="BP54" s="46"/>
      <c r="BQ54" s="45"/>
      <c r="BR54" s="46"/>
      <c r="BS54" s="45"/>
      <c r="BT54" s="46"/>
      <c r="BU54" s="45"/>
    </row>
    <row r="55" spans="1:73" ht="15">
      <c r="A55" s="61" t="s">
        <v>227</v>
      </c>
      <c r="B55" s="61" t="s">
        <v>289</v>
      </c>
      <c r="C55" s="62" t="s">
        <v>11695</v>
      </c>
      <c r="D55" s="63">
        <v>7.2</v>
      </c>
      <c r="E55" s="64" t="s">
        <v>132</v>
      </c>
      <c r="F55" s="65">
        <v>18.8</v>
      </c>
      <c r="G55" s="62"/>
      <c r="H55" s="66"/>
      <c r="I55" s="67"/>
      <c r="J55" s="67"/>
      <c r="K55" s="31" t="s">
        <v>65</v>
      </c>
      <c r="L55" s="75">
        <v>55</v>
      </c>
      <c r="M55" s="75"/>
      <c r="N55" s="69"/>
      <c r="O55" s="77" t="s">
        <v>541</v>
      </c>
      <c r="P55" s="79">
        <v>45148.353993055556</v>
      </c>
      <c r="Q55" s="77" t="s">
        <v>554</v>
      </c>
      <c r="R55" s="77">
        <v>0</v>
      </c>
      <c r="S55" s="77">
        <v>0</v>
      </c>
      <c r="T55" s="77">
        <v>1</v>
      </c>
      <c r="U55" s="77">
        <v>0</v>
      </c>
      <c r="V55" s="77">
        <v>21</v>
      </c>
      <c r="W55" s="77"/>
      <c r="X55" s="83" t="str">
        <f>HYPERLINK("https://twitter.com/Charpy73/status/1081734473513869312?s=20")</f>
        <v>https://twitter.com/Charpy73/status/1081734473513869312?s=20</v>
      </c>
      <c r="Y55" s="77" t="s">
        <v>733</v>
      </c>
      <c r="Z55" s="77" t="s">
        <v>755</v>
      </c>
      <c r="AA55" s="77"/>
      <c r="AB55" s="77"/>
      <c r="AC55" s="81" t="s">
        <v>853</v>
      </c>
      <c r="AD55" s="77" t="s">
        <v>862</v>
      </c>
      <c r="AE55" s="83" t="str">
        <f>HYPERLINK("https://twitter.com/charpy73/status/1689554615862255616")</f>
        <v>https://twitter.com/charpy73/status/1689554615862255616</v>
      </c>
      <c r="AF55" s="79">
        <v>45148.353993055556</v>
      </c>
      <c r="AG55" s="85">
        <v>45148</v>
      </c>
      <c r="AH55" s="81" t="s">
        <v>881</v>
      </c>
      <c r="AI55" s="77" t="b">
        <v>0</v>
      </c>
      <c r="AJ55" s="77"/>
      <c r="AK55" s="77"/>
      <c r="AL55" s="77"/>
      <c r="AM55" s="77"/>
      <c r="AN55" s="77"/>
      <c r="AO55" s="77"/>
      <c r="AP55" s="77"/>
      <c r="AQ55" s="77"/>
      <c r="AR55" s="77"/>
      <c r="AS55" s="77"/>
      <c r="AT55" s="77"/>
      <c r="AU55" s="77"/>
      <c r="AV55" s="83" t="str">
        <f>HYPERLINK("https://pbs.twimg.com/profile_images/1310352185679654912/xskSwHii_normal.jpg")</f>
        <v>https://pbs.twimg.com/profile_images/1310352185679654912/xskSwHii_normal.jpg</v>
      </c>
      <c r="AW55" s="81" t="s">
        <v>1036</v>
      </c>
      <c r="AX55" s="81" t="s">
        <v>1153</v>
      </c>
      <c r="AY55" s="81" t="s">
        <v>1173</v>
      </c>
      <c r="AZ55" s="81" t="s">
        <v>1037</v>
      </c>
      <c r="BA55" s="81" t="s">
        <v>1039</v>
      </c>
      <c r="BB55" s="81" t="s">
        <v>1190</v>
      </c>
      <c r="BC55" s="81" t="s">
        <v>1037</v>
      </c>
      <c r="BD55" s="81" t="s">
        <v>1173</v>
      </c>
      <c r="BE55" s="77"/>
      <c r="BF55" s="77"/>
      <c r="BG55" s="77"/>
      <c r="BH55" s="77"/>
      <c r="BI55" s="77"/>
      <c r="BJ55">
        <v>4</v>
      </c>
      <c r="BK55" s="76" t="str">
        <f>REPLACE(INDEX(GroupVertices[Group],MATCH(Edges[[#This Row],[Vertex 1]],GroupVertices[Vertex],0)),1,1,"")</f>
        <v>4</v>
      </c>
      <c r="BL55" s="76" t="str">
        <f>REPLACE(INDEX(GroupVertices[Group],MATCH(Edges[[#This Row],[Vertex 2]],GroupVertices[Vertex],0)),1,1,"")</f>
        <v>4</v>
      </c>
      <c r="BM55" s="45"/>
      <c r="BN55" s="46"/>
      <c r="BO55" s="45"/>
      <c r="BP55" s="46"/>
      <c r="BQ55" s="45"/>
      <c r="BR55" s="46"/>
      <c r="BS55" s="45"/>
      <c r="BT55" s="46"/>
      <c r="BU55" s="45"/>
    </row>
    <row r="56" spans="1:73" ht="15">
      <c r="A56" s="61" t="s">
        <v>227</v>
      </c>
      <c r="B56" s="61" t="s">
        <v>289</v>
      </c>
      <c r="C56" s="62" t="s">
        <v>11695</v>
      </c>
      <c r="D56" s="63">
        <v>7.2</v>
      </c>
      <c r="E56" s="64" t="s">
        <v>132</v>
      </c>
      <c r="F56" s="65">
        <v>18.8</v>
      </c>
      <c r="G56" s="62"/>
      <c r="H56" s="66"/>
      <c r="I56" s="67"/>
      <c r="J56" s="67"/>
      <c r="K56" s="31" t="s">
        <v>65</v>
      </c>
      <c r="L56" s="75">
        <v>56</v>
      </c>
      <c r="M56" s="75"/>
      <c r="N56" s="69"/>
      <c r="O56" s="77" t="s">
        <v>541</v>
      </c>
      <c r="P56" s="79">
        <v>45148.353738425925</v>
      </c>
      <c r="Q56" s="77" t="s">
        <v>555</v>
      </c>
      <c r="R56" s="77">
        <v>0</v>
      </c>
      <c r="S56" s="77">
        <v>0</v>
      </c>
      <c r="T56" s="77">
        <v>1</v>
      </c>
      <c r="U56" s="77">
        <v>0</v>
      </c>
      <c r="V56" s="77">
        <v>17</v>
      </c>
      <c r="W56" s="77"/>
      <c r="X56" s="83" t="str">
        <f>HYPERLINK("https://twitter.com/Charpy73/status/1677875566521864193?s=20")</f>
        <v>https://twitter.com/Charpy73/status/1677875566521864193?s=20</v>
      </c>
      <c r="Y56" s="77" t="s">
        <v>733</v>
      </c>
      <c r="Z56" s="77" t="s">
        <v>755</v>
      </c>
      <c r="AA56" s="77"/>
      <c r="AB56" s="77"/>
      <c r="AC56" s="81" t="s">
        <v>853</v>
      </c>
      <c r="AD56" s="77" t="s">
        <v>862</v>
      </c>
      <c r="AE56" s="83" t="str">
        <f>HYPERLINK("https://twitter.com/charpy73/status/1689554525403643904")</f>
        <v>https://twitter.com/charpy73/status/1689554525403643904</v>
      </c>
      <c r="AF56" s="79">
        <v>45148.353738425925</v>
      </c>
      <c r="AG56" s="85">
        <v>45148</v>
      </c>
      <c r="AH56" s="81" t="s">
        <v>882</v>
      </c>
      <c r="AI56" s="77" t="b">
        <v>0</v>
      </c>
      <c r="AJ56" s="77"/>
      <c r="AK56" s="77"/>
      <c r="AL56" s="77"/>
      <c r="AM56" s="77"/>
      <c r="AN56" s="77"/>
      <c r="AO56" s="77"/>
      <c r="AP56" s="77"/>
      <c r="AQ56" s="77"/>
      <c r="AR56" s="77"/>
      <c r="AS56" s="77"/>
      <c r="AT56" s="77"/>
      <c r="AU56" s="77"/>
      <c r="AV56" s="83" t="str">
        <f>HYPERLINK("https://pbs.twimg.com/profile_images/1310352185679654912/xskSwHii_normal.jpg")</f>
        <v>https://pbs.twimg.com/profile_images/1310352185679654912/xskSwHii_normal.jpg</v>
      </c>
      <c r="AW56" s="81" t="s">
        <v>1037</v>
      </c>
      <c r="AX56" s="81" t="s">
        <v>1153</v>
      </c>
      <c r="AY56" s="81" t="s">
        <v>1173</v>
      </c>
      <c r="AZ56" s="81" t="s">
        <v>1035</v>
      </c>
      <c r="BA56" s="81" t="s">
        <v>1032</v>
      </c>
      <c r="BB56" s="81" t="s">
        <v>1190</v>
      </c>
      <c r="BC56" s="81" t="s">
        <v>1035</v>
      </c>
      <c r="BD56" s="81" t="s">
        <v>1173</v>
      </c>
      <c r="BE56" s="77"/>
      <c r="BF56" s="77"/>
      <c r="BG56" s="77"/>
      <c r="BH56" s="77"/>
      <c r="BI56" s="77"/>
      <c r="BJ56">
        <v>4</v>
      </c>
      <c r="BK56" s="76" t="str">
        <f>REPLACE(INDEX(GroupVertices[Group],MATCH(Edges[[#This Row],[Vertex 1]],GroupVertices[Vertex],0)),1,1,"")</f>
        <v>4</v>
      </c>
      <c r="BL56" s="76" t="str">
        <f>REPLACE(INDEX(GroupVertices[Group],MATCH(Edges[[#This Row],[Vertex 2]],GroupVertices[Vertex],0)),1,1,"")</f>
        <v>4</v>
      </c>
      <c r="BM56" s="45"/>
      <c r="BN56" s="46"/>
      <c r="BO56" s="45"/>
      <c r="BP56" s="46"/>
      <c r="BQ56" s="45"/>
      <c r="BR56" s="46"/>
      <c r="BS56" s="45"/>
      <c r="BT56" s="46"/>
      <c r="BU56" s="45"/>
    </row>
    <row r="57" spans="1:73" ht="15">
      <c r="A57" s="61" t="s">
        <v>227</v>
      </c>
      <c r="B57" s="61" t="s">
        <v>289</v>
      </c>
      <c r="C57" s="62" t="s">
        <v>11695</v>
      </c>
      <c r="D57" s="63">
        <v>7.2</v>
      </c>
      <c r="E57" s="64" t="s">
        <v>132</v>
      </c>
      <c r="F57" s="65">
        <v>18.8</v>
      </c>
      <c r="G57" s="62"/>
      <c r="H57" s="66"/>
      <c r="I57" s="67"/>
      <c r="J57" s="67"/>
      <c r="K57" s="31" t="s">
        <v>65</v>
      </c>
      <c r="L57" s="75">
        <v>57</v>
      </c>
      <c r="M57" s="75"/>
      <c r="N57" s="69"/>
      <c r="O57" s="77" t="s">
        <v>541</v>
      </c>
      <c r="P57" s="79">
        <v>45148.36515046296</v>
      </c>
      <c r="Q57" s="77" t="s">
        <v>551</v>
      </c>
      <c r="R57" s="77">
        <v>0</v>
      </c>
      <c r="S57" s="77">
        <v>0</v>
      </c>
      <c r="T57" s="77">
        <v>0</v>
      </c>
      <c r="U57" s="77">
        <v>0</v>
      </c>
      <c r="V57" s="77">
        <v>44</v>
      </c>
      <c r="W57" s="77"/>
      <c r="X57" s="83" t="str">
        <f>HYPERLINK("https://twitter.com/Charpy73/status/1071073087528058880?s=20")</f>
        <v>https://twitter.com/Charpy73/status/1071073087528058880?s=20</v>
      </c>
      <c r="Y57" s="77" t="s">
        <v>733</v>
      </c>
      <c r="Z57" s="77" t="s">
        <v>752</v>
      </c>
      <c r="AA57" s="77"/>
      <c r="AB57" s="77"/>
      <c r="AC57" s="81" t="s">
        <v>853</v>
      </c>
      <c r="AD57" s="77" t="s">
        <v>859</v>
      </c>
      <c r="AE57" s="83" t="str">
        <f>HYPERLINK("https://twitter.com/charpy73/status/1689558661083934720")</f>
        <v>https://twitter.com/charpy73/status/1689558661083934720</v>
      </c>
      <c r="AF57" s="79">
        <v>45148.36515046296</v>
      </c>
      <c r="AG57" s="85">
        <v>45148</v>
      </c>
      <c r="AH57" s="81" t="s">
        <v>878</v>
      </c>
      <c r="AI57" s="77" t="b">
        <v>0</v>
      </c>
      <c r="AJ57" s="77"/>
      <c r="AK57" s="77"/>
      <c r="AL57" s="77"/>
      <c r="AM57" s="77"/>
      <c r="AN57" s="77"/>
      <c r="AO57" s="77"/>
      <c r="AP57" s="77"/>
      <c r="AQ57" s="77"/>
      <c r="AR57" s="77"/>
      <c r="AS57" s="77"/>
      <c r="AT57" s="77"/>
      <c r="AU57" s="77"/>
      <c r="AV57" s="83" t="str">
        <f>HYPERLINK("https://pbs.twimg.com/profile_images/1310352185679654912/xskSwHii_normal.jpg")</f>
        <v>https://pbs.twimg.com/profile_images/1310352185679654912/xskSwHii_normal.jpg</v>
      </c>
      <c r="AW57" s="81" t="s">
        <v>1033</v>
      </c>
      <c r="AX57" s="81" t="s">
        <v>1153</v>
      </c>
      <c r="AY57" s="81" t="s">
        <v>1173</v>
      </c>
      <c r="AZ57" s="81" t="s">
        <v>1034</v>
      </c>
      <c r="BA57" s="81" t="s">
        <v>1040</v>
      </c>
      <c r="BB57" s="81" t="s">
        <v>1190</v>
      </c>
      <c r="BC57" s="81" t="s">
        <v>1034</v>
      </c>
      <c r="BD57" s="81" t="s">
        <v>1173</v>
      </c>
      <c r="BE57" s="77"/>
      <c r="BF57" s="77"/>
      <c r="BG57" s="77"/>
      <c r="BH57" s="77"/>
      <c r="BI57" s="77"/>
      <c r="BJ57">
        <v>4</v>
      </c>
      <c r="BK57" s="76" t="str">
        <f>REPLACE(INDEX(GroupVertices[Group],MATCH(Edges[[#This Row],[Vertex 1]],GroupVertices[Vertex],0)),1,1,"")</f>
        <v>4</v>
      </c>
      <c r="BL57" s="76" t="str">
        <f>REPLACE(INDEX(GroupVertices[Group],MATCH(Edges[[#This Row],[Vertex 2]],GroupVertices[Vertex],0)),1,1,"")</f>
        <v>4</v>
      </c>
      <c r="BM57" s="45"/>
      <c r="BN57" s="46"/>
      <c r="BO57" s="45"/>
      <c r="BP57" s="46"/>
      <c r="BQ57" s="45"/>
      <c r="BR57" s="46"/>
      <c r="BS57" s="45"/>
      <c r="BT57" s="46"/>
      <c r="BU57" s="45"/>
    </row>
    <row r="58" spans="1:73" ht="15">
      <c r="A58" s="61" t="s">
        <v>227</v>
      </c>
      <c r="B58" s="61" t="s">
        <v>289</v>
      </c>
      <c r="C58" s="62" t="s">
        <v>11695</v>
      </c>
      <c r="D58" s="63">
        <v>7.2</v>
      </c>
      <c r="E58" s="64" t="s">
        <v>132</v>
      </c>
      <c r="F58" s="65">
        <v>18.8</v>
      </c>
      <c r="G58" s="62"/>
      <c r="H58" s="66"/>
      <c r="I58" s="67"/>
      <c r="J58" s="67"/>
      <c r="K58" s="31" t="s">
        <v>65</v>
      </c>
      <c r="L58" s="75">
        <v>58</v>
      </c>
      <c r="M58" s="75"/>
      <c r="N58" s="69"/>
      <c r="O58" s="77" t="s">
        <v>541</v>
      </c>
      <c r="P58" s="79">
        <v>45148.35780092593</v>
      </c>
      <c r="Q58" s="77" t="s">
        <v>552</v>
      </c>
      <c r="R58" s="77">
        <v>0</v>
      </c>
      <c r="S58" s="77">
        <v>0</v>
      </c>
      <c r="T58" s="77">
        <v>1</v>
      </c>
      <c r="U58" s="77">
        <v>0</v>
      </c>
      <c r="V58" s="77">
        <v>80</v>
      </c>
      <c r="W58" s="81" t="s">
        <v>670</v>
      </c>
      <c r="X58" s="77" t="s">
        <v>729</v>
      </c>
      <c r="Y58" s="77" t="s">
        <v>735</v>
      </c>
      <c r="Z58" s="77" t="s">
        <v>753</v>
      </c>
      <c r="AA58" s="77"/>
      <c r="AB58" s="77"/>
      <c r="AC58" s="81" t="s">
        <v>853</v>
      </c>
      <c r="AD58" s="77" t="s">
        <v>859</v>
      </c>
      <c r="AE58" s="83" t="str">
        <f>HYPERLINK("https://twitter.com/charpy73/status/1689555994278330368")</f>
        <v>https://twitter.com/charpy73/status/1689555994278330368</v>
      </c>
      <c r="AF58" s="79">
        <v>45148.35780092593</v>
      </c>
      <c r="AG58" s="85">
        <v>45148</v>
      </c>
      <c r="AH58" s="81" t="s">
        <v>879</v>
      </c>
      <c r="AI58" s="77" t="b">
        <v>0</v>
      </c>
      <c r="AJ58" s="77"/>
      <c r="AK58" s="77"/>
      <c r="AL58" s="77"/>
      <c r="AM58" s="77"/>
      <c r="AN58" s="77"/>
      <c r="AO58" s="77"/>
      <c r="AP58" s="77"/>
      <c r="AQ58" s="77"/>
      <c r="AR58" s="77"/>
      <c r="AS58" s="77"/>
      <c r="AT58" s="77"/>
      <c r="AU58" s="77"/>
      <c r="AV58" s="83" t="str">
        <f>HYPERLINK("https://pbs.twimg.com/profile_images/1310352185679654912/xskSwHii_normal.jpg")</f>
        <v>https://pbs.twimg.com/profile_images/1310352185679654912/xskSwHii_normal.jpg</v>
      </c>
      <c r="AW58" s="81" t="s">
        <v>1034</v>
      </c>
      <c r="AX58" s="81" t="s">
        <v>1153</v>
      </c>
      <c r="AY58" s="81" t="s">
        <v>1173</v>
      </c>
      <c r="AZ58" s="81" t="s">
        <v>1036</v>
      </c>
      <c r="BA58" s="81" t="s">
        <v>1041</v>
      </c>
      <c r="BB58" s="81" t="s">
        <v>1190</v>
      </c>
      <c r="BC58" s="81" t="s">
        <v>1036</v>
      </c>
      <c r="BD58" s="81" t="s">
        <v>1173</v>
      </c>
      <c r="BE58" s="77"/>
      <c r="BF58" s="77"/>
      <c r="BG58" s="77"/>
      <c r="BH58" s="77"/>
      <c r="BI58" s="77"/>
      <c r="BJ58">
        <v>4</v>
      </c>
      <c r="BK58" s="76" t="str">
        <f>REPLACE(INDEX(GroupVertices[Group],MATCH(Edges[[#This Row],[Vertex 1]],GroupVertices[Vertex],0)),1,1,"")</f>
        <v>4</v>
      </c>
      <c r="BL58" s="76" t="str">
        <f>REPLACE(INDEX(GroupVertices[Group],MATCH(Edges[[#This Row],[Vertex 2]],GroupVertices[Vertex],0)),1,1,"")</f>
        <v>4</v>
      </c>
      <c r="BM58" s="45"/>
      <c r="BN58" s="46"/>
      <c r="BO58" s="45"/>
      <c r="BP58" s="46"/>
      <c r="BQ58" s="45"/>
      <c r="BR58" s="46"/>
      <c r="BS58" s="45"/>
      <c r="BT58" s="46"/>
      <c r="BU58" s="45"/>
    </row>
    <row r="59" spans="1:73" ht="15">
      <c r="A59" s="61" t="s">
        <v>227</v>
      </c>
      <c r="B59" s="61" t="s">
        <v>290</v>
      </c>
      <c r="C59" s="62" t="s">
        <v>11693</v>
      </c>
      <c r="D59" s="63">
        <v>4.4</v>
      </c>
      <c r="E59" s="64" t="s">
        <v>132</v>
      </c>
      <c r="F59" s="65">
        <v>27.6</v>
      </c>
      <c r="G59" s="62"/>
      <c r="H59" s="66"/>
      <c r="I59" s="67"/>
      <c r="J59" s="67"/>
      <c r="K59" s="31" t="s">
        <v>65</v>
      </c>
      <c r="L59" s="75">
        <v>59</v>
      </c>
      <c r="M59" s="75"/>
      <c r="N59" s="69"/>
      <c r="O59" s="77" t="s">
        <v>543</v>
      </c>
      <c r="P59" s="79">
        <v>45148.35189814815</v>
      </c>
      <c r="Q59" s="77" t="s">
        <v>553</v>
      </c>
      <c r="R59" s="77">
        <v>0</v>
      </c>
      <c r="S59" s="77">
        <v>0</v>
      </c>
      <c r="T59" s="77">
        <v>1</v>
      </c>
      <c r="U59" s="77">
        <v>0</v>
      </c>
      <c r="V59" s="77">
        <v>17</v>
      </c>
      <c r="W59" s="77"/>
      <c r="X59" s="83" t="str">
        <f>HYPERLINK("https://www.nodexlgraphgallery.org/Pages/Graph.aspx?graphID=254623")</f>
        <v>https://www.nodexlgraphgallery.org/Pages/Graph.aspx?graphID=254623</v>
      </c>
      <c r="Y59" s="77" t="s">
        <v>732</v>
      </c>
      <c r="Z59" s="77" t="s">
        <v>754</v>
      </c>
      <c r="AA59" s="77"/>
      <c r="AB59" s="77"/>
      <c r="AC59" s="81" t="s">
        <v>853</v>
      </c>
      <c r="AD59" s="77" t="s">
        <v>862</v>
      </c>
      <c r="AE59" s="83" t="str">
        <f>HYPERLINK("https://twitter.com/charpy73/status/1689553858408693762")</f>
        <v>https://twitter.com/charpy73/status/1689553858408693762</v>
      </c>
      <c r="AF59" s="79">
        <v>45148.35189814815</v>
      </c>
      <c r="AG59" s="85">
        <v>45148</v>
      </c>
      <c r="AH59" s="81" t="s">
        <v>880</v>
      </c>
      <c r="AI59" s="77" t="b">
        <v>0</v>
      </c>
      <c r="AJ59" s="77"/>
      <c r="AK59" s="77"/>
      <c r="AL59" s="77"/>
      <c r="AM59" s="77"/>
      <c r="AN59" s="77"/>
      <c r="AO59" s="77"/>
      <c r="AP59" s="77"/>
      <c r="AQ59" s="77"/>
      <c r="AR59" s="77"/>
      <c r="AS59" s="77"/>
      <c r="AT59" s="77"/>
      <c r="AU59" s="77"/>
      <c r="AV59" s="83" t="str">
        <f>HYPERLINK("https://pbs.twimg.com/profile_images/1310352185679654912/xskSwHii_normal.jpg")</f>
        <v>https://pbs.twimg.com/profile_images/1310352185679654912/xskSwHii_normal.jpg</v>
      </c>
      <c r="AW59" s="81" t="s">
        <v>1035</v>
      </c>
      <c r="AX59" s="81" t="s">
        <v>1153</v>
      </c>
      <c r="AY59" s="81" t="s">
        <v>1173</v>
      </c>
      <c r="AZ59" s="81" t="s">
        <v>1038</v>
      </c>
      <c r="BA59" s="81" t="s">
        <v>1190</v>
      </c>
      <c r="BB59" s="81" t="s">
        <v>1190</v>
      </c>
      <c r="BC59" s="81" t="s">
        <v>1038</v>
      </c>
      <c r="BD59" s="81" t="s">
        <v>1173</v>
      </c>
      <c r="BE59" s="77"/>
      <c r="BF59" s="77"/>
      <c r="BG59" s="77"/>
      <c r="BH59" s="77"/>
      <c r="BI59" s="77"/>
      <c r="BJ59">
        <v>2</v>
      </c>
      <c r="BK59" s="76" t="str">
        <f>REPLACE(INDEX(GroupVertices[Group],MATCH(Edges[[#This Row],[Vertex 1]],GroupVertices[Vertex],0)),1,1,"")</f>
        <v>4</v>
      </c>
      <c r="BL59" s="76" t="str">
        <f>REPLACE(INDEX(GroupVertices[Group],MATCH(Edges[[#This Row],[Vertex 2]],GroupVertices[Vertex],0)),1,1,"")</f>
        <v>4</v>
      </c>
      <c r="BM59" s="45"/>
      <c r="BN59" s="46"/>
      <c r="BO59" s="45"/>
      <c r="BP59" s="46"/>
      <c r="BQ59" s="45"/>
      <c r="BR59" s="46"/>
      <c r="BS59" s="45"/>
      <c r="BT59" s="46"/>
      <c r="BU59" s="45"/>
    </row>
    <row r="60" spans="1:73" ht="15">
      <c r="A60" s="61" t="s">
        <v>227</v>
      </c>
      <c r="B60" s="61" t="s">
        <v>290</v>
      </c>
      <c r="C60" s="62" t="s">
        <v>11693</v>
      </c>
      <c r="D60" s="63">
        <v>4.4</v>
      </c>
      <c r="E60" s="64" t="s">
        <v>132</v>
      </c>
      <c r="F60" s="65">
        <v>27.6</v>
      </c>
      <c r="G60" s="62"/>
      <c r="H60" s="66"/>
      <c r="I60" s="67"/>
      <c r="J60" s="67"/>
      <c r="K60" s="31" t="s">
        <v>65</v>
      </c>
      <c r="L60" s="75">
        <v>60</v>
      </c>
      <c r="M60" s="75"/>
      <c r="N60" s="69"/>
      <c r="O60" s="77" t="s">
        <v>543</v>
      </c>
      <c r="P60" s="79">
        <v>45148.35189814815</v>
      </c>
      <c r="Q60" s="77" t="s">
        <v>553</v>
      </c>
      <c r="R60" s="77">
        <v>0</v>
      </c>
      <c r="S60" s="77">
        <v>0</v>
      </c>
      <c r="T60" s="77">
        <v>1</v>
      </c>
      <c r="U60" s="77">
        <v>0</v>
      </c>
      <c r="V60" s="77">
        <v>17</v>
      </c>
      <c r="W60" s="77"/>
      <c r="X60" s="83" t="str">
        <f>HYPERLINK("https://www.nodexlgraphgallery.org/Pages/Graph.aspx?graphID=254623")</f>
        <v>https://www.nodexlgraphgallery.org/Pages/Graph.aspx?graphID=254623</v>
      </c>
      <c r="Y60" s="77" t="s">
        <v>732</v>
      </c>
      <c r="Z60" s="77" t="s">
        <v>754</v>
      </c>
      <c r="AA60" s="77"/>
      <c r="AB60" s="77"/>
      <c r="AC60" s="81" t="s">
        <v>853</v>
      </c>
      <c r="AD60" s="77" t="s">
        <v>862</v>
      </c>
      <c r="AE60" s="83" t="str">
        <f>HYPERLINK("https://twitter.com/charpy73/status/1689553858408693762")</f>
        <v>https://twitter.com/charpy73/status/1689553858408693762</v>
      </c>
      <c r="AF60" s="79">
        <v>45148.35189814815</v>
      </c>
      <c r="AG60" s="85">
        <v>45148</v>
      </c>
      <c r="AH60" s="81" t="s">
        <v>880</v>
      </c>
      <c r="AI60" s="77" t="b">
        <v>0</v>
      </c>
      <c r="AJ60" s="77"/>
      <c r="AK60" s="77"/>
      <c r="AL60" s="77"/>
      <c r="AM60" s="77"/>
      <c r="AN60" s="77"/>
      <c r="AO60" s="77"/>
      <c r="AP60" s="77"/>
      <c r="AQ60" s="77"/>
      <c r="AR60" s="77"/>
      <c r="AS60" s="77"/>
      <c r="AT60" s="77"/>
      <c r="AU60" s="77"/>
      <c r="AV60" s="83" t="str">
        <f>HYPERLINK("https://pbs.twimg.com/profile_images/1310352185679654912/xskSwHii_normal.jpg")</f>
        <v>https://pbs.twimg.com/profile_images/1310352185679654912/xskSwHii_normal.jpg</v>
      </c>
      <c r="AW60" s="81" t="s">
        <v>1035</v>
      </c>
      <c r="AX60" s="81" t="s">
        <v>1153</v>
      </c>
      <c r="AY60" s="81" t="s">
        <v>1173</v>
      </c>
      <c r="AZ60" s="81" t="s">
        <v>1038</v>
      </c>
      <c r="BA60" s="81" t="s">
        <v>1190</v>
      </c>
      <c r="BB60" s="81" t="s">
        <v>1190</v>
      </c>
      <c r="BC60" s="81" t="s">
        <v>1038</v>
      </c>
      <c r="BD60" s="81" t="s">
        <v>1173</v>
      </c>
      <c r="BE60" s="77"/>
      <c r="BF60" s="77"/>
      <c r="BG60" s="77"/>
      <c r="BH60" s="77"/>
      <c r="BI60" s="77"/>
      <c r="BJ60">
        <v>2</v>
      </c>
      <c r="BK60" s="76" t="str">
        <f>REPLACE(INDEX(GroupVertices[Group],MATCH(Edges[[#This Row],[Vertex 1]],GroupVertices[Vertex],0)),1,1,"")</f>
        <v>4</v>
      </c>
      <c r="BL60" s="76" t="str">
        <f>REPLACE(INDEX(GroupVertices[Group],MATCH(Edges[[#This Row],[Vertex 2]],GroupVertices[Vertex],0)),1,1,"")</f>
        <v>4</v>
      </c>
      <c r="BM60" s="45"/>
      <c r="BN60" s="46"/>
      <c r="BO60" s="45"/>
      <c r="BP60" s="46"/>
      <c r="BQ60" s="45"/>
      <c r="BR60" s="46"/>
      <c r="BS60" s="45"/>
      <c r="BT60" s="46"/>
      <c r="BU60" s="45"/>
    </row>
    <row r="61" spans="1:73" ht="15">
      <c r="A61" s="61" t="s">
        <v>227</v>
      </c>
      <c r="B61" s="61" t="s">
        <v>290</v>
      </c>
      <c r="C61" s="62" t="s">
        <v>11695</v>
      </c>
      <c r="D61" s="63">
        <v>7.2</v>
      </c>
      <c r="E61" s="64" t="s">
        <v>132</v>
      </c>
      <c r="F61" s="65">
        <v>18.8</v>
      </c>
      <c r="G61" s="62"/>
      <c r="H61" s="66"/>
      <c r="I61" s="67"/>
      <c r="J61" s="67"/>
      <c r="K61" s="31" t="s">
        <v>65</v>
      </c>
      <c r="L61" s="75">
        <v>61</v>
      </c>
      <c r="M61" s="75"/>
      <c r="N61" s="69"/>
      <c r="O61" s="77" t="s">
        <v>541</v>
      </c>
      <c r="P61" s="79">
        <v>45148.353993055556</v>
      </c>
      <c r="Q61" s="77" t="s">
        <v>554</v>
      </c>
      <c r="R61" s="77">
        <v>0</v>
      </c>
      <c r="S61" s="77">
        <v>0</v>
      </c>
      <c r="T61" s="77">
        <v>1</v>
      </c>
      <c r="U61" s="77">
        <v>0</v>
      </c>
      <c r="V61" s="77">
        <v>21</v>
      </c>
      <c r="W61" s="77"/>
      <c r="X61" s="83" t="str">
        <f>HYPERLINK("https://twitter.com/Charpy73/status/1081734473513869312?s=20")</f>
        <v>https://twitter.com/Charpy73/status/1081734473513869312?s=20</v>
      </c>
      <c r="Y61" s="77" t="s">
        <v>733</v>
      </c>
      <c r="Z61" s="77" t="s">
        <v>755</v>
      </c>
      <c r="AA61" s="77"/>
      <c r="AB61" s="77"/>
      <c r="AC61" s="81" t="s">
        <v>853</v>
      </c>
      <c r="AD61" s="77" t="s">
        <v>862</v>
      </c>
      <c r="AE61" s="83" t="str">
        <f>HYPERLINK("https://twitter.com/charpy73/status/1689554615862255616")</f>
        <v>https://twitter.com/charpy73/status/1689554615862255616</v>
      </c>
      <c r="AF61" s="79">
        <v>45148.353993055556</v>
      </c>
      <c r="AG61" s="85">
        <v>45148</v>
      </c>
      <c r="AH61" s="81" t="s">
        <v>881</v>
      </c>
      <c r="AI61" s="77" t="b">
        <v>0</v>
      </c>
      <c r="AJ61" s="77"/>
      <c r="AK61" s="77"/>
      <c r="AL61" s="77"/>
      <c r="AM61" s="77"/>
      <c r="AN61" s="77"/>
      <c r="AO61" s="77"/>
      <c r="AP61" s="77"/>
      <c r="AQ61" s="77"/>
      <c r="AR61" s="77"/>
      <c r="AS61" s="77"/>
      <c r="AT61" s="77"/>
      <c r="AU61" s="77"/>
      <c r="AV61" s="83" t="str">
        <f>HYPERLINK("https://pbs.twimg.com/profile_images/1310352185679654912/xskSwHii_normal.jpg")</f>
        <v>https://pbs.twimg.com/profile_images/1310352185679654912/xskSwHii_normal.jpg</v>
      </c>
      <c r="AW61" s="81" t="s">
        <v>1036</v>
      </c>
      <c r="AX61" s="81" t="s">
        <v>1153</v>
      </c>
      <c r="AY61" s="81" t="s">
        <v>1173</v>
      </c>
      <c r="AZ61" s="81" t="s">
        <v>1037</v>
      </c>
      <c r="BA61" s="81" t="s">
        <v>1039</v>
      </c>
      <c r="BB61" s="81" t="s">
        <v>1190</v>
      </c>
      <c r="BC61" s="81" t="s">
        <v>1037</v>
      </c>
      <c r="BD61" s="81" t="s">
        <v>1173</v>
      </c>
      <c r="BE61" s="77"/>
      <c r="BF61" s="77"/>
      <c r="BG61" s="77"/>
      <c r="BH61" s="77"/>
      <c r="BI61" s="77"/>
      <c r="BJ61">
        <v>4</v>
      </c>
      <c r="BK61" s="76" t="str">
        <f>REPLACE(INDEX(GroupVertices[Group],MATCH(Edges[[#This Row],[Vertex 1]],GroupVertices[Vertex],0)),1,1,"")</f>
        <v>4</v>
      </c>
      <c r="BL61" s="76" t="str">
        <f>REPLACE(INDEX(GroupVertices[Group],MATCH(Edges[[#This Row],[Vertex 2]],GroupVertices[Vertex],0)),1,1,"")</f>
        <v>4</v>
      </c>
      <c r="BM61" s="45"/>
      <c r="BN61" s="46"/>
      <c r="BO61" s="45"/>
      <c r="BP61" s="46"/>
      <c r="BQ61" s="45"/>
      <c r="BR61" s="46"/>
      <c r="BS61" s="45"/>
      <c r="BT61" s="46"/>
      <c r="BU61" s="45"/>
    </row>
    <row r="62" spans="1:73" ht="15">
      <c r="A62" s="61" t="s">
        <v>227</v>
      </c>
      <c r="B62" s="61" t="s">
        <v>290</v>
      </c>
      <c r="C62" s="62" t="s">
        <v>11695</v>
      </c>
      <c r="D62" s="63">
        <v>7.2</v>
      </c>
      <c r="E62" s="64" t="s">
        <v>132</v>
      </c>
      <c r="F62" s="65">
        <v>18.8</v>
      </c>
      <c r="G62" s="62"/>
      <c r="H62" s="66"/>
      <c r="I62" s="67"/>
      <c r="J62" s="67"/>
      <c r="K62" s="31" t="s">
        <v>65</v>
      </c>
      <c r="L62" s="75">
        <v>62</v>
      </c>
      <c r="M62" s="75"/>
      <c r="N62" s="69"/>
      <c r="O62" s="77" t="s">
        <v>541</v>
      </c>
      <c r="P62" s="79">
        <v>45148.353738425925</v>
      </c>
      <c r="Q62" s="77" t="s">
        <v>555</v>
      </c>
      <c r="R62" s="77">
        <v>0</v>
      </c>
      <c r="S62" s="77">
        <v>0</v>
      </c>
      <c r="T62" s="77">
        <v>1</v>
      </c>
      <c r="U62" s="77">
        <v>0</v>
      </c>
      <c r="V62" s="77">
        <v>17</v>
      </c>
      <c r="W62" s="77"/>
      <c r="X62" s="83" t="str">
        <f>HYPERLINK("https://twitter.com/Charpy73/status/1677875566521864193?s=20")</f>
        <v>https://twitter.com/Charpy73/status/1677875566521864193?s=20</v>
      </c>
      <c r="Y62" s="77" t="s">
        <v>733</v>
      </c>
      <c r="Z62" s="77" t="s">
        <v>755</v>
      </c>
      <c r="AA62" s="77"/>
      <c r="AB62" s="77"/>
      <c r="AC62" s="81" t="s">
        <v>853</v>
      </c>
      <c r="AD62" s="77" t="s">
        <v>862</v>
      </c>
      <c r="AE62" s="83" t="str">
        <f>HYPERLINK("https://twitter.com/charpy73/status/1689554525403643904")</f>
        <v>https://twitter.com/charpy73/status/1689554525403643904</v>
      </c>
      <c r="AF62" s="79">
        <v>45148.353738425925</v>
      </c>
      <c r="AG62" s="85">
        <v>45148</v>
      </c>
      <c r="AH62" s="81" t="s">
        <v>882</v>
      </c>
      <c r="AI62" s="77" t="b">
        <v>0</v>
      </c>
      <c r="AJ62" s="77"/>
      <c r="AK62" s="77"/>
      <c r="AL62" s="77"/>
      <c r="AM62" s="77"/>
      <c r="AN62" s="77"/>
      <c r="AO62" s="77"/>
      <c r="AP62" s="77"/>
      <c r="AQ62" s="77"/>
      <c r="AR62" s="77"/>
      <c r="AS62" s="77"/>
      <c r="AT62" s="77"/>
      <c r="AU62" s="77"/>
      <c r="AV62" s="83" t="str">
        <f>HYPERLINK("https://pbs.twimg.com/profile_images/1310352185679654912/xskSwHii_normal.jpg")</f>
        <v>https://pbs.twimg.com/profile_images/1310352185679654912/xskSwHii_normal.jpg</v>
      </c>
      <c r="AW62" s="81" t="s">
        <v>1037</v>
      </c>
      <c r="AX62" s="81" t="s">
        <v>1153</v>
      </c>
      <c r="AY62" s="81" t="s">
        <v>1173</v>
      </c>
      <c r="AZ62" s="81" t="s">
        <v>1035</v>
      </c>
      <c r="BA62" s="81" t="s">
        <v>1032</v>
      </c>
      <c r="BB62" s="81" t="s">
        <v>1190</v>
      </c>
      <c r="BC62" s="81" t="s">
        <v>1035</v>
      </c>
      <c r="BD62" s="81" t="s">
        <v>1173</v>
      </c>
      <c r="BE62" s="77"/>
      <c r="BF62" s="77"/>
      <c r="BG62" s="77"/>
      <c r="BH62" s="77"/>
      <c r="BI62" s="77"/>
      <c r="BJ62">
        <v>4</v>
      </c>
      <c r="BK62" s="76" t="str">
        <f>REPLACE(INDEX(GroupVertices[Group],MATCH(Edges[[#This Row],[Vertex 1]],GroupVertices[Vertex],0)),1,1,"")</f>
        <v>4</v>
      </c>
      <c r="BL62" s="76" t="str">
        <f>REPLACE(INDEX(GroupVertices[Group],MATCH(Edges[[#This Row],[Vertex 2]],GroupVertices[Vertex],0)),1,1,"")</f>
        <v>4</v>
      </c>
      <c r="BM62" s="45"/>
      <c r="BN62" s="46"/>
      <c r="BO62" s="45"/>
      <c r="BP62" s="46"/>
      <c r="BQ62" s="45"/>
      <c r="BR62" s="46"/>
      <c r="BS62" s="45"/>
      <c r="BT62" s="46"/>
      <c r="BU62" s="45"/>
    </row>
    <row r="63" spans="1:73" ht="15">
      <c r="A63" s="61" t="s">
        <v>227</v>
      </c>
      <c r="B63" s="61" t="s">
        <v>290</v>
      </c>
      <c r="C63" s="62" t="s">
        <v>11695</v>
      </c>
      <c r="D63" s="63">
        <v>7.2</v>
      </c>
      <c r="E63" s="64" t="s">
        <v>132</v>
      </c>
      <c r="F63" s="65">
        <v>18.8</v>
      </c>
      <c r="G63" s="62"/>
      <c r="H63" s="66"/>
      <c r="I63" s="67"/>
      <c r="J63" s="67"/>
      <c r="K63" s="31" t="s">
        <v>65</v>
      </c>
      <c r="L63" s="75">
        <v>63</v>
      </c>
      <c r="M63" s="75"/>
      <c r="N63" s="69"/>
      <c r="O63" s="77" t="s">
        <v>541</v>
      </c>
      <c r="P63" s="79">
        <v>45148.36515046296</v>
      </c>
      <c r="Q63" s="77" t="s">
        <v>551</v>
      </c>
      <c r="R63" s="77">
        <v>0</v>
      </c>
      <c r="S63" s="77">
        <v>0</v>
      </c>
      <c r="T63" s="77">
        <v>0</v>
      </c>
      <c r="U63" s="77">
        <v>0</v>
      </c>
      <c r="V63" s="77">
        <v>44</v>
      </c>
      <c r="W63" s="77"/>
      <c r="X63" s="83" t="str">
        <f>HYPERLINK("https://twitter.com/Charpy73/status/1071073087528058880?s=20")</f>
        <v>https://twitter.com/Charpy73/status/1071073087528058880?s=20</v>
      </c>
      <c r="Y63" s="77" t="s">
        <v>733</v>
      </c>
      <c r="Z63" s="77" t="s">
        <v>752</v>
      </c>
      <c r="AA63" s="77"/>
      <c r="AB63" s="77"/>
      <c r="AC63" s="81" t="s">
        <v>853</v>
      </c>
      <c r="AD63" s="77" t="s">
        <v>859</v>
      </c>
      <c r="AE63" s="83" t="str">
        <f>HYPERLINK("https://twitter.com/charpy73/status/1689558661083934720")</f>
        <v>https://twitter.com/charpy73/status/1689558661083934720</v>
      </c>
      <c r="AF63" s="79">
        <v>45148.36515046296</v>
      </c>
      <c r="AG63" s="85">
        <v>45148</v>
      </c>
      <c r="AH63" s="81" t="s">
        <v>878</v>
      </c>
      <c r="AI63" s="77" t="b">
        <v>0</v>
      </c>
      <c r="AJ63" s="77"/>
      <c r="AK63" s="77"/>
      <c r="AL63" s="77"/>
      <c r="AM63" s="77"/>
      <c r="AN63" s="77"/>
      <c r="AO63" s="77"/>
      <c r="AP63" s="77"/>
      <c r="AQ63" s="77"/>
      <c r="AR63" s="77"/>
      <c r="AS63" s="77"/>
      <c r="AT63" s="77"/>
      <c r="AU63" s="77"/>
      <c r="AV63" s="83" t="str">
        <f>HYPERLINK("https://pbs.twimg.com/profile_images/1310352185679654912/xskSwHii_normal.jpg")</f>
        <v>https://pbs.twimg.com/profile_images/1310352185679654912/xskSwHii_normal.jpg</v>
      </c>
      <c r="AW63" s="81" t="s">
        <v>1033</v>
      </c>
      <c r="AX63" s="81" t="s">
        <v>1153</v>
      </c>
      <c r="AY63" s="81" t="s">
        <v>1173</v>
      </c>
      <c r="AZ63" s="81" t="s">
        <v>1034</v>
      </c>
      <c r="BA63" s="81" t="s">
        <v>1040</v>
      </c>
      <c r="BB63" s="81" t="s">
        <v>1190</v>
      </c>
      <c r="BC63" s="81" t="s">
        <v>1034</v>
      </c>
      <c r="BD63" s="81" t="s">
        <v>1173</v>
      </c>
      <c r="BE63" s="77"/>
      <c r="BF63" s="77"/>
      <c r="BG63" s="77"/>
      <c r="BH63" s="77"/>
      <c r="BI63" s="77"/>
      <c r="BJ63">
        <v>4</v>
      </c>
      <c r="BK63" s="76" t="str">
        <f>REPLACE(INDEX(GroupVertices[Group],MATCH(Edges[[#This Row],[Vertex 1]],GroupVertices[Vertex],0)),1,1,"")</f>
        <v>4</v>
      </c>
      <c r="BL63" s="76" t="str">
        <f>REPLACE(INDEX(GroupVertices[Group],MATCH(Edges[[#This Row],[Vertex 2]],GroupVertices[Vertex],0)),1,1,"")</f>
        <v>4</v>
      </c>
      <c r="BM63" s="45"/>
      <c r="BN63" s="46"/>
      <c r="BO63" s="45"/>
      <c r="BP63" s="46"/>
      <c r="BQ63" s="45"/>
      <c r="BR63" s="46"/>
      <c r="BS63" s="45"/>
      <c r="BT63" s="46"/>
      <c r="BU63" s="45"/>
    </row>
    <row r="64" spans="1:73" ht="15">
      <c r="A64" s="61" t="s">
        <v>227</v>
      </c>
      <c r="B64" s="61" t="s">
        <v>290</v>
      </c>
      <c r="C64" s="62" t="s">
        <v>11695</v>
      </c>
      <c r="D64" s="63">
        <v>7.2</v>
      </c>
      <c r="E64" s="64" t="s">
        <v>132</v>
      </c>
      <c r="F64" s="65">
        <v>18.8</v>
      </c>
      <c r="G64" s="62"/>
      <c r="H64" s="66"/>
      <c r="I64" s="67"/>
      <c r="J64" s="67"/>
      <c r="K64" s="31" t="s">
        <v>65</v>
      </c>
      <c r="L64" s="75">
        <v>64</v>
      </c>
      <c r="M64" s="75"/>
      <c r="N64" s="69"/>
      <c r="O64" s="77" t="s">
        <v>541</v>
      </c>
      <c r="P64" s="79">
        <v>45148.35780092593</v>
      </c>
      <c r="Q64" s="77" t="s">
        <v>552</v>
      </c>
      <c r="R64" s="77">
        <v>0</v>
      </c>
      <c r="S64" s="77">
        <v>0</v>
      </c>
      <c r="T64" s="77">
        <v>1</v>
      </c>
      <c r="U64" s="77">
        <v>0</v>
      </c>
      <c r="V64" s="77">
        <v>80</v>
      </c>
      <c r="W64" s="81" t="s">
        <v>670</v>
      </c>
      <c r="X64" s="77" t="s">
        <v>729</v>
      </c>
      <c r="Y64" s="77" t="s">
        <v>735</v>
      </c>
      <c r="Z64" s="77" t="s">
        <v>753</v>
      </c>
      <c r="AA64" s="77"/>
      <c r="AB64" s="77"/>
      <c r="AC64" s="81" t="s">
        <v>853</v>
      </c>
      <c r="AD64" s="77" t="s">
        <v>859</v>
      </c>
      <c r="AE64" s="83" t="str">
        <f>HYPERLINK("https://twitter.com/charpy73/status/1689555994278330368")</f>
        <v>https://twitter.com/charpy73/status/1689555994278330368</v>
      </c>
      <c r="AF64" s="79">
        <v>45148.35780092593</v>
      </c>
      <c r="AG64" s="85">
        <v>45148</v>
      </c>
      <c r="AH64" s="81" t="s">
        <v>879</v>
      </c>
      <c r="AI64" s="77" t="b">
        <v>0</v>
      </c>
      <c r="AJ64" s="77"/>
      <c r="AK64" s="77"/>
      <c r="AL64" s="77"/>
      <c r="AM64" s="77"/>
      <c r="AN64" s="77"/>
      <c r="AO64" s="77"/>
      <c r="AP64" s="77"/>
      <c r="AQ64" s="77"/>
      <c r="AR64" s="77"/>
      <c r="AS64" s="77"/>
      <c r="AT64" s="77"/>
      <c r="AU64" s="77"/>
      <c r="AV64" s="83" t="str">
        <f>HYPERLINK("https://pbs.twimg.com/profile_images/1310352185679654912/xskSwHii_normal.jpg")</f>
        <v>https://pbs.twimg.com/profile_images/1310352185679654912/xskSwHii_normal.jpg</v>
      </c>
      <c r="AW64" s="81" t="s">
        <v>1034</v>
      </c>
      <c r="AX64" s="81" t="s">
        <v>1153</v>
      </c>
      <c r="AY64" s="81" t="s">
        <v>1173</v>
      </c>
      <c r="AZ64" s="81" t="s">
        <v>1036</v>
      </c>
      <c r="BA64" s="81" t="s">
        <v>1041</v>
      </c>
      <c r="BB64" s="81" t="s">
        <v>1190</v>
      </c>
      <c r="BC64" s="81" t="s">
        <v>1036</v>
      </c>
      <c r="BD64" s="81" t="s">
        <v>1173</v>
      </c>
      <c r="BE64" s="77"/>
      <c r="BF64" s="77"/>
      <c r="BG64" s="77"/>
      <c r="BH64" s="77"/>
      <c r="BI64" s="77"/>
      <c r="BJ64">
        <v>4</v>
      </c>
      <c r="BK64" s="76" t="str">
        <f>REPLACE(INDEX(GroupVertices[Group],MATCH(Edges[[#This Row],[Vertex 1]],GroupVertices[Vertex],0)),1,1,"")</f>
        <v>4</v>
      </c>
      <c r="BL64" s="76" t="str">
        <f>REPLACE(INDEX(GroupVertices[Group],MATCH(Edges[[#This Row],[Vertex 2]],GroupVertices[Vertex],0)),1,1,"")</f>
        <v>4</v>
      </c>
      <c r="BM64" s="45"/>
      <c r="BN64" s="46"/>
      <c r="BO64" s="45"/>
      <c r="BP64" s="46"/>
      <c r="BQ64" s="45"/>
      <c r="BR64" s="46"/>
      <c r="BS64" s="45"/>
      <c r="BT64" s="46"/>
      <c r="BU64" s="45"/>
    </row>
    <row r="65" spans="1:73" ht="15">
      <c r="A65" s="61" t="s">
        <v>227</v>
      </c>
      <c r="B65" s="61" t="s">
        <v>291</v>
      </c>
      <c r="C65" s="62" t="s">
        <v>11692</v>
      </c>
      <c r="D65" s="63">
        <v>3</v>
      </c>
      <c r="E65" s="64" t="s">
        <v>132</v>
      </c>
      <c r="F65" s="65">
        <v>32</v>
      </c>
      <c r="G65" s="62"/>
      <c r="H65" s="66"/>
      <c r="I65" s="67"/>
      <c r="J65" s="67"/>
      <c r="K65" s="31" t="s">
        <v>65</v>
      </c>
      <c r="L65" s="75">
        <v>65</v>
      </c>
      <c r="M65" s="75"/>
      <c r="N65" s="69"/>
      <c r="O65" s="77" t="s">
        <v>543</v>
      </c>
      <c r="P65" s="79">
        <v>45148.35189814815</v>
      </c>
      <c r="Q65" s="77" t="s">
        <v>553</v>
      </c>
      <c r="R65" s="77">
        <v>0</v>
      </c>
      <c r="S65" s="77">
        <v>0</v>
      </c>
      <c r="T65" s="77">
        <v>1</v>
      </c>
      <c r="U65" s="77">
        <v>0</v>
      </c>
      <c r="V65" s="77">
        <v>17</v>
      </c>
      <c r="W65" s="77"/>
      <c r="X65" s="83" t="str">
        <f>HYPERLINK("https://www.nodexlgraphgallery.org/Pages/Graph.aspx?graphID=254623")</f>
        <v>https://www.nodexlgraphgallery.org/Pages/Graph.aspx?graphID=254623</v>
      </c>
      <c r="Y65" s="77" t="s">
        <v>732</v>
      </c>
      <c r="Z65" s="77" t="s">
        <v>754</v>
      </c>
      <c r="AA65" s="77"/>
      <c r="AB65" s="77"/>
      <c r="AC65" s="81" t="s">
        <v>853</v>
      </c>
      <c r="AD65" s="77" t="s">
        <v>862</v>
      </c>
      <c r="AE65" s="83" t="str">
        <f>HYPERLINK("https://twitter.com/charpy73/status/1689553858408693762")</f>
        <v>https://twitter.com/charpy73/status/1689553858408693762</v>
      </c>
      <c r="AF65" s="79">
        <v>45148.35189814815</v>
      </c>
      <c r="AG65" s="85">
        <v>45148</v>
      </c>
      <c r="AH65" s="81" t="s">
        <v>880</v>
      </c>
      <c r="AI65" s="77" t="b">
        <v>0</v>
      </c>
      <c r="AJ65" s="77"/>
      <c r="AK65" s="77"/>
      <c r="AL65" s="77"/>
      <c r="AM65" s="77"/>
      <c r="AN65" s="77"/>
      <c r="AO65" s="77"/>
      <c r="AP65" s="77"/>
      <c r="AQ65" s="77"/>
      <c r="AR65" s="77"/>
      <c r="AS65" s="77"/>
      <c r="AT65" s="77"/>
      <c r="AU65" s="77"/>
      <c r="AV65" s="83" t="str">
        <f>HYPERLINK("https://pbs.twimg.com/profile_images/1310352185679654912/xskSwHii_normal.jpg")</f>
        <v>https://pbs.twimg.com/profile_images/1310352185679654912/xskSwHii_normal.jpg</v>
      </c>
      <c r="AW65" s="81" t="s">
        <v>1035</v>
      </c>
      <c r="AX65" s="81" t="s">
        <v>1153</v>
      </c>
      <c r="AY65" s="81" t="s">
        <v>1173</v>
      </c>
      <c r="AZ65" s="81" t="s">
        <v>1038</v>
      </c>
      <c r="BA65" s="81" t="s">
        <v>1190</v>
      </c>
      <c r="BB65" s="81" t="s">
        <v>1190</v>
      </c>
      <c r="BC65" s="81" t="s">
        <v>1038</v>
      </c>
      <c r="BD65" s="81" t="s">
        <v>1173</v>
      </c>
      <c r="BE65" s="77"/>
      <c r="BF65" s="77"/>
      <c r="BG65" s="77"/>
      <c r="BH65" s="77"/>
      <c r="BI65" s="77"/>
      <c r="BJ65">
        <v>1</v>
      </c>
      <c r="BK65" s="76" t="str">
        <f>REPLACE(INDEX(GroupVertices[Group],MATCH(Edges[[#This Row],[Vertex 1]],GroupVertices[Vertex],0)),1,1,"")</f>
        <v>4</v>
      </c>
      <c r="BL65" s="76" t="str">
        <f>REPLACE(INDEX(GroupVertices[Group],MATCH(Edges[[#This Row],[Vertex 2]],GroupVertices[Vertex],0)),1,1,"")</f>
        <v>4</v>
      </c>
      <c r="BM65" s="45"/>
      <c r="BN65" s="46"/>
      <c r="BO65" s="45"/>
      <c r="BP65" s="46"/>
      <c r="BQ65" s="45"/>
      <c r="BR65" s="46"/>
      <c r="BS65" s="45"/>
      <c r="BT65" s="46"/>
      <c r="BU65" s="45"/>
    </row>
    <row r="66" spans="1:73" ht="15">
      <c r="A66" s="61" t="s">
        <v>227</v>
      </c>
      <c r="B66" s="61" t="s">
        <v>291</v>
      </c>
      <c r="C66" s="62" t="s">
        <v>11695</v>
      </c>
      <c r="D66" s="63">
        <v>7.2</v>
      </c>
      <c r="E66" s="64" t="s">
        <v>132</v>
      </c>
      <c r="F66" s="65">
        <v>18.8</v>
      </c>
      <c r="G66" s="62"/>
      <c r="H66" s="66"/>
      <c r="I66" s="67"/>
      <c r="J66" s="67"/>
      <c r="K66" s="31" t="s">
        <v>65</v>
      </c>
      <c r="L66" s="75">
        <v>66</v>
      </c>
      <c r="M66" s="75"/>
      <c r="N66" s="69"/>
      <c r="O66" s="77" t="s">
        <v>541</v>
      </c>
      <c r="P66" s="79">
        <v>45148.353993055556</v>
      </c>
      <c r="Q66" s="77" t="s">
        <v>554</v>
      </c>
      <c r="R66" s="77">
        <v>0</v>
      </c>
      <c r="S66" s="77">
        <v>0</v>
      </c>
      <c r="T66" s="77">
        <v>1</v>
      </c>
      <c r="U66" s="77">
        <v>0</v>
      </c>
      <c r="V66" s="77">
        <v>21</v>
      </c>
      <c r="W66" s="77"/>
      <c r="X66" s="83" t="str">
        <f>HYPERLINK("https://twitter.com/Charpy73/status/1081734473513869312?s=20")</f>
        <v>https://twitter.com/Charpy73/status/1081734473513869312?s=20</v>
      </c>
      <c r="Y66" s="77" t="s">
        <v>733</v>
      </c>
      <c r="Z66" s="77" t="s">
        <v>755</v>
      </c>
      <c r="AA66" s="77"/>
      <c r="AB66" s="77"/>
      <c r="AC66" s="81" t="s">
        <v>853</v>
      </c>
      <c r="AD66" s="77" t="s">
        <v>862</v>
      </c>
      <c r="AE66" s="83" t="str">
        <f>HYPERLINK("https://twitter.com/charpy73/status/1689554615862255616")</f>
        <v>https://twitter.com/charpy73/status/1689554615862255616</v>
      </c>
      <c r="AF66" s="79">
        <v>45148.353993055556</v>
      </c>
      <c r="AG66" s="85">
        <v>45148</v>
      </c>
      <c r="AH66" s="81" t="s">
        <v>881</v>
      </c>
      <c r="AI66" s="77" t="b">
        <v>0</v>
      </c>
      <c r="AJ66" s="77"/>
      <c r="AK66" s="77"/>
      <c r="AL66" s="77"/>
      <c r="AM66" s="77"/>
      <c r="AN66" s="77"/>
      <c r="AO66" s="77"/>
      <c r="AP66" s="77"/>
      <c r="AQ66" s="77"/>
      <c r="AR66" s="77"/>
      <c r="AS66" s="77"/>
      <c r="AT66" s="77"/>
      <c r="AU66" s="77"/>
      <c r="AV66" s="83" t="str">
        <f>HYPERLINK("https://pbs.twimg.com/profile_images/1310352185679654912/xskSwHii_normal.jpg")</f>
        <v>https://pbs.twimg.com/profile_images/1310352185679654912/xskSwHii_normal.jpg</v>
      </c>
      <c r="AW66" s="81" t="s">
        <v>1036</v>
      </c>
      <c r="AX66" s="81" t="s">
        <v>1153</v>
      </c>
      <c r="AY66" s="81" t="s">
        <v>1173</v>
      </c>
      <c r="AZ66" s="81" t="s">
        <v>1037</v>
      </c>
      <c r="BA66" s="81" t="s">
        <v>1039</v>
      </c>
      <c r="BB66" s="81" t="s">
        <v>1190</v>
      </c>
      <c r="BC66" s="81" t="s">
        <v>1037</v>
      </c>
      <c r="BD66" s="81" t="s">
        <v>1173</v>
      </c>
      <c r="BE66" s="77"/>
      <c r="BF66" s="77"/>
      <c r="BG66" s="77"/>
      <c r="BH66" s="77"/>
      <c r="BI66" s="77"/>
      <c r="BJ66">
        <v>4</v>
      </c>
      <c r="BK66" s="76" t="str">
        <f>REPLACE(INDEX(GroupVertices[Group],MATCH(Edges[[#This Row],[Vertex 1]],GroupVertices[Vertex],0)),1,1,"")</f>
        <v>4</v>
      </c>
      <c r="BL66" s="76" t="str">
        <f>REPLACE(INDEX(GroupVertices[Group],MATCH(Edges[[#This Row],[Vertex 2]],GroupVertices[Vertex],0)),1,1,"")</f>
        <v>4</v>
      </c>
      <c r="BM66" s="45"/>
      <c r="BN66" s="46"/>
      <c r="BO66" s="45"/>
      <c r="BP66" s="46"/>
      <c r="BQ66" s="45"/>
      <c r="BR66" s="46"/>
      <c r="BS66" s="45"/>
      <c r="BT66" s="46"/>
      <c r="BU66" s="45"/>
    </row>
    <row r="67" spans="1:73" ht="15">
      <c r="A67" s="61" t="s">
        <v>227</v>
      </c>
      <c r="B67" s="61" t="s">
        <v>291</v>
      </c>
      <c r="C67" s="62" t="s">
        <v>11695</v>
      </c>
      <c r="D67" s="63">
        <v>7.2</v>
      </c>
      <c r="E67" s="64" t="s">
        <v>132</v>
      </c>
      <c r="F67" s="65">
        <v>18.8</v>
      </c>
      <c r="G67" s="62"/>
      <c r="H67" s="66"/>
      <c r="I67" s="67"/>
      <c r="J67" s="67"/>
      <c r="K67" s="31" t="s">
        <v>65</v>
      </c>
      <c r="L67" s="75">
        <v>67</v>
      </c>
      <c r="M67" s="75"/>
      <c r="N67" s="69"/>
      <c r="O67" s="77" t="s">
        <v>541</v>
      </c>
      <c r="P67" s="79">
        <v>45148.353738425925</v>
      </c>
      <c r="Q67" s="77" t="s">
        <v>555</v>
      </c>
      <c r="R67" s="77">
        <v>0</v>
      </c>
      <c r="S67" s="77">
        <v>0</v>
      </c>
      <c r="T67" s="77">
        <v>1</v>
      </c>
      <c r="U67" s="77">
        <v>0</v>
      </c>
      <c r="V67" s="77">
        <v>17</v>
      </c>
      <c r="W67" s="77"/>
      <c r="X67" s="83" t="str">
        <f>HYPERLINK("https://twitter.com/Charpy73/status/1677875566521864193?s=20")</f>
        <v>https://twitter.com/Charpy73/status/1677875566521864193?s=20</v>
      </c>
      <c r="Y67" s="77" t="s">
        <v>733</v>
      </c>
      <c r="Z67" s="77" t="s">
        <v>755</v>
      </c>
      <c r="AA67" s="77"/>
      <c r="AB67" s="77"/>
      <c r="AC67" s="81" t="s">
        <v>853</v>
      </c>
      <c r="AD67" s="77" t="s">
        <v>862</v>
      </c>
      <c r="AE67" s="83" t="str">
        <f>HYPERLINK("https://twitter.com/charpy73/status/1689554525403643904")</f>
        <v>https://twitter.com/charpy73/status/1689554525403643904</v>
      </c>
      <c r="AF67" s="79">
        <v>45148.353738425925</v>
      </c>
      <c r="AG67" s="85">
        <v>45148</v>
      </c>
      <c r="AH67" s="81" t="s">
        <v>882</v>
      </c>
      <c r="AI67" s="77" t="b">
        <v>0</v>
      </c>
      <c r="AJ67" s="77"/>
      <c r="AK67" s="77"/>
      <c r="AL67" s="77"/>
      <c r="AM67" s="77"/>
      <c r="AN67" s="77"/>
      <c r="AO67" s="77"/>
      <c r="AP67" s="77"/>
      <c r="AQ67" s="77"/>
      <c r="AR67" s="77"/>
      <c r="AS67" s="77"/>
      <c r="AT67" s="77"/>
      <c r="AU67" s="77"/>
      <c r="AV67" s="83" t="str">
        <f>HYPERLINK("https://pbs.twimg.com/profile_images/1310352185679654912/xskSwHii_normal.jpg")</f>
        <v>https://pbs.twimg.com/profile_images/1310352185679654912/xskSwHii_normal.jpg</v>
      </c>
      <c r="AW67" s="81" t="s">
        <v>1037</v>
      </c>
      <c r="AX67" s="81" t="s">
        <v>1153</v>
      </c>
      <c r="AY67" s="81" t="s">
        <v>1173</v>
      </c>
      <c r="AZ67" s="81" t="s">
        <v>1035</v>
      </c>
      <c r="BA67" s="81" t="s">
        <v>1032</v>
      </c>
      <c r="BB67" s="81" t="s">
        <v>1190</v>
      </c>
      <c r="BC67" s="81" t="s">
        <v>1035</v>
      </c>
      <c r="BD67" s="81" t="s">
        <v>1173</v>
      </c>
      <c r="BE67" s="77"/>
      <c r="BF67" s="77"/>
      <c r="BG67" s="77"/>
      <c r="BH67" s="77"/>
      <c r="BI67" s="77"/>
      <c r="BJ67">
        <v>4</v>
      </c>
      <c r="BK67" s="76" t="str">
        <f>REPLACE(INDEX(GroupVertices[Group],MATCH(Edges[[#This Row],[Vertex 1]],GroupVertices[Vertex],0)),1,1,"")</f>
        <v>4</v>
      </c>
      <c r="BL67" s="76" t="str">
        <f>REPLACE(INDEX(GroupVertices[Group],MATCH(Edges[[#This Row],[Vertex 2]],GroupVertices[Vertex],0)),1,1,"")</f>
        <v>4</v>
      </c>
      <c r="BM67" s="45"/>
      <c r="BN67" s="46"/>
      <c r="BO67" s="45"/>
      <c r="BP67" s="46"/>
      <c r="BQ67" s="45"/>
      <c r="BR67" s="46"/>
      <c r="BS67" s="45"/>
      <c r="BT67" s="46"/>
      <c r="BU67" s="45"/>
    </row>
    <row r="68" spans="1:73" ht="15">
      <c r="A68" s="61" t="s">
        <v>227</v>
      </c>
      <c r="B68" s="61" t="s">
        <v>291</v>
      </c>
      <c r="C68" s="62" t="s">
        <v>11695</v>
      </c>
      <c r="D68" s="63">
        <v>7.2</v>
      </c>
      <c r="E68" s="64" t="s">
        <v>132</v>
      </c>
      <c r="F68" s="65">
        <v>18.8</v>
      </c>
      <c r="G68" s="62"/>
      <c r="H68" s="66"/>
      <c r="I68" s="67"/>
      <c r="J68" s="67"/>
      <c r="K68" s="31" t="s">
        <v>65</v>
      </c>
      <c r="L68" s="75">
        <v>68</v>
      </c>
      <c r="M68" s="75"/>
      <c r="N68" s="69"/>
      <c r="O68" s="77" t="s">
        <v>541</v>
      </c>
      <c r="P68" s="79">
        <v>45148.36515046296</v>
      </c>
      <c r="Q68" s="77" t="s">
        <v>551</v>
      </c>
      <c r="R68" s="77">
        <v>0</v>
      </c>
      <c r="S68" s="77">
        <v>0</v>
      </c>
      <c r="T68" s="77">
        <v>0</v>
      </c>
      <c r="U68" s="77">
        <v>0</v>
      </c>
      <c r="V68" s="77">
        <v>44</v>
      </c>
      <c r="W68" s="77"/>
      <c r="X68" s="83" t="str">
        <f>HYPERLINK("https://twitter.com/Charpy73/status/1071073087528058880?s=20")</f>
        <v>https://twitter.com/Charpy73/status/1071073087528058880?s=20</v>
      </c>
      <c r="Y68" s="77" t="s">
        <v>733</v>
      </c>
      <c r="Z68" s="77" t="s">
        <v>752</v>
      </c>
      <c r="AA68" s="77"/>
      <c r="AB68" s="77"/>
      <c r="AC68" s="81" t="s">
        <v>853</v>
      </c>
      <c r="AD68" s="77" t="s">
        <v>859</v>
      </c>
      <c r="AE68" s="83" t="str">
        <f>HYPERLINK("https://twitter.com/charpy73/status/1689558661083934720")</f>
        <v>https://twitter.com/charpy73/status/1689558661083934720</v>
      </c>
      <c r="AF68" s="79">
        <v>45148.36515046296</v>
      </c>
      <c r="AG68" s="85">
        <v>45148</v>
      </c>
      <c r="AH68" s="81" t="s">
        <v>878</v>
      </c>
      <c r="AI68" s="77" t="b">
        <v>0</v>
      </c>
      <c r="AJ68" s="77"/>
      <c r="AK68" s="77"/>
      <c r="AL68" s="77"/>
      <c r="AM68" s="77"/>
      <c r="AN68" s="77"/>
      <c r="AO68" s="77"/>
      <c r="AP68" s="77"/>
      <c r="AQ68" s="77"/>
      <c r="AR68" s="77"/>
      <c r="AS68" s="77"/>
      <c r="AT68" s="77"/>
      <c r="AU68" s="77"/>
      <c r="AV68" s="83" t="str">
        <f>HYPERLINK("https://pbs.twimg.com/profile_images/1310352185679654912/xskSwHii_normal.jpg")</f>
        <v>https://pbs.twimg.com/profile_images/1310352185679654912/xskSwHii_normal.jpg</v>
      </c>
      <c r="AW68" s="81" t="s">
        <v>1033</v>
      </c>
      <c r="AX68" s="81" t="s">
        <v>1153</v>
      </c>
      <c r="AY68" s="81" t="s">
        <v>1173</v>
      </c>
      <c r="AZ68" s="81" t="s">
        <v>1034</v>
      </c>
      <c r="BA68" s="81" t="s">
        <v>1040</v>
      </c>
      <c r="BB68" s="81" t="s">
        <v>1190</v>
      </c>
      <c r="BC68" s="81" t="s">
        <v>1034</v>
      </c>
      <c r="BD68" s="81" t="s">
        <v>1173</v>
      </c>
      <c r="BE68" s="77"/>
      <c r="BF68" s="77"/>
      <c r="BG68" s="77"/>
      <c r="BH68" s="77"/>
      <c r="BI68" s="77"/>
      <c r="BJ68">
        <v>4</v>
      </c>
      <c r="BK68" s="76" t="str">
        <f>REPLACE(INDEX(GroupVertices[Group],MATCH(Edges[[#This Row],[Vertex 1]],GroupVertices[Vertex],0)),1,1,"")</f>
        <v>4</v>
      </c>
      <c r="BL68" s="76" t="str">
        <f>REPLACE(INDEX(GroupVertices[Group],MATCH(Edges[[#This Row],[Vertex 2]],GroupVertices[Vertex],0)),1,1,"")</f>
        <v>4</v>
      </c>
      <c r="BM68" s="45"/>
      <c r="BN68" s="46"/>
      <c r="BO68" s="45"/>
      <c r="BP68" s="46"/>
      <c r="BQ68" s="45"/>
      <c r="BR68" s="46"/>
      <c r="BS68" s="45"/>
      <c r="BT68" s="46"/>
      <c r="BU68" s="45"/>
    </row>
    <row r="69" spans="1:73" ht="15">
      <c r="A69" s="61" t="s">
        <v>227</v>
      </c>
      <c r="B69" s="61" t="s">
        <v>291</v>
      </c>
      <c r="C69" s="62" t="s">
        <v>11695</v>
      </c>
      <c r="D69" s="63">
        <v>7.2</v>
      </c>
      <c r="E69" s="64" t="s">
        <v>132</v>
      </c>
      <c r="F69" s="65">
        <v>18.8</v>
      </c>
      <c r="G69" s="62"/>
      <c r="H69" s="66"/>
      <c r="I69" s="67"/>
      <c r="J69" s="67"/>
      <c r="K69" s="31" t="s">
        <v>65</v>
      </c>
      <c r="L69" s="75">
        <v>69</v>
      </c>
      <c r="M69" s="75"/>
      <c r="N69" s="69"/>
      <c r="O69" s="77" t="s">
        <v>541</v>
      </c>
      <c r="P69" s="79">
        <v>45148.35780092593</v>
      </c>
      <c r="Q69" s="77" t="s">
        <v>552</v>
      </c>
      <c r="R69" s="77">
        <v>0</v>
      </c>
      <c r="S69" s="77">
        <v>0</v>
      </c>
      <c r="T69" s="77">
        <v>1</v>
      </c>
      <c r="U69" s="77">
        <v>0</v>
      </c>
      <c r="V69" s="77">
        <v>80</v>
      </c>
      <c r="W69" s="81" t="s">
        <v>670</v>
      </c>
      <c r="X69" s="77" t="s">
        <v>729</v>
      </c>
      <c r="Y69" s="77" t="s">
        <v>735</v>
      </c>
      <c r="Z69" s="77" t="s">
        <v>753</v>
      </c>
      <c r="AA69" s="77"/>
      <c r="AB69" s="77"/>
      <c r="AC69" s="81" t="s">
        <v>853</v>
      </c>
      <c r="AD69" s="77" t="s">
        <v>859</v>
      </c>
      <c r="AE69" s="83" t="str">
        <f>HYPERLINK("https://twitter.com/charpy73/status/1689555994278330368")</f>
        <v>https://twitter.com/charpy73/status/1689555994278330368</v>
      </c>
      <c r="AF69" s="79">
        <v>45148.35780092593</v>
      </c>
      <c r="AG69" s="85">
        <v>45148</v>
      </c>
      <c r="AH69" s="81" t="s">
        <v>879</v>
      </c>
      <c r="AI69" s="77" t="b">
        <v>0</v>
      </c>
      <c r="AJ69" s="77"/>
      <c r="AK69" s="77"/>
      <c r="AL69" s="77"/>
      <c r="AM69" s="77"/>
      <c r="AN69" s="77"/>
      <c r="AO69" s="77"/>
      <c r="AP69" s="77"/>
      <c r="AQ69" s="77"/>
      <c r="AR69" s="77"/>
      <c r="AS69" s="77"/>
      <c r="AT69" s="77"/>
      <c r="AU69" s="77"/>
      <c r="AV69" s="83" t="str">
        <f>HYPERLINK("https://pbs.twimg.com/profile_images/1310352185679654912/xskSwHii_normal.jpg")</f>
        <v>https://pbs.twimg.com/profile_images/1310352185679654912/xskSwHii_normal.jpg</v>
      </c>
      <c r="AW69" s="81" t="s">
        <v>1034</v>
      </c>
      <c r="AX69" s="81" t="s">
        <v>1153</v>
      </c>
      <c r="AY69" s="81" t="s">
        <v>1173</v>
      </c>
      <c r="AZ69" s="81" t="s">
        <v>1036</v>
      </c>
      <c r="BA69" s="81" t="s">
        <v>1041</v>
      </c>
      <c r="BB69" s="81" t="s">
        <v>1190</v>
      </c>
      <c r="BC69" s="81" t="s">
        <v>1036</v>
      </c>
      <c r="BD69" s="81" t="s">
        <v>1173</v>
      </c>
      <c r="BE69" s="77"/>
      <c r="BF69" s="77"/>
      <c r="BG69" s="77"/>
      <c r="BH69" s="77"/>
      <c r="BI69" s="77"/>
      <c r="BJ69">
        <v>4</v>
      </c>
      <c r="BK69" s="76" t="str">
        <f>REPLACE(INDEX(GroupVertices[Group],MATCH(Edges[[#This Row],[Vertex 1]],GroupVertices[Vertex],0)),1,1,"")</f>
        <v>4</v>
      </c>
      <c r="BL69" s="76" t="str">
        <f>REPLACE(INDEX(GroupVertices[Group],MATCH(Edges[[#This Row],[Vertex 2]],GroupVertices[Vertex],0)),1,1,"")</f>
        <v>4</v>
      </c>
      <c r="BM69" s="45"/>
      <c r="BN69" s="46"/>
      <c r="BO69" s="45"/>
      <c r="BP69" s="46"/>
      <c r="BQ69" s="45"/>
      <c r="BR69" s="46"/>
      <c r="BS69" s="45"/>
      <c r="BT69" s="46"/>
      <c r="BU69" s="45"/>
    </row>
    <row r="70" spans="1:73" ht="15">
      <c r="A70" s="61" t="s">
        <v>227</v>
      </c>
      <c r="B70" s="61" t="s">
        <v>292</v>
      </c>
      <c r="C70" s="62" t="s">
        <v>11692</v>
      </c>
      <c r="D70" s="63">
        <v>3</v>
      </c>
      <c r="E70" s="64" t="s">
        <v>132</v>
      </c>
      <c r="F70" s="65">
        <v>32</v>
      </c>
      <c r="G70" s="62"/>
      <c r="H70" s="66"/>
      <c r="I70" s="67"/>
      <c r="J70" s="67"/>
      <c r="K70" s="31" t="s">
        <v>65</v>
      </c>
      <c r="L70" s="75">
        <v>70</v>
      </c>
      <c r="M70" s="75"/>
      <c r="N70" s="69"/>
      <c r="O70" s="77" t="s">
        <v>543</v>
      </c>
      <c r="P70" s="79">
        <v>45148.35189814815</v>
      </c>
      <c r="Q70" s="77" t="s">
        <v>553</v>
      </c>
      <c r="R70" s="77">
        <v>0</v>
      </c>
      <c r="S70" s="77">
        <v>0</v>
      </c>
      <c r="T70" s="77">
        <v>1</v>
      </c>
      <c r="U70" s="77">
        <v>0</v>
      </c>
      <c r="V70" s="77">
        <v>17</v>
      </c>
      <c r="W70" s="77"/>
      <c r="X70" s="83" t="str">
        <f>HYPERLINK("https://www.nodexlgraphgallery.org/Pages/Graph.aspx?graphID=254623")</f>
        <v>https://www.nodexlgraphgallery.org/Pages/Graph.aspx?graphID=254623</v>
      </c>
      <c r="Y70" s="77" t="s">
        <v>732</v>
      </c>
      <c r="Z70" s="77" t="s">
        <v>754</v>
      </c>
      <c r="AA70" s="77"/>
      <c r="AB70" s="77"/>
      <c r="AC70" s="81" t="s">
        <v>853</v>
      </c>
      <c r="AD70" s="77" t="s">
        <v>862</v>
      </c>
      <c r="AE70" s="83" t="str">
        <f>HYPERLINK("https://twitter.com/charpy73/status/1689553858408693762")</f>
        <v>https://twitter.com/charpy73/status/1689553858408693762</v>
      </c>
      <c r="AF70" s="79">
        <v>45148.35189814815</v>
      </c>
      <c r="AG70" s="85">
        <v>45148</v>
      </c>
      <c r="AH70" s="81" t="s">
        <v>880</v>
      </c>
      <c r="AI70" s="77" t="b">
        <v>0</v>
      </c>
      <c r="AJ70" s="77"/>
      <c r="AK70" s="77"/>
      <c r="AL70" s="77"/>
      <c r="AM70" s="77"/>
      <c r="AN70" s="77"/>
      <c r="AO70" s="77"/>
      <c r="AP70" s="77"/>
      <c r="AQ70" s="77"/>
      <c r="AR70" s="77"/>
      <c r="AS70" s="77"/>
      <c r="AT70" s="77"/>
      <c r="AU70" s="77"/>
      <c r="AV70" s="83" t="str">
        <f>HYPERLINK("https://pbs.twimg.com/profile_images/1310352185679654912/xskSwHii_normal.jpg")</f>
        <v>https://pbs.twimg.com/profile_images/1310352185679654912/xskSwHii_normal.jpg</v>
      </c>
      <c r="AW70" s="81" t="s">
        <v>1035</v>
      </c>
      <c r="AX70" s="81" t="s">
        <v>1153</v>
      </c>
      <c r="AY70" s="81" t="s">
        <v>1173</v>
      </c>
      <c r="AZ70" s="81" t="s">
        <v>1038</v>
      </c>
      <c r="BA70" s="81" t="s">
        <v>1190</v>
      </c>
      <c r="BB70" s="81" t="s">
        <v>1190</v>
      </c>
      <c r="BC70" s="81" t="s">
        <v>1038</v>
      </c>
      <c r="BD70" s="81" t="s">
        <v>1173</v>
      </c>
      <c r="BE70" s="77"/>
      <c r="BF70" s="77"/>
      <c r="BG70" s="77"/>
      <c r="BH70" s="77"/>
      <c r="BI70" s="77"/>
      <c r="BJ70">
        <v>1</v>
      </c>
      <c r="BK70" s="76" t="str">
        <f>REPLACE(INDEX(GroupVertices[Group],MATCH(Edges[[#This Row],[Vertex 1]],GroupVertices[Vertex],0)),1,1,"")</f>
        <v>4</v>
      </c>
      <c r="BL70" s="76" t="str">
        <f>REPLACE(INDEX(GroupVertices[Group],MATCH(Edges[[#This Row],[Vertex 2]],GroupVertices[Vertex],0)),1,1,"")</f>
        <v>4</v>
      </c>
      <c r="BM70" s="45"/>
      <c r="BN70" s="46"/>
      <c r="BO70" s="45"/>
      <c r="BP70" s="46"/>
      <c r="BQ70" s="45"/>
      <c r="BR70" s="46"/>
      <c r="BS70" s="45"/>
      <c r="BT70" s="46"/>
      <c r="BU70" s="45"/>
    </row>
    <row r="71" spans="1:73" ht="15">
      <c r="A71" s="61" t="s">
        <v>227</v>
      </c>
      <c r="B71" s="61" t="s">
        <v>292</v>
      </c>
      <c r="C71" s="62" t="s">
        <v>11695</v>
      </c>
      <c r="D71" s="63">
        <v>7.2</v>
      </c>
      <c r="E71" s="64" t="s">
        <v>132</v>
      </c>
      <c r="F71" s="65">
        <v>18.8</v>
      </c>
      <c r="G71" s="62"/>
      <c r="H71" s="66"/>
      <c r="I71" s="67"/>
      <c r="J71" s="67"/>
      <c r="K71" s="31" t="s">
        <v>65</v>
      </c>
      <c r="L71" s="75">
        <v>71</v>
      </c>
      <c r="M71" s="75"/>
      <c r="N71" s="69"/>
      <c r="O71" s="77" t="s">
        <v>541</v>
      </c>
      <c r="P71" s="79">
        <v>45148.353993055556</v>
      </c>
      <c r="Q71" s="77" t="s">
        <v>554</v>
      </c>
      <c r="R71" s="77">
        <v>0</v>
      </c>
      <c r="S71" s="77">
        <v>0</v>
      </c>
      <c r="T71" s="77">
        <v>1</v>
      </c>
      <c r="U71" s="77">
        <v>0</v>
      </c>
      <c r="V71" s="77">
        <v>21</v>
      </c>
      <c r="W71" s="77"/>
      <c r="X71" s="83" t="str">
        <f>HYPERLINK("https://twitter.com/Charpy73/status/1081734473513869312?s=20")</f>
        <v>https://twitter.com/Charpy73/status/1081734473513869312?s=20</v>
      </c>
      <c r="Y71" s="77" t="s">
        <v>733</v>
      </c>
      <c r="Z71" s="77" t="s">
        <v>755</v>
      </c>
      <c r="AA71" s="77"/>
      <c r="AB71" s="77"/>
      <c r="AC71" s="81" t="s">
        <v>853</v>
      </c>
      <c r="AD71" s="77" t="s">
        <v>862</v>
      </c>
      <c r="AE71" s="83" t="str">
        <f>HYPERLINK("https://twitter.com/charpy73/status/1689554615862255616")</f>
        <v>https://twitter.com/charpy73/status/1689554615862255616</v>
      </c>
      <c r="AF71" s="79">
        <v>45148.353993055556</v>
      </c>
      <c r="AG71" s="85">
        <v>45148</v>
      </c>
      <c r="AH71" s="81" t="s">
        <v>881</v>
      </c>
      <c r="AI71" s="77" t="b">
        <v>0</v>
      </c>
      <c r="AJ71" s="77"/>
      <c r="AK71" s="77"/>
      <c r="AL71" s="77"/>
      <c r="AM71" s="77"/>
      <c r="AN71" s="77"/>
      <c r="AO71" s="77"/>
      <c r="AP71" s="77"/>
      <c r="AQ71" s="77"/>
      <c r="AR71" s="77"/>
      <c r="AS71" s="77"/>
      <c r="AT71" s="77"/>
      <c r="AU71" s="77"/>
      <c r="AV71" s="83" t="str">
        <f>HYPERLINK("https://pbs.twimg.com/profile_images/1310352185679654912/xskSwHii_normal.jpg")</f>
        <v>https://pbs.twimg.com/profile_images/1310352185679654912/xskSwHii_normal.jpg</v>
      </c>
      <c r="AW71" s="81" t="s">
        <v>1036</v>
      </c>
      <c r="AX71" s="81" t="s">
        <v>1153</v>
      </c>
      <c r="AY71" s="81" t="s">
        <v>1173</v>
      </c>
      <c r="AZ71" s="81" t="s">
        <v>1037</v>
      </c>
      <c r="BA71" s="81" t="s">
        <v>1039</v>
      </c>
      <c r="BB71" s="81" t="s">
        <v>1190</v>
      </c>
      <c r="BC71" s="81" t="s">
        <v>1037</v>
      </c>
      <c r="BD71" s="81" t="s">
        <v>1173</v>
      </c>
      <c r="BE71" s="77"/>
      <c r="BF71" s="77"/>
      <c r="BG71" s="77"/>
      <c r="BH71" s="77"/>
      <c r="BI71" s="77"/>
      <c r="BJ71">
        <v>4</v>
      </c>
      <c r="BK71" s="76" t="str">
        <f>REPLACE(INDEX(GroupVertices[Group],MATCH(Edges[[#This Row],[Vertex 1]],GroupVertices[Vertex],0)),1,1,"")</f>
        <v>4</v>
      </c>
      <c r="BL71" s="76" t="str">
        <f>REPLACE(INDEX(GroupVertices[Group],MATCH(Edges[[#This Row],[Vertex 2]],GroupVertices[Vertex],0)),1,1,"")</f>
        <v>4</v>
      </c>
      <c r="BM71" s="45"/>
      <c r="BN71" s="46"/>
      <c r="BO71" s="45"/>
      <c r="BP71" s="46"/>
      <c r="BQ71" s="45"/>
      <c r="BR71" s="46"/>
      <c r="BS71" s="45"/>
      <c r="BT71" s="46"/>
      <c r="BU71" s="45"/>
    </row>
    <row r="72" spans="1:73" ht="15">
      <c r="A72" s="61" t="s">
        <v>227</v>
      </c>
      <c r="B72" s="61" t="s">
        <v>292</v>
      </c>
      <c r="C72" s="62" t="s">
        <v>11695</v>
      </c>
      <c r="D72" s="63">
        <v>7.2</v>
      </c>
      <c r="E72" s="64" t="s">
        <v>132</v>
      </c>
      <c r="F72" s="65">
        <v>18.8</v>
      </c>
      <c r="G72" s="62"/>
      <c r="H72" s="66"/>
      <c r="I72" s="67"/>
      <c r="J72" s="67"/>
      <c r="K72" s="31" t="s">
        <v>65</v>
      </c>
      <c r="L72" s="75">
        <v>72</v>
      </c>
      <c r="M72" s="75"/>
      <c r="N72" s="69"/>
      <c r="O72" s="77" t="s">
        <v>541</v>
      </c>
      <c r="P72" s="79">
        <v>45148.353738425925</v>
      </c>
      <c r="Q72" s="77" t="s">
        <v>555</v>
      </c>
      <c r="R72" s="77">
        <v>0</v>
      </c>
      <c r="S72" s="77">
        <v>0</v>
      </c>
      <c r="T72" s="77">
        <v>1</v>
      </c>
      <c r="U72" s="77">
        <v>0</v>
      </c>
      <c r="V72" s="77">
        <v>17</v>
      </c>
      <c r="W72" s="77"/>
      <c r="X72" s="83" t="str">
        <f>HYPERLINK("https://twitter.com/Charpy73/status/1677875566521864193?s=20")</f>
        <v>https://twitter.com/Charpy73/status/1677875566521864193?s=20</v>
      </c>
      <c r="Y72" s="77" t="s">
        <v>733</v>
      </c>
      <c r="Z72" s="77" t="s">
        <v>755</v>
      </c>
      <c r="AA72" s="77"/>
      <c r="AB72" s="77"/>
      <c r="AC72" s="81" t="s">
        <v>853</v>
      </c>
      <c r="AD72" s="77" t="s">
        <v>862</v>
      </c>
      <c r="AE72" s="83" t="str">
        <f>HYPERLINK("https://twitter.com/charpy73/status/1689554525403643904")</f>
        <v>https://twitter.com/charpy73/status/1689554525403643904</v>
      </c>
      <c r="AF72" s="79">
        <v>45148.353738425925</v>
      </c>
      <c r="AG72" s="85">
        <v>45148</v>
      </c>
      <c r="AH72" s="81" t="s">
        <v>882</v>
      </c>
      <c r="AI72" s="77" t="b">
        <v>0</v>
      </c>
      <c r="AJ72" s="77"/>
      <c r="AK72" s="77"/>
      <c r="AL72" s="77"/>
      <c r="AM72" s="77"/>
      <c r="AN72" s="77"/>
      <c r="AO72" s="77"/>
      <c r="AP72" s="77"/>
      <c r="AQ72" s="77"/>
      <c r="AR72" s="77"/>
      <c r="AS72" s="77"/>
      <c r="AT72" s="77"/>
      <c r="AU72" s="77"/>
      <c r="AV72" s="83" t="str">
        <f>HYPERLINK("https://pbs.twimg.com/profile_images/1310352185679654912/xskSwHii_normal.jpg")</f>
        <v>https://pbs.twimg.com/profile_images/1310352185679654912/xskSwHii_normal.jpg</v>
      </c>
      <c r="AW72" s="81" t="s">
        <v>1037</v>
      </c>
      <c r="AX72" s="81" t="s">
        <v>1153</v>
      </c>
      <c r="AY72" s="81" t="s">
        <v>1173</v>
      </c>
      <c r="AZ72" s="81" t="s">
        <v>1035</v>
      </c>
      <c r="BA72" s="81" t="s">
        <v>1032</v>
      </c>
      <c r="BB72" s="81" t="s">
        <v>1190</v>
      </c>
      <c r="BC72" s="81" t="s">
        <v>1035</v>
      </c>
      <c r="BD72" s="81" t="s">
        <v>1173</v>
      </c>
      <c r="BE72" s="77"/>
      <c r="BF72" s="77"/>
      <c r="BG72" s="77"/>
      <c r="BH72" s="77"/>
      <c r="BI72" s="77"/>
      <c r="BJ72">
        <v>4</v>
      </c>
      <c r="BK72" s="76" t="str">
        <f>REPLACE(INDEX(GroupVertices[Group],MATCH(Edges[[#This Row],[Vertex 1]],GroupVertices[Vertex],0)),1,1,"")</f>
        <v>4</v>
      </c>
      <c r="BL72" s="76" t="str">
        <f>REPLACE(INDEX(GroupVertices[Group],MATCH(Edges[[#This Row],[Vertex 2]],GroupVertices[Vertex],0)),1,1,"")</f>
        <v>4</v>
      </c>
      <c r="BM72" s="45"/>
      <c r="BN72" s="46"/>
      <c r="BO72" s="45"/>
      <c r="BP72" s="46"/>
      <c r="BQ72" s="45"/>
      <c r="BR72" s="46"/>
      <c r="BS72" s="45"/>
      <c r="BT72" s="46"/>
      <c r="BU72" s="45"/>
    </row>
    <row r="73" spans="1:73" ht="15">
      <c r="A73" s="61" t="s">
        <v>227</v>
      </c>
      <c r="B73" s="61" t="s">
        <v>292</v>
      </c>
      <c r="C73" s="62" t="s">
        <v>11695</v>
      </c>
      <c r="D73" s="63">
        <v>7.2</v>
      </c>
      <c r="E73" s="64" t="s">
        <v>132</v>
      </c>
      <c r="F73" s="65">
        <v>18.8</v>
      </c>
      <c r="G73" s="62"/>
      <c r="H73" s="66"/>
      <c r="I73" s="67"/>
      <c r="J73" s="67"/>
      <c r="K73" s="31" t="s">
        <v>65</v>
      </c>
      <c r="L73" s="75">
        <v>73</v>
      </c>
      <c r="M73" s="75"/>
      <c r="N73" s="69"/>
      <c r="O73" s="77" t="s">
        <v>541</v>
      </c>
      <c r="P73" s="79">
        <v>45148.36515046296</v>
      </c>
      <c r="Q73" s="77" t="s">
        <v>551</v>
      </c>
      <c r="R73" s="77">
        <v>0</v>
      </c>
      <c r="S73" s="77">
        <v>0</v>
      </c>
      <c r="T73" s="77">
        <v>0</v>
      </c>
      <c r="U73" s="77">
        <v>0</v>
      </c>
      <c r="V73" s="77">
        <v>44</v>
      </c>
      <c r="W73" s="77"/>
      <c r="X73" s="83" t="str">
        <f>HYPERLINK("https://twitter.com/Charpy73/status/1071073087528058880?s=20")</f>
        <v>https://twitter.com/Charpy73/status/1071073087528058880?s=20</v>
      </c>
      <c r="Y73" s="77" t="s">
        <v>733</v>
      </c>
      <c r="Z73" s="77" t="s">
        <v>752</v>
      </c>
      <c r="AA73" s="77"/>
      <c r="AB73" s="77"/>
      <c r="AC73" s="81" t="s">
        <v>853</v>
      </c>
      <c r="AD73" s="77" t="s">
        <v>859</v>
      </c>
      <c r="AE73" s="83" t="str">
        <f>HYPERLINK("https://twitter.com/charpy73/status/1689558661083934720")</f>
        <v>https://twitter.com/charpy73/status/1689558661083934720</v>
      </c>
      <c r="AF73" s="79">
        <v>45148.36515046296</v>
      </c>
      <c r="AG73" s="85">
        <v>45148</v>
      </c>
      <c r="AH73" s="81" t="s">
        <v>878</v>
      </c>
      <c r="AI73" s="77" t="b">
        <v>0</v>
      </c>
      <c r="AJ73" s="77"/>
      <c r="AK73" s="77"/>
      <c r="AL73" s="77"/>
      <c r="AM73" s="77"/>
      <c r="AN73" s="77"/>
      <c r="AO73" s="77"/>
      <c r="AP73" s="77"/>
      <c r="AQ73" s="77"/>
      <c r="AR73" s="77"/>
      <c r="AS73" s="77"/>
      <c r="AT73" s="77"/>
      <c r="AU73" s="77"/>
      <c r="AV73" s="83" t="str">
        <f>HYPERLINK("https://pbs.twimg.com/profile_images/1310352185679654912/xskSwHii_normal.jpg")</f>
        <v>https://pbs.twimg.com/profile_images/1310352185679654912/xskSwHii_normal.jpg</v>
      </c>
      <c r="AW73" s="81" t="s">
        <v>1033</v>
      </c>
      <c r="AX73" s="81" t="s">
        <v>1153</v>
      </c>
      <c r="AY73" s="81" t="s">
        <v>1173</v>
      </c>
      <c r="AZ73" s="81" t="s">
        <v>1034</v>
      </c>
      <c r="BA73" s="81" t="s">
        <v>1040</v>
      </c>
      <c r="BB73" s="81" t="s">
        <v>1190</v>
      </c>
      <c r="BC73" s="81" t="s">
        <v>1034</v>
      </c>
      <c r="BD73" s="81" t="s">
        <v>1173</v>
      </c>
      <c r="BE73" s="77"/>
      <c r="BF73" s="77"/>
      <c r="BG73" s="77"/>
      <c r="BH73" s="77"/>
      <c r="BI73" s="77"/>
      <c r="BJ73">
        <v>4</v>
      </c>
      <c r="BK73" s="76" t="str">
        <f>REPLACE(INDEX(GroupVertices[Group],MATCH(Edges[[#This Row],[Vertex 1]],GroupVertices[Vertex],0)),1,1,"")</f>
        <v>4</v>
      </c>
      <c r="BL73" s="76" t="str">
        <f>REPLACE(INDEX(GroupVertices[Group],MATCH(Edges[[#This Row],[Vertex 2]],GroupVertices[Vertex],0)),1,1,"")</f>
        <v>4</v>
      </c>
      <c r="BM73" s="45"/>
      <c r="BN73" s="46"/>
      <c r="BO73" s="45"/>
      <c r="BP73" s="46"/>
      <c r="BQ73" s="45"/>
      <c r="BR73" s="46"/>
      <c r="BS73" s="45"/>
      <c r="BT73" s="46"/>
      <c r="BU73" s="45"/>
    </row>
    <row r="74" spans="1:73" ht="15">
      <c r="A74" s="61" t="s">
        <v>227</v>
      </c>
      <c r="B74" s="61" t="s">
        <v>292</v>
      </c>
      <c r="C74" s="62" t="s">
        <v>11695</v>
      </c>
      <c r="D74" s="63">
        <v>7.2</v>
      </c>
      <c r="E74" s="64" t="s">
        <v>132</v>
      </c>
      <c r="F74" s="65">
        <v>18.8</v>
      </c>
      <c r="G74" s="62"/>
      <c r="H74" s="66"/>
      <c r="I74" s="67"/>
      <c r="J74" s="67"/>
      <c r="K74" s="31" t="s">
        <v>65</v>
      </c>
      <c r="L74" s="75">
        <v>74</v>
      </c>
      <c r="M74" s="75"/>
      <c r="N74" s="69"/>
      <c r="O74" s="77" t="s">
        <v>541</v>
      </c>
      <c r="P74" s="79">
        <v>45148.35780092593</v>
      </c>
      <c r="Q74" s="77" t="s">
        <v>552</v>
      </c>
      <c r="R74" s="77">
        <v>0</v>
      </c>
      <c r="S74" s="77">
        <v>0</v>
      </c>
      <c r="T74" s="77">
        <v>1</v>
      </c>
      <c r="U74" s="77">
        <v>0</v>
      </c>
      <c r="V74" s="77">
        <v>80</v>
      </c>
      <c r="W74" s="81" t="s">
        <v>670</v>
      </c>
      <c r="X74" s="77" t="s">
        <v>729</v>
      </c>
      <c r="Y74" s="77" t="s">
        <v>735</v>
      </c>
      <c r="Z74" s="77" t="s">
        <v>753</v>
      </c>
      <c r="AA74" s="77"/>
      <c r="AB74" s="77"/>
      <c r="AC74" s="81" t="s">
        <v>853</v>
      </c>
      <c r="AD74" s="77" t="s">
        <v>859</v>
      </c>
      <c r="AE74" s="83" t="str">
        <f>HYPERLINK("https://twitter.com/charpy73/status/1689555994278330368")</f>
        <v>https://twitter.com/charpy73/status/1689555994278330368</v>
      </c>
      <c r="AF74" s="79">
        <v>45148.35780092593</v>
      </c>
      <c r="AG74" s="85">
        <v>45148</v>
      </c>
      <c r="AH74" s="81" t="s">
        <v>879</v>
      </c>
      <c r="AI74" s="77" t="b">
        <v>0</v>
      </c>
      <c r="AJ74" s="77"/>
      <c r="AK74" s="77"/>
      <c r="AL74" s="77"/>
      <c r="AM74" s="77"/>
      <c r="AN74" s="77"/>
      <c r="AO74" s="77"/>
      <c r="AP74" s="77"/>
      <c r="AQ74" s="77"/>
      <c r="AR74" s="77"/>
      <c r="AS74" s="77"/>
      <c r="AT74" s="77"/>
      <c r="AU74" s="77"/>
      <c r="AV74" s="83" t="str">
        <f>HYPERLINK("https://pbs.twimg.com/profile_images/1310352185679654912/xskSwHii_normal.jpg")</f>
        <v>https://pbs.twimg.com/profile_images/1310352185679654912/xskSwHii_normal.jpg</v>
      </c>
      <c r="AW74" s="81" t="s">
        <v>1034</v>
      </c>
      <c r="AX74" s="81" t="s">
        <v>1153</v>
      </c>
      <c r="AY74" s="81" t="s">
        <v>1173</v>
      </c>
      <c r="AZ74" s="81" t="s">
        <v>1036</v>
      </c>
      <c r="BA74" s="81" t="s">
        <v>1041</v>
      </c>
      <c r="BB74" s="81" t="s">
        <v>1190</v>
      </c>
      <c r="BC74" s="81" t="s">
        <v>1036</v>
      </c>
      <c r="BD74" s="81" t="s">
        <v>1173</v>
      </c>
      <c r="BE74" s="77"/>
      <c r="BF74" s="77"/>
      <c r="BG74" s="77"/>
      <c r="BH74" s="77"/>
      <c r="BI74" s="77"/>
      <c r="BJ74">
        <v>4</v>
      </c>
      <c r="BK74" s="76" t="str">
        <f>REPLACE(INDEX(GroupVertices[Group],MATCH(Edges[[#This Row],[Vertex 1]],GroupVertices[Vertex],0)),1,1,"")</f>
        <v>4</v>
      </c>
      <c r="BL74" s="76" t="str">
        <f>REPLACE(INDEX(GroupVertices[Group],MATCH(Edges[[#This Row],[Vertex 2]],GroupVertices[Vertex],0)),1,1,"")</f>
        <v>4</v>
      </c>
      <c r="BM74" s="45"/>
      <c r="BN74" s="46"/>
      <c r="BO74" s="45"/>
      <c r="BP74" s="46"/>
      <c r="BQ74" s="45"/>
      <c r="BR74" s="46"/>
      <c r="BS74" s="45"/>
      <c r="BT74" s="46"/>
      <c r="BU74" s="45"/>
    </row>
    <row r="75" spans="1:73" ht="15">
      <c r="A75" s="61" t="s">
        <v>227</v>
      </c>
      <c r="B75" s="61" t="s">
        <v>293</v>
      </c>
      <c r="C75" s="62" t="s">
        <v>11692</v>
      </c>
      <c r="D75" s="63">
        <v>3</v>
      </c>
      <c r="E75" s="64" t="s">
        <v>132</v>
      </c>
      <c r="F75" s="65">
        <v>32</v>
      </c>
      <c r="G75" s="62"/>
      <c r="H75" s="66"/>
      <c r="I75" s="67"/>
      <c r="J75" s="67"/>
      <c r="K75" s="31" t="s">
        <v>65</v>
      </c>
      <c r="L75" s="75">
        <v>75</v>
      </c>
      <c r="M75" s="75"/>
      <c r="N75" s="69"/>
      <c r="O75" s="77" t="s">
        <v>543</v>
      </c>
      <c r="P75" s="79">
        <v>45148.35189814815</v>
      </c>
      <c r="Q75" s="77" t="s">
        <v>553</v>
      </c>
      <c r="R75" s="77">
        <v>0</v>
      </c>
      <c r="S75" s="77">
        <v>0</v>
      </c>
      <c r="T75" s="77">
        <v>1</v>
      </c>
      <c r="U75" s="77">
        <v>0</v>
      </c>
      <c r="V75" s="77">
        <v>17</v>
      </c>
      <c r="W75" s="77"/>
      <c r="X75" s="83" t="str">
        <f>HYPERLINK("https://www.nodexlgraphgallery.org/Pages/Graph.aspx?graphID=254623")</f>
        <v>https://www.nodexlgraphgallery.org/Pages/Graph.aspx?graphID=254623</v>
      </c>
      <c r="Y75" s="77" t="s">
        <v>732</v>
      </c>
      <c r="Z75" s="77" t="s">
        <v>754</v>
      </c>
      <c r="AA75" s="77"/>
      <c r="AB75" s="77"/>
      <c r="AC75" s="81" t="s">
        <v>853</v>
      </c>
      <c r="AD75" s="77" t="s">
        <v>862</v>
      </c>
      <c r="AE75" s="83" t="str">
        <f>HYPERLINK("https://twitter.com/charpy73/status/1689553858408693762")</f>
        <v>https://twitter.com/charpy73/status/1689553858408693762</v>
      </c>
      <c r="AF75" s="79">
        <v>45148.35189814815</v>
      </c>
      <c r="AG75" s="85">
        <v>45148</v>
      </c>
      <c r="AH75" s="81" t="s">
        <v>880</v>
      </c>
      <c r="AI75" s="77" t="b">
        <v>0</v>
      </c>
      <c r="AJ75" s="77"/>
      <c r="AK75" s="77"/>
      <c r="AL75" s="77"/>
      <c r="AM75" s="77"/>
      <c r="AN75" s="77"/>
      <c r="AO75" s="77"/>
      <c r="AP75" s="77"/>
      <c r="AQ75" s="77"/>
      <c r="AR75" s="77"/>
      <c r="AS75" s="77"/>
      <c r="AT75" s="77"/>
      <c r="AU75" s="77"/>
      <c r="AV75" s="83" t="str">
        <f>HYPERLINK("https://pbs.twimg.com/profile_images/1310352185679654912/xskSwHii_normal.jpg")</f>
        <v>https://pbs.twimg.com/profile_images/1310352185679654912/xskSwHii_normal.jpg</v>
      </c>
      <c r="AW75" s="81" t="s">
        <v>1035</v>
      </c>
      <c r="AX75" s="81" t="s">
        <v>1153</v>
      </c>
      <c r="AY75" s="81" t="s">
        <v>1173</v>
      </c>
      <c r="AZ75" s="81" t="s">
        <v>1038</v>
      </c>
      <c r="BA75" s="81" t="s">
        <v>1190</v>
      </c>
      <c r="BB75" s="81" t="s">
        <v>1190</v>
      </c>
      <c r="BC75" s="81" t="s">
        <v>1038</v>
      </c>
      <c r="BD75" s="81" t="s">
        <v>1173</v>
      </c>
      <c r="BE75" s="77"/>
      <c r="BF75" s="77"/>
      <c r="BG75" s="77"/>
      <c r="BH75" s="77"/>
      <c r="BI75" s="77"/>
      <c r="BJ75">
        <v>1</v>
      </c>
      <c r="BK75" s="76" t="str">
        <f>REPLACE(INDEX(GroupVertices[Group],MATCH(Edges[[#This Row],[Vertex 1]],GroupVertices[Vertex],0)),1,1,"")</f>
        <v>4</v>
      </c>
      <c r="BL75" s="76" t="str">
        <f>REPLACE(INDEX(GroupVertices[Group],MATCH(Edges[[#This Row],[Vertex 2]],GroupVertices[Vertex],0)),1,1,"")</f>
        <v>4</v>
      </c>
      <c r="BM75" s="45"/>
      <c r="BN75" s="46"/>
      <c r="BO75" s="45"/>
      <c r="BP75" s="46"/>
      <c r="BQ75" s="45"/>
      <c r="BR75" s="46"/>
      <c r="BS75" s="45"/>
      <c r="BT75" s="46"/>
      <c r="BU75" s="45"/>
    </row>
    <row r="76" spans="1:73" ht="15">
      <c r="A76" s="61" t="s">
        <v>227</v>
      </c>
      <c r="B76" s="61" t="s">
        <v>293</v>
      </c>
      <c r="C76" s="62" t="s">
        <v>11695</v>
      </c>
      <c r="D76" s="63">
        <v>7.2</v>
      </c>
      <c r="E76" s="64" t="s">
        <v>132</v>
      </c>
      <c r="F76" s="65">
        <v>18.8</v>
      </c>
      <c r="G76" s="62"/>
      <c r="H76" s="66"/>
      <c r="I76" s="67"/>
      <c r="J76" s="67"/>
      <c r="K76" s="31" t="s">
        <v>65</v>
      </c>
      <c r="L76" s="75">
        <v>76</v>
      </c>
      <c r="M76" s="75"/>
      <c r="N76" s="69"/>
      <c r="O76" s="77" t="s">
        <v>541</v>
      </c>
      <c r="P76" s="79">
        <v>45148.353993055556</v>
      </c>
      <c r="Q76" s="77" t="s">
        <v>554</v>
      </c>
      <c r="R76" s="77">
        <v>0</v>
      </c>
      <c r="S76" s="77">
        <v>0</v>
      </c>
      <c r="T76" s="77">
        <v>1</v>
      </c>
      <c r="U76" s="77">
        <v>0</v>
      </c>
      <c r="V76" s="77">
        <v>21</v>
      </c>
      <c r="W76" s="77"/>
      <c r="X76" s="83" t="str">
        <f>HYPERLINK("https://twitter.com/Charpy73/status/1081734473513869312?s=20")</f>
        <v>https://twitter.com/Charpy73/status/1081734473513869312?s=20</v>
      </c>
      <c r="Y76" s="77" t="s">
        <v>733</v>
      </c>
      <c r="Z76" s="77" t="s">
        <v>755</v>
      </c>
      <c r="AA76" s="77"/>
      <c r="AB76" s="77"/>
      <c r="AC76" s="81" t="s">
        <v>853</v>
      </c>
      <c r="AD76" s="77" t="s">
        <v>862</v>
      </c>
      <c r="AE76" s="83" t="str">
        <f>HYPERLINK("https://twitter.com/charpy73/status/1689554615862255616")</f>
        <v>https://twitter.com/charpy73/status/1689554615862255616</v>
      </c>
      <c r="AF76" s="79">
        <v>45148.353993055556</v>
      </c>
      <c r="AG76" s="85">
        <v>45148</v>
      </c>
      <c r="AH76" s="81" t="s">
        <v>881</v>
      </c>
      <c r="AI76" s="77" t="b">
        <v>0</v>
      </c>
      <c r="AJ76" s="77"/>
      <c r="AK76" s="77"/>
      <c r="AL76" s="77"/>
      <c r="AM76" s="77"/>
      <c r="AN76" s="77"/>
      <c r="AO76" s="77"/>
      <c r="AP76" s="77"/>
      <c r="AQ76" s="77"/>
      <c r="AR76" s="77"/>
      <c r="AS76" s="77"/>
      <c r="AT76" s="77"/>
      <c r="AU76" s="77"/>
      <c r="AV76" s="83" t="str">
        <f>HYPERLINK("https://pbs.twimg.com/profile_images/1310352185679654912/xskSwHii_normal.jpg")</f>
        <v>https://pbs.twimg.com/profile_images/1310352185679654912/xskSwHii_normal.jpg</v>
      </c>
      <c r="AW76" s="81" t="s">
        <v>1036</v>
      </c>
      <c r="AX76" s="81" t="s">
        <v>1153</v>
      </c>
      <c r="AY76" s="81" t="s">
        <v>1173</v>
      </c>
      <c r="AZ76" s="81" t="s">
        <v>1037</v>
      </c>
      <c r="BA76" s="81" t="s">
        <v>1039</v>
      </c>
      <c r="BB76" s="81" t="s">
        <v>1190</v>
      </c>
      <c r="BC76" s="81" t="s">
        <v>1037</v>
      </c>
      <c r="BD76" s="81" t="s">
        <v>1173</v>
      </c>
      <c r="BE76" s="77"/>
      <c r="BF76" s="77"/>
      <c r="BG76" s="77"/>
      <c r="BH76" s="77"/>
      <c r="BI76" s="77"/>
      <c r="BJ76">
        <v>4</v>
      </c>
      <c r="BK76" s="76" t="str">
        <f>REPLACE(INDEX(GroupVertices[Group],MATCH(Edges[[#This Row],[Vertex 1]],GroupVertices[Vertex],0)),1,1,"")</f>
        <v>4</v>
      </c>
      <c r="BL76" s="76" t="str">
        <f>REPLACE(INDEX(GroupVertices[Group],MATCH(Edges[[#This Row],[Vertex 2]],GroupVertices[Vertex],0)),1,1,"")</f>
        <v>4</v>
      </c>
      <c r="BM76" s="45"/>
      <c r="BN76" s="46"/>
      <c r="BO76" s="45"/>
      <c r="BP76" s="46"/>
      <c r="BQ76" s="45"/>
      <c r="BR76" s="46"/>
      <c r="BS76" s="45"/>
      <c r="BT76" s="46"/>
      <c r="BU76" s="45"/>
    </row>
    <row r="77" spans="1:73" ht="15">
      <c r="A77" s="61" t="s">
        <v>227</v>
      </c>
      <c r="B77" s="61" t="s">
        <v>293</v>
      </c>
      <c r="C77" s="62" t="s">
        <v>11695</v>
      </c>
      <c r="D77" s="63">
        <v>7.2</v>
      </c>
      <c r="E77" s="64" t="s">
        <v>132</v>
      </c>
      <c r="F77" s="65">
        <v>18.8</v>
      </c>
      <c r="G77" s="62"/>
      <c r="H77" s="66"/>
      <c r="I77" s="67"/>
      <c r="J77" s="67"/>
      <c r="K77" s="31" t="s">
        <v>65</v>
      </c>
      <c r="L77" s="75">
        <v>77</v>
      </c>
      <c r="M77" s="75"/>
      <c r="N77" s="69"/>
      <c r="O77" s="77" t="s">
        <v>541</v>
      </c>
      <c r="P77" s="79">
        <v>45148.353738425925</v>
      </c>
      <c r="Q77" s="77" t="s">
        <v>555</v>
      </c>
      <c r="R77" s="77">
        <v>0</v>
      </c>
      <c r="S77" s="77">
        <v>0</v>
      </c>
      <c r="T77" s="77">
        <v>1</v>
      </c>
      <c r="U77" s="77">
        <v>0</v>
      </c>
      <c r="V77" s="77">
        <v>17</v>
      </c>
      <c r="W77" s="77"/>
      <c r="X77" s="83" t="str">
        <f>HYPERLINK("https://twitter.com/Charpy73/status/1677875566521864193?s=20")</f>
        <v>https://twitter.com/Charpy73/status/1677875566521864193?s=20</v>
      </c>
      <c r="Y77" s="77" t="s">
        <v>733</v>
      </c>
      <c r="Z77" s="77" t="s">
        <v>755</v>
      </c>
      <c r="AA77" s="77"/>
      <c r="AB77" s="77"/>
      <c r="AC77" s="81" t="s">
        <v>853</v>
      </c>
      <c r="AD77" s="77" t="s">
        <v>862</v>
      </c>
      <c r="AE77" s="83" t="str">
        <f>HYPERLINK("https://twitter.com/charpy73/status/1689554525403643904")</f>
        <v>https://twitter.com/charpy73/status/1689554525403643904</v>
      </c>
      <c r="AF77" s="79">
        <v>45148.353738425925</v>
      </c>
      <c r="AG77" s="85">
        <v>45148</v>
      </c>
      <c r="AH77" s="81" t="s">
        <v>882</v>
      </c>
      <c r="AI77" s="77" t="b">
        <v>0</v>
      </c>
      <c r="AJ77" s="77"/>
      <c r="AK77" s="77"/>
      <c r="AL77" s="77"/>
      <c r="AM77" s="77"/>
      <c r="AN77" s="77"/>
      <c r="AO77" s="77"/>
      <c r="AP77" s="77"/>
      <c r="AQ77" s="77"/>
      <c r="AR77" s="77"/>
      <c r="AS77" s="77"/>
      <c r="AT77" s="77"/>
      <c r="AU77" s="77"/>
      <c r="AV77" s="83" t="str">
        <f>HYPERLINK("https://pbs.twimg.com/profile_images/1310352185679654912/xskSwHii_normal.jpg")</f>
        <v>https://pbs.twimg.com/profile_images/1310352185679654912/xskSwHii_normal.jpg</v>
      </c>
      <c r="AW77" s="81" t="s">
        <v>1037</v>
      </c>
      <c r="AX77" s="81" t="s">
        <v>1153</v>
      </c>
      <c r="AY77" s="81" t="s">
        <v>1173</v>
      </c>
      <c r="AZ77" s="81" t="s">
        <v>1035</v>
      </c>
      <c r="BA77" s="81" t="s">
        <v>1032</v>
      </c>
      <c r="BB77" s="81" t="s">
        <v>1190</v>
      </c>
      <c r="BC77" s="81" t="s">
        <v>1035</v>
      </c>
      <c r="BD77" s="81" t="s">
        <v>1173</v>
      </c>
      <c r="BE77" s="77"/>
      <c r="BF77" s="77"/>
      <c r="BG77" s="77"/>
      <c r="BH77" s="77"/>
      <c r="BI77" s="77"/>
      <c r="BJ77">
        <v>4</v>
      </c>
      <c r="BK77" s="76" t="str">
        <f>REPLACE(INDEX(GroupVertices[Group],MATCH(Edges[[#This Row],[Vertex 1]],GroupVertices[Vertex],0)),1,1,"")</f>
        <v>4</v>
      </c>
      <c r="BL77" s="76" t="str">
        <f>REPLACE(INDEX(GroupVertices[Group],MATCH(Edges[[#This Row],[Vertex 2]],GroupVertices[Vertex],0)),1,1,"")</f>
        <v>4</v>
      </c>
      <c r="BM77" s="45"/>
      <c r="BN77" s="46"/>
      <c r="BO77" s="45"/>
      <c r="BP77" s="46"/>
      <c r="BQ77" s="45"/>
      <c r="BR77" s="46"/>
      <c r="BS77" s="45"/>
      <c r="BT77" s="46"/>
      <c r="BU77" s="45"/>
    </row>
    <row r="78" spans="1:73" ht="15">
      <c r="A78" s="61" t="s">
        <v>227</v>
      </c>
      <c r="B78" s="61" t="s">
        <v>293</v>
      </c>
      <c r="C78" s="62" t="s">
        <v>11695</v>
      </c>
      <c r="D78" s="63">
        <v>7.2</v>
      </c>
      <c r="E78" s="64" t="s">
        <v>132</v>
      </c>
      <c r="F78" s="65">
        <v>18.8</v>
      </c>
      <c r="G78" s="62"/>
      <c r="H78" s="66"/>
      <c r="I78" s="67"/>
      <c r="J78" s="67"/>
      <c r="K78" s="31" t="s">
        <v>65</v>
      </c>
      <c r="L78" s="75">
        <v>78</v>
      </c>
      <c r="M78" s="75"/>
      <c r="N78" s="69"/>
      <c r="O78" s="77" t="s">
        <v>541</v>
      </c>
      <c r="P78" s="79">
        <v>45148.36515046296</v>
      </c>
      <c r="Q78" s="77" t="s">
        <v>551</v>
      </c>
      <c r="R78" s="77">
        <v>0</v>
      </c>
      <c r="S78" s="77">
        <v>0</v>
      </c>
      <c r="T78" s="77">
        <v>0</v>
      </c>
      <c r="U78" s="77">
        <v>0</v>
      </c>
      <c r="V78" s="77">
        <v>44</v>
      </c>
      <c r="W78" s="77"/>
      <c r="X78" s="83" t="str">
        <f>HYPERLINK("https://twitter.com/Charpy73/status/1071073087528058880?s=20")</f>
        <v>https://twitter.com/Charpy73/status/1071073087528058880?s=20</v>
      </c>
      <c r="Y78" s="77" t="s">
        <v>733</v>
      </c>
      <c r="Z78" s="77" t="s">
        <v>752</v>
      </c>
      <c r="AA78" s="77"/>
      <c r="AB78" s="77"/>
      <c r="AC78" s="81" t="s">
        <v>853</v>
      </c>
      <c r="AD78" s="77" t="s">
        <v>859</v>
      </c>
      <c r="AE78" s="83" t="str">
        <f>HYPERLINK("https://twitter.com/charpy73/status/1689558661083934720")</f>
        <v>https://twitter.com/charpy73/status/1689558661083934720</v>
      </c>
      <c r="AF78" s="79">
        <v>45148.36515046296</v>
      </c>
      <c r="AG78" s="85">
        <v>45148</v>
      </c>
      <c r="AH78" s="81" t="s">
        <v>878</v>
      </c>
      <c r="AI78" s="77" t="b">
        <v>0</v>
      </c>
      <c r="AJ78" s="77"/>
      <c r="AK78" s="77"/>
      <c r="AL78" s="77"/>
      <c r="AM78" s="77"/>
      <c r="AN78" s="77"/>
      <c r="AO78" s="77"/>
      <c r="AP78" s="77"/>
      <c r="AQ78" s="77"/>
      <c r="AR78" s="77"/>
      <c r="AS78" s="77"/>
      <c r="AT78" s="77"/>
      <c r="AU78" s="77"/>
      <c r="AV78" s="83" t="str">
        <f>HYPERLINK("https://pbs.twimg.com/profile_images/1310352185679654912/xskSwHii_normal.jpg")</f>
        <v>https://pbs.twimg.com/profile_images/1310352185679654912/xskSwHii_normal.jpg</v>
      </c>
      <c r="AW78" s="81" t="s">
        <v>1033</v>
      </c>
      <c r="AX78" s="81" t="s">
        <v>1153</v>
      </c>
      <c r="AY78" s="81" t="s">
        <v>1173</v>
      </c>
      <c r="AZ78" s="81" t="s">
        <v>1034</v>
      </c>
      <c r="BA78" s="81" t="s">
        <v>1040</v>
      </c>
      <c r="BB78" s="81" t="s">
        <v>1190</v>
      </c>
      <c r="BC78" s="81" t="s">
        <v>1034</v>
      </c>
      <c r="BD78" s="81" t="s">
        <v>1173</v>
      </c>
      <c r="BE78" s="77"/>
      <c r="BF78" s="77"/>
      <c r="BG78" s="77"/>
      <c r="BH78" s="77"/>
      <c r="BI78" s="77"/>
      <c r="BJ78">
        <v>4</v>
      </c>
      <c r="BK78" s="76" t="str">
        <f>REPLACE(INDEX(GroupVertices[Group],MATCH(Edges[[#This Row],[Vertex 1]],GroupVertices[Vertex],0)),1,1,"")</f>
        <v>4</v>
      </c>
      <c r="BL78" s="76" t="str">
        <f>REPLACE(INDEX(GroupVertices[Group],MATCH(Edges[[#This Row],[Vertex 2]],GroupVertices[Vertex],0)),1,1,"")</f>
        <v>4</v>
      </c>
      <c r="BM78" s="45"/>
      <c r="BN78" s="46"/>
      <c r="BO78" s="45"/>
      <c r="BP78" s="46"/>
      <c r="BQ78" s="45"/>
      <c r="BR78" s="46"/>
      <c r="BS78" s="45"/>
      <c r="BT78" s="46"/>
      <c r="BU78" s="45"/>
    </row>
    <row r="79" spans="1:73" ht="15">
      <c r="A79" s="61" t="s">
        <v>227</v>
      </c>
      <c r="B79" s="61" t="s">
        <v>293</v>
      </c>
      <c r="C79" s="62" t="s">
        <v>11695</v>
      </c>
      <c r="D79" s="63">
        <v>7.2</v>
      </c>
      <c r="E79" s="64" t="s">
        <v>132</v>
      </c>
      <c r="F79" s="65">
        <v>18.8</v>
      </c>
      <c r="G79" s="62"/>
      <c r="H79" s="66"/>
      <c r="I79" s="67"/>
      <c r="J79" s="67"/>
      <c r="K79" s="31" t="s">
        <v>65</v>
      </c>
      <c r="L79" s="75">
        <v>79</v>
      </c>
      <c r="M79" s="75"/>
      <c r="N79" s="69"/>
      <c r="O79" s="77" t="s">
        <v>541</v>
      </c>
      <c r="P79" s="79">
        <v>45148.35780092593</v>
      </c>
      <c r="Q79" s="77" t="s">
        <v>552</v>
      </c>
      <c r="R79" s="77">
        <v>0</v>
      </c>
      <c r="S79" s="77">
        <v>0</v>
      </c>
      <c r="T79" s="77">
        <v>1</v>
      </c>
      <c r="U79" s="77">
        <v>0</v>
      </c>
      <c r="V79" s="77">
        <v>80</v>
      </c>
      <c r="W79" s="81" t="s">
        <v>670</v>
      </c>
      <c r="X79" s="77" t="s">
        <v>729</v>
      </c>
      <c r="Y79" s="77" t="s">
        <v>735</v>
      </c>
      <c r="Z79" s="77" t="s">
        <v>753</v>
      </c>
      <c r="AA79" s="77"/>
      <c r="AB79" s="77"/>
      <c r="AC79" s="81" t="s">
        <v>853</v>
      </c>
      <c r="AD79" s="77" t="s">
        <v>859</v>
      </c>
      <c r="AE79" s="83" t="str">
        <f>HYPERLINK("https://twitter.com/charpy73/status/1689555994278330368")</f>
        <v>https://twitter.com/charpy73/status/1689555994278330368</v>
      </c>
      <c r="AF79" s="79">
        <v>45148.35780092593</v>
      </c>
      <c r="AG79" s="85">
        <v>45148</v>
      </c>
      <c r="AH79" s="81" t="s">
        <v>879</v>
      </c>
      <c r="AI79" s="77" t="b">
        <v>0</v>
      </c>
      <c r="AJ79" s="77"/>
      <c r="AK79" s="77"/>
      <c r="AL79" s="77"/>
      <c r="AM79" s="77"/>
      <c r="AN79" s="77"/>
      <c r="AO79" s="77"/>
      <c r="AP79" s="77"/>
      <c r="AQ79" s="77"/>
      <c r="AR79" s="77"/>
      <c r="AS79" s="77"/>
      <c r="AT79" s="77"/>
      <c r="AU79" s="77"/>
      <c r="AV79" s="83" t="str">
        <f>HYPERLINK("https://pbs.twimg.com/profile_images/1310352185679654912/xskSwHii_normal.jpg")</f>
        <v>https://pbs.twimg.com/profile_images/1310352185679654912/xskSwHii_normal.jpg</v>
      </c>
      <c r="AW79" s="81" t="s">
        <v>1034</v>
      </c>
      <c r="AX79" s="81" t="s">
        <v>1153</v>
      </c>
      <c r="AY79" s="81" t="s">
        <v>1173</v>
      </c>
      <c r="AZ79" s="81" t="s">
        <v>1036</v>
      </c>
      <c r="BA79" s="81" t="s">
        <v>1041</v>
      </c>
      <c r="BB79" s="81" t="s">
        <v>1190</v>
      </c>
      <c r="BC79" s="81" t="s">
        <v>1036</v>
      </c>
      <c r="BD79" s="81" t="s">
        <v>1173</v>
      </c>
      <c r="BE79" s="77"/>
      <c r="BF79" s="77"/>
      <c r="BG79" s="77"/>
      <c r="BH79" s="77"/>
      <c r="BI79" s="77"/>
      <c r="BJ79">
        <v>4</v>
      </c>
      <c r="BK79" s="76" t="str">
        <f>REPLACE(INDEX(GroupVertices[Group],MATCH(Edges[[#This Row],[Vertex 1]],GroupVertices[Vertex],0)),1,1,"")</f>
        <v>4</v>
      </c>
      <c r="BL79" s="76" t="str">
        <f>REPLACE(INDEX(GroupVertices[Group],MATCH(Edges[[#This Row],[Vertex 2]],GroupVertices[Vertex],0)),1,1,"")</f>
        <v>4</v>
      </c>
      <c r="BM79" s="45"/>
      <c r="BN79" s="46"/>
      <c r="BO79" s="45"/>
      <c r="BP79" s="46"/>
      <c r="BQ79" s="45"/>
      <c r="BR79" s="46"/>
      <c r="BS79" s="45"/>
      <c r="BT79" s="46"/>
      <c r="BU79" s="45"/>
    </row>
    <row r="80" spans="1:73" ht="15">
      <c r="A80" s="61" t="s">
        <v>227</v>
      </c>
      <c r="B80" s="61" t="s">
        <v>294</v>
      </c>
      <c r="C80" s="62" t="s">
        <v>11692</v>
      </c>
      <c r="D80" s="63">
        <v>3</v>
      </c>
      <c r="E80" s="64" t="s">
        <v>132</v>
      </c>
      <c r="F80" s="65">
        <v>32</v>
      </c>
      <c r="G80" s="62"/>
      <c r="H80" s="66"/>
      <c r="I80" s="67"/>
      <c r="J80" s="67"/>
      <c r="K80" s="31" t="s">
        <v>65</v>
      </c>
      <c r="L80" s="75">
        <v>80</v>
      </c>
      <c r="M80" s="75"/>
      <c r="N80" s="69"/>
      <c r="O80" s="77" t="s">
        <v>543</v>
      </c>
      <c r="P80" s="79">
        <v>45148.35189814815</v>
      </c>
      <c r="Q80" s="77" t="s">
        <v>553</v>
      </c>
      <c r="R80" s="77">
        <v>0</v>
      </c>
      <c r="S80" s="77">
        <v>0</v>
      </c>
      <c r="T80" s="77">
        <v>1</v>
      </c>
      <c r="U80" s="77">
        <v>0</v>
      </c>
      <c r="V80" s="77">
        <v>17</v>
      </c>
      <c r="W80" s="77"/>
      <c r="X80" s="83" t="str">
        <f>HYPERLINK("https://www.nodexlgraphgallery.org/Pages/Graph.aspx?graphID=254623")</f>
        <v>https://www.nodexlgraphgallery.org/Pages/Graph.aspx?graphID=254623</v>
      </c>
      <c r="Y80" s="77" t="s">
        <v>732</v>
      </c>
      <c r="Z80" s="77" t="s">
        <v>754</v>
      </c>
      <c r="AA80" s="77"/>
      <c r="AB80" s="77"/>
      <c r="AC80" s="81" t="s">
        <v>853</v>
      </c>
      <c r="AD80" s="77" t="s">
        <v>862</v>
      </c>
      <c r="AE80" s="83" t="str">
        <f>HYPERLINK("https://twitter.com/charpy73/status/1689553858408693762")</f>
        <v>https://twitter.com/charpy73/status/1689553858408693762</v>
      </c>
      <c r="AF80" s="79">
        <v>45148.35189814815</v>
      </c>
      <c r="AG80" s="85">
        <v>45148</v>
      </c>
      <c r="AH80" s="81" t="s">
        <v>880</v>
      </c>
      <c r="AI80" s="77" t="b">
        <v>0</v>
      </c>
      <c r="AJ80" s="77"/>
      <c r="AK80" s="77"/>
      <c r="AL80" s="77"/>
      <c r="AM80" s="77"/>
      <c r="AN80" s="77"/>
      <c r="AO80" s="77"/>
      <c r="AP80" s="77"/>
      <c r="AQ80" s="77"/>
      <c r="AR80" s="77"/>
      <c r="AS80" s="77"/>
      <c r="AT80" s="77"/>
      <c r="AU80" s="77"/>
      <c r="AV80" s="83" t="str">
        <f>HYPERLINK("https://pbs.twimg.com/profile_images/1310352185679654912/xskSwHii_normal.jpg")</f>
        <v>https://pbs.twimg.com/profile_images/1310352185679654912/xskSwHii_normal.jpg</v>
      </c>
      <c r="AW80" s="81" t="s">
        <v>1035</v>
      </c>
      <c r="AX80" s="81" t="s">
        <v>1153</v>
      </c>
      <c r="AY80" s="81" t="s">
        <v>1173</v>
      </c>
      <c r="AZ80" s="81" t="s">
        <v>1038</v>
      </c>
      <c r="BA80" s="81" t="s">
        <v>1190</v>
      </c>
      <c r="BB80" s="81" t="s">
        <v>1190</v>
      </c>
      <c r="BC80" s="81" t="s">
        <v>1038</v>
      </c>
      <c r="BD80" s="81" t="s">
        <v>1173</v>
      </c>
      <c r="BE80" s="77"/>
      <c r="BF80" s="77"/>
      <c r="BG80" s="77"/>
      <c r="BH80" s="77"/>
      <c r="BI80" s="77"/>
      <c r="BJ80">
        <v>1</v>
      </c>
      <c r="BK80" s="76" t="str">
        <f>REPLACE(INDEX(GroupVertices[Group],MATCH(Edges[[#This Row],[Vertex 1]],GroupVertices[Vertex],0)),1,1,"")</f>
        <v>4</v>
      </c>
      <c r="BL80" s="76" t="str">
        <f>REPLACE(INDEX(GroupVertices[Group],MATCH(Edges[[#This Row],[Vertex 2]],GroupVertices[Vertex],0)),1,1,"")</f>
        <v>4</v>
      </c>
      <c r="BM80" s="45"/>
      <c r="BN80" s="46"/>
      <c r="BO80" s="45"/>
      <c r="BP80" s="46"/>
      <c r="BQ80" s="45"/>
      <c r="BR80" s="46"/>
      <c r="BS80" s="45"/>
      <c r="BT80" s="46"/>
      <c r="BU80" s="45"/>
    </row>
    <row r="81" spans="1:73" ht="15">
      <c r="A81" s="61" t="s">
        <v>227</v>
      </c>
      <c r="B81" s="61" t="s">
        <v>294</v>
      </c>
      <c r="C81" s="62" t="s">
        <v>11695</v>
      </c>
      <c r="D81" s="63">
        <v>7.2</v>
      </c>
      <c r="E81" s="64" t="s">
        <v>132</v>
      </c>
      <c r="F81" s="65">
        <v>18.8</v>
      </c>
      <c r="G81" s="62"/>
      <c r="H81" s="66"/>
      <c r="I81" s="67"/>
      <c r="J81" s="67"/>
      <c r="K81" s="31" t="s">
        <v>65</v>
      </c>
      <c r="L81" s="75">
        <v>81</v>
      </c>
      <c r="M81" s="75"/>
      <c r="N81" s="69"/>
      <c r="O81" s="77" t="s">
        <v>541</v>
      </c>
      <c r="P81" s="79">
        <v>45148.353993055556</v>
      </c>
      <c r="Q81" s="77" t="s">
        <v>554</v>
      </c>
      <c r="R81" s="77">
        <v>0</v>
      </c>
      <c r="S81" s="77">
        <v>0</v>
      </c>
      <c r="T81" s="77">
        <v>1</v>
      </c>
      <c r="U81" s="77">
        <v>0</v>
      </c>
      <c r="V81" s="77">
        <v>21</v>
      </c>
      <c r="W81" s="77"/>
      <c r="X81" s="83" t="str">
        <f>HYPERLINK("https://twitter.com/Charpy73/status/1081734473513869312?s=20")</f>
        <v>https://twitter.com/Charpy73/status/1081734473513869312?s=20</v>
      </c>
      <c r="Y81" s="77" t="s">
        <v>733</v>
      </c>
      <c r="Z81" s="77" t="s">
        <v>755</v>
      </c>
      <c r="AA81" s="77"/>
      <c r="AB81" s="77"/>
      <c r="AC81" s="81" t="s">
        <v>853</v>
      </c>
      <c r="AD81" s="77" t="s">
        <v>862</v>
      </c>
      <c r="AE81" s="83" t="str">
        <f>HYPERLINK("https://twitter.com/charpy73/status/1689554615862255616")</f>
        <v>https://twitter.com/charpy73/status/1689554615862255616</v>
      </c>
      <c r="AF81" s="79">
        <v>45148.353993055556</v>
      </c>
      <c r="AG81" s="85">
        <v>45148</v>
      </c>
      <c r="AH81" s="81" t="s">
        <v>881</v>
      </c>
      <c r="AI81" s="77" t="b">
        <v>0</v>
      </c>
      <c r="AJ81" s="77"/>
      <c r="AK81" s="77"/>
      <c r="AL81" s="77"/>
      <c r="AM81" s="77"/>
      <c r="AN81" s="77"/>
      <c r="AO81" s="77"/>
      <c r="AP81" s="77"/>
      <c r="AQ81" s="77"/>
      <c r="AR81" s="77"/>
      <c r="AS81" s="77"/>
      <c r="AT81" s="77"/>
      <c r="AU81" s="77"/>
      <c r="AV81" s="83" t="str">
        <f>HYPERLINK("https://pbs.twimg.com/profile_images/1310352185679654912/xskSwHii_normal.jpg")</f>
        <v>https://pbs.twimg.com/profile_images/1310352185679654912/xskSwHii_normal.jpg</v>
      </c>
      <c r="AW81" s="81" t="s">
        <v>1036</v>
      </c>
      <c r="AX81" s="81" t="s">
        <v>1153</v>
      </c>
      <c r="AY81" s="81" t="s">
        <v>1173</v>
      </c>
      <c r="AZ81" s="81" t="s">
        <v>1037</v>
      </c>
      <c r="BA81" s="81" t="s">
        <v>1039</v>
      </c>
      <c r="BB81" s="81" t="s">
        <v>1190</v>
      </c>
      <c r="BC81" s="81" t="s">
        <v>1037</v>
      </c>
      <c r="BD81" s="81" t="s">
        <v>1173</v>
      </c>
      <c r="BE81" s="77"/>
      <c r="BF81" s="77"/>
      <c r="BG81" s="77"/>
      <c r="BH81" s="77"/>
      <c r="BI81" s="77"/>
      <c r="BJ81">
        <v>4</v>
      </c>
      <c r="BK81" s="76" t="str">
        <f>REPLACE(INDEX(GroupVertices[Group],MATCH(Edges[[#This Row],[Vertex 1]],GroupVertices[Vertex],0)),1,1,"")</f>
        <v>4</v>
      </c>
      <c r="BL81" s="76" t="str">
        <f>REPLACE(INDEX(GroupVertices[Group],MATCH(Edges[[#This Row],[Vertex 2]],GroupVertices[Vertex],0)),1,1,"")</f>
        <v>4</v>
      </c>
      <c r="BM81" s="45"/>
      <c r="BN81" s="46"/>
      <c r="BO81" s="45"/>
      <c r="BP81" s="46"/>
      <c r="BQ81" s="45"/>
      <c r="BR81" s="46"/>
      <c r="BS81" s="45"/>
      <c r="BT81" s="46"/>
      <c r="BU81" s="45"/>
    </row>
    <row r="82" spans="1:73" ht="15">
      <c r="A82" s="61" t="s">
        <v>227</v>
      </c>
      <c r="B82" s="61" t="s">
        <v>294</v>
      </c>
      <c r="C82" s="62" t="s">
        <v>11695</v>
      </c>
      <c r="D82" s="63">
        <v>7.2</v>
      </c>
      <c r="E82" s="64" t="s">
        <v>132</v>
      </c>
      <c r="F82" s="65">
        <v>18.8</v>
      </c>
      <c r="G82" s="62"/>
      <c r="H82" s="66"/>
      <c r="I82" s="67"/>
      <c r="J82" s="67"/>
      <c r="K82" s="31" t="s">
        <v>65</v>
      </c>
      <c r="L82" s="75">
        <v>82</v>
      </c>
      <c r="M82" s="75"/>
      <c r="N82" s="69"/>
      <c r="O82" s="77" t="s">
        <v>541</v>
      </c>
      <c r="P82" s="79">
        <v>45148.353738425925</v>
      </c>
      <c r="Q82" s="77" t="s">
        <v>555</v>
      </c>
      <c r="R82" s="77">
        <v>0</v>
      </c>
      <c r="S82" s="77">
        <v>0</v>
      </c>
      <c r="T82" s="77">
        <v>1</v>
      </c>
      <c r="U82" s="77">
        <v>0</v>
      </c>
      <c r="V82" s="77">
        <v>17</v>
      </c>
      <c r="W82" s="77"/>
      <c r="X82" s="83" t="str">
        <f>HYPERLINK("https://twitter.com/Charpy73/status/1677875566521864193?s=20")</f>
        <v>https://twitter.com/Charpy73/status/1677875566521864193?s=20</v>
      </c>
      <c r="Y82" s="77" t="s">
        <v>733</v>
      </c>
      <c r="Z82" s="77" t="s">
        <v>755</v>
      </c>
      <c r="AA82" s="77"/>
      <c r="AB82" s="77"/>
      <c r="AC82" s="81" t="s">
        <v>853</v>
      </c>
      <c r="AD82" s="77" t="s">
        <v>862</v>
      </c>
      <c r="AE82" s="83" t="str">
        <f>HYPERLINK("https://twitter.com/charpy73/status/1689554525403643904")</f>
        <v>https://twitter.com/charpy73/status/1689554525403643904</v>
      </c>
      <c r="AF82" s="79">
        <v>45148.353738425925</v>
      </c>
      <c r="AG82" s="85">
        <v>45148</v>
      </c>
      <c r="AH82" s="81" t="s">
        <v>882</v>
      </c>
      <c r="AI82" s="77" t="b">
        <v>0</v>
      </c>
      <c r="AJ82" s="77"/>
      <c r="AK82" s="77"/>
      <c r="AL82" s="77"/>
      <c r="AM82" s="77"/>
      <c r="AN82" s="77"/>
      <c r="AO82" s="77"/>
      <c r="AP82" s="77"/>
      <c r="AQ82" s="77"/>
      <c r="AR82" s="77"/>
      <c r="AS82" s="77"/>
      <c r="AT82" s="77"/>
      <c r="AU82" s="77"/>
      <c r="AV82" s="83" t="str">
        <f>HYPERLINK("https://pbs.twimg.com/profile_images/1310352185679654912/xskSwHii_normal.jpg")</f>
        <v>https://pbs.twimg.com/profile_images/1310352185679654912/xskSwHii_normal.jpg</v>
      </c>
      <c r="AW82" s="81" t="s">
        <v>1037</v>
      </c>
      <c r="AX82" s="81" t="s">
        <v>1153</v>
      </c>
      <c r="AY82" s="81" t="s">
        <v>1173</v>
      </c>
      <c r="AZ82" s="81" t="s">
        <v>1035</v>
      </c>
      <c r="BA82" s="81" t="s">
        <v>1032</v>
      </c>
      <c r="BB82" s="81" t="s">
        <v>1190</v>
      </c>
      <c r="BC82" s="81" t="s">
        <v>1035</v>
      </c>
      <c r="BD82" s="81" t="s">
        <v>1173</v>
      </c>
      <c r="BE82" s="77"/>
      <c r="BF82" s="77"/>
      <c r="BG82" s="77"/>
      <c r="BH82" s="77"/>
      <c r="BI82" s="77"/>
      <c r="BJ82">
        <v>4</v>
      </c>
      <c r="BK82" s="76" t="str">
        <f>REPLACE(INDEX(GroupVertices[Group],MATCH(Edges[[#This Row],[Vertex 1]],GroupVertices[Vertex],0)),1,1,"")</f>
        <v>4</v>
      </c>
      <c r="BL82" s="76" t="str">
        <f>REPLACE(INDEX(GroupVertices[Group],MATCH(Edges[[#This Row],[Vertex 2]],GroupVertices[Vertex],0)),1,1,"")</f>
        <v>4</v>
      </c>
      <c r="BM82" s="45"/>
      <c r="BN82" s="46"/>
      <c r="BO82" s="45"/>
      <c r="BP82" s="46"/>
      <c r="BQ82" s="45"/>
      <c r="BR82" s="46"/>
      <c r="BS82" s="45"/>
      <c r="BT82" s="46"/>
      <c r="BU82" s="45"/>
    </row>
    <row r="83" spans="1:73" ht="15">
      <c r="A83" s="61" t="s">
        <v>227</v>
      </c>
      <c r="B83" s="61" t="s">
        <v>294</v>
      </c>
      <c r="C83" s="62" t="s">
        <v>11695</v>
      </c>
      <c r="D83" s="63">
        <v>7.2</v>
      </c>
      <c r="E83" s="64" t="s">
        <v>132</v>
      </c>
      <c r="F83" s="65">
        <v>18.8</v>
      </c>
      <c r="G83" s="62"/>
      <c r="H83" s="66"/>
      <c r="I83" s="67"/>
      <c r="J83" s="67"/>
      <c r="K83" s="31" t="s">
        <v>65</v>
      </c>
      <c r="L83" s="75">
        <v>83</v>
      </c>
      <c r="M83" s="75"/>
      <c r="N83" s="69"/>
      <c r="O83" s="77" t="s">
        <v>541</v>
      </c>
      <c r="P83" s="79">
        <v>45148.36515046296</v>
      </c>
      <c r="Q83" s="77" t="s">
        <v>551</v>
      </c>
      <c r="R83" s="77">
        <v>0</v>
      </c>
      <c r="S83" s="77">
        <v>0</v>
      </c>
      <c r="T83" s="77">
        <v>0</v>
      </c>
      <c r="U83" s="77">
        <v>0</v>
      </c>
      <c r="V83" s="77">
        <v>44</v>
      </c>
      <c r="W83" s="77"/>
      <c r="X83" s="83" t="str">
        <f>HYPERLINK("https://twitter.com/Charpy73/status/1071073087528058880?s=20")</f>
        <v>https://twitter.com/Charpy73/status/1071073087528058880?s=20</v>
      </c>
      <c r="Y83" s="77" t="s">
        <v>733</v>
      </c>
      <c r="Z83" s="77" t="s">
        <v>752</v>
      </c>
      <c r="AA83" s="77"/>
      <c r="AB83" s="77"/>
      <c r="AC83" s="81" t="s">
        <v>853</v>
      </c>
      <c r="AD83" s="77" t="s">
        <v>859</v>
      </c>
      <c r="AE83" s="83" t="str">
        <f>HYPERLINK("https://twitter.com/charpy73/status/1689558661083934720")</f>
        <v>https://twitter.com/charpy73/status/1689558661083934720</v>
      </c>
      <c r="AF83" s="79">
        <v>45148.36515046296</v>
      </c>
      <c r="AG83" s="85">
        <v>45148</v>
      </c>
      <c r="AH83" s="81" t="s">
        <v>878</v>
      </c>
      <c r="AI83" s="77" t="b">
        <v>0</v>
      </c>
      <c r="AJ83" s="77"/>
      <c r="AK83" s="77"/>
      <c r="AL83" s="77"/>
      <c r="AM83" s="77"/>
      <c r="AN83" s="77"/>
      <c r="AO83" s="77"/>
      <c r="AP83" s="77"/>
      <c r="AQ83" s="77"/>
      <c r="AR83" s="77"/>
      <c r="AS83" s="77"/>
      <c r="AT83" s="77"/>
      <c r="AU83" s="77"/>
      <c r="AV83" s="83" t="str">
        <f>HYPERLINK("https://pbs.twimg.com/profile_images/1310352185679654912/xskSwHii_normal.jpg")</f>
        <v>https://pbs.twimg.com/profile_images/1310352185679654912/xskSwHii_normal.jpg</v>
      </c>
      <c r="AW83" s="81" t="s">
        <v>1033</v>
      </c>
      <c r="AX83" s="81" t="s">
        <v>1153</v>
      </c>
      <c r="AY83" s="81" t="s">
        <v>1173</v>
      </c>
      <c r="AZ83" s="81" t="s">
        <v>1034</v>
      </c>
      <c r="BA83" s="81" t="s">
        <v>1040</v>
      </c>
      <c r="BB83" s="81" t="s">
        <v>1190</v>
      </c>
      <c r="BC83" s="81" t="s">
        <v>1034</v>
      </c>
      <c r="BD83" s="81" t="s">
        <v>1173</v>
      </c>
      <c r="BE83" s="77"/>
      <c r="BF83" s="77"/>
      <c r="BG83" s="77"/>
      <c r="BH83" s="77"/>
      <c r="BI83" s="77"/>
      <c r="BJ83">
        <v>4</v>
      </c>
      <c r="BK83" s="76" t="str">
        <f>REPLACE(INDEX(GroupVertices[Group],MATCH(Edges[[#This Row],[Vertex 1]],GroupVertices[Vertex],0)),1,1,"")</f>
        <v>4</v>
      </c>
      <c r="BL83" s="76" t="str">
        <f>REPLACE(INDEX(GroupVertices[Group],MATCH(Edges[[#This Row],[Vertex 2]],GroupVertices[Vertex],0)),1,1,"")</f>
        <v>4</v>
      </c>
      <c r="BM83" s="45"/>
      <c r="BN83" s="46"/>
      <c r="BO83" s="45"/>
      <c r="BP83" s="46"/>
      <c r="BQ83" s="45"/>
      <c r="BR83" s="46"/>
      <c r="BS83" s="45"/>
      <c r="BT83" s="46"/>
      <c r="BU83" s="45"/>
    </row>
    <row r="84" spans="1:73" ht="15">
      <c r="A84" s="61" t="s">
        <v>227</v>
      </c>
      <c r="B84" s="61" t="s">
        <v>294</v>
      </c>
      <c r="C84" s="62" t="s">
        <v>11695</v>
      </c>
      <c r="D84" s="63">
        <v>7.2</v>
      </c>
      <c r="E84" s="64" t="s">
        <v>132</v>
      </c>
      <c r="F84" s="65">
        <v>18.8</v>
      </c>
      <c r="G84" s="62"/>
      <c r="H84" s="66"/>
      <c r="I84" s="67"/>
      <c r="J84" s="67"/>
      <c r="K84" s="31" t="s">
        <v>65</v>
      </c>
      <c r="L84" s="75">
        <v>84</v>
      </c>
      <c r="M84" s="75"/>
      <c r="N84" s="69"/>
      <c r="O84" s="77" t="s">
        <v>541</v>
      </c>
      <c r="P84" s="79">
        <v>45148.35780092593</v>
      </c>
      <c r="Q84" s="77" t="s">
        <v>552</v>
      </c>
      <c r="R84" s="77">
        <v>0</v>
      </c>
      <c r="S84" s="77">
        <v>0</v>
      </c>
      <c r="T84" s="77">
        <v>1</v>
      </c>
      <c r="U84" s="77">
        <v>0</v>
      </c>
      <c r="V84" s="77">
        <v>80</v>
      </c>
      <c r="W84" s="81" t="s">
        <v>670</v>
      </c>
      <c r="X84" s="77" t="s">
        <v>729</v>
      </c>
      <c r="Y84" s="77" t="s">
        <v>735</v>
      </c>
      <c r="Z84" s="77" t="s">
        <v>753</v>
      </c>
      <c r="AA84" s="77"/>
      <c r="AB84" s="77"/>
      <c r="AC84" s="81" t="s">
        <v>853</v>
      </c>
      <c r="AD84" s="77" t="s">
        <v>859</v>
      </c>
      <c r="AE84" s="83" t="str">
        <f>HYPERLINK("https://twitter.com/charpy73/status/1689555994278330368")</f>
        <v>https://twitter.com/charpy73/status/1689555994278330368</v>
      </c>
      <c r="AF84" s="79">
        <v>45148.35780092593</v>
      </c>
      <c r="AG84" s="85">
        <v>45148</v>
      </c>
      <c r="AH84" s="81" t="s">
        <v>879</v>
      </c>
      <c r="AI84" s="77" t="b">
        <v>0</v>
      </c>
      <c r="AJ84" s="77"/>
      <c r="AK84" s="77"/>
      <c r="AL84" s="77"/>
      <c r="AM84" s="77"/>
      <c r="AN84" s="77"/>
      <c r="AO84" s="77"/>
      <c r="AP84" s="77"/>
      <c r="AQ84" s="77"/>
      <c r="AR84" s="77"/>
      <c r="AS84" s="77"/>
      <c r="AT84" s="77"/>
      <c r="AU84" s="77"/>
      <c r="AV84" s="83" t="str">
        <f>HYPERLINK("https://pbs.twimg.com/profile_images/1310352185679654912/xskSwHii_normal.jpg")</f>
        <v>https://pbs.twimg.com/profile_images/1310352185679654912/xskSwHii_normal.jpg</v>
      </c>
      <c r="AW84" s="81" t="s">
        <v>1034</v>
      </c>
      <c r="AX84" s="81" t="s">
        <v>1153</v>
      </c>
      <c r="AY84" s="81" t="s">
        <v>1173</v>
      </c>
      <c r="AZ84" s="81" t="s">
        <v>1036</v>
      </c>
      <c r="BA84" s="81" t="s">
        <v>1041</v>
      </c>
      <c r="BB84" s="81" t="s">
        <v>1190</v>
      </c>
      <c r="BC84" s="81" t="s">
        <v>1036</v>
      </c>
      <c r="BD84" s="81" t="s">
        <v>1173</v>
      </c>
      <c r="BE84" s="77"/>
      <c r="BF84" s="77"/>
      <c r="BG84" s="77"/>
      <c r="BH84" s="77"/>
      <c r="BI84" s="77"/>
      <c r="BJ84">
        <v>4</v>
      </c>
      <c r="BK84" s="76" t="str">
        <f>REPLACE(INDEX(GroupVertices[Group],MATCH(Edges[[#This Row],[Vertex 1]],GroupVertices[Vertex],0)),1,1,"")</f>
        <v>4</v>
      </c>
      <c r="BL84" s="76" t="str">
        <f>REPLACE(INDEX(GroupVertices[Group],MATCH(Edges[[#This Row],[Vertex 2]],GroupVertices[Vertex],0)),1,1,"")</f>
        <v>4</v>
      </c>
      <c r="BM84" s="45"/>
      <c r="BN84" s="46"/>
      <c r="BO84" s="45"/>
      <c r="BP84" s="46"/>
      <c r="BQ84" s="45"/>
      <c r="BR84" s="46"/>
      <c r="BS84" s="45"/>
      <c r="BT84" s="46"/>
      <c r="BU84" s="45"/>
    </row>
    <row r="85" spans="1:73" ht="15">
      <c r="A85" s="61" t="s">
        <v>227</v>
      </c>
      <c r="B85" s="61" t="s">
        <v>295</v>
      </c>
      <c r="C85" s="62" t="s">
        <v>11692</v>
      </c>
      <c r="D85" s="63">
        <v>3</v>
      </c>
      <c r="E85" s="64" t="s">
        <v>132</v>
      </c>
      <c r="F85" s="65">
        <v>32</v>
      </c>
      <c r="G85" s="62"/>
      <c r="H85" s="66"/>
      <c r="I85" s="67"/>
      <c r="J85" s="67"/>
      <c r="K85" s="31" t="s">
        <v>65</v>
      </c>
      <c r="L85" s="75">
        <v>85</v>
      </c>
      <c r="M85" s="75"/>
      <c r="N85" s="69"/>
      <c r="O85" s="77" t="s">
        <v>543</v>
      </c>
      <c r="P85" s="79">
        <v>45148.35189814815</v>
      </c>
      <c r="Q85" s="77" t="s">
        <v>553</v>
      </c>
      <c r="R85" s="77">
        <v>0</v>
      </c>
      <c r="S85" s="77">
        <v>0</v>
      </c>
      <c r="T85" s="77">
        <v>1</v>
      </c>
      <c r="U85" s="77">
        <v>0</v>
      </c>
      <c r="V85" s="77">
        <v>17</v>
      </c>
      <c r="W85" s="77"/>
      <c r="X85" s="83" t="str">
        <f>HYPERLINK("https://www.nodexlgraphgallery.org/Pages/Graph.aspx?graphID=254623")</f>
        <v>https://www.nodexlgraphgallery.org/Pages/Graph.aspx?graphID=254623</v>
      </c>
      <c r="Y85" s="77" t="s">
        <v>732</v>
      </c>
      <c r="Z85" s="77" t="s">
        <v>754</v>
      </c>
      <c r="AA85" s="77"/>
      <c r="AB85" s="77"/>
      <c r="AC85" s="81" t="s">
        <v>853</v>
      </c>
      <c r="AD85" s="77" t="s">
        <v>862</v>
      </c>
      <c r="AE85" s="83" t="str">
        <f>HYPERLINK("https://twitter.com/charpy73/status/1689553858408693762")</f>
        <v>https://twitter.com/charpy73/status/1689553858408693762</v>
      </c>
      <c r="AF85" s="79">
        <v>45148.35189814815</v>
      </c>
      <c r="AG85" s="85">
        <v>45148</v>
      </c>
      <c r="AH85" s="81" t="s">
        <v>880</v>
      </c>
      <c r="AI85" s="77" t="b">
        <v>0</v>
      </c>
      <c r="AJ85" s="77"/>
      <c r="AK85" s="77"/>
      <c r="AL85" s="77"/>
      <c r="AM85" s="77"/>
      <c r="AN85" s="77"/>
      <c r="AO85" s="77"/>
      <c r="AP85" s="77"/>
      <c r="AQ85" s="77"/>
      <c r="AR85" s="77"/>
      <c r="AS85" s="77"/>
      <c r="AT85" s="77"/>
      <c r="AU85" s="77"/>
      <c r="AV85" s="83" t="str">
        <f>HYPERLINK("https://pbs.twimg.com/profile_images/1310352185679654912/xskSwHii_normal.jpg")</f>
        <v>https://pbs.twimg.com/profile_images/1310352185679654912/xskSwHii_normal.jpg</v>
      </c>
      <c r="AW85" s="81" t="s">
        <v>1035</v>
      </c>
      <c r="AX85" s="81" t="s">
        <v>1153</v>
      </c>
      <c r="AY85" s="81" t="s">
        <v>1173</v>
      </c>
      <c r="AZ85" s="81" t="s">
        <v>1038</v>
      </c>
      <c r="BA85" s="81" t="s">
        <v>1190</v>
      </c>
      <c r="BB85" s="81" t="s">
        <v>1190</v>
      </c>
      <c r="BC85" s="81" t="s">
        <v>1038</v>
      </c>
      <c r="BD85" s="81" t="s">
        <v>1173</v>
      </c>
      <c r="BE85" s="77"/>
      <c r="BF85" s="77"/>
      <c r="BG85" s="77"/>
      <c r="BH85" s="77"/>
      <c r="BI85" s="77"/>
      <c r="BJ85">
        <v>1</v>
      </c>
      <c r="BK85" s="76" t="str">
        <f>REPLACE(INDEX(GroupVertices[Group],MATCH(Edges[[#This Row],[Vertex 1]],GroupVertices[Vertex],0)),1,1,"")</f>
        <v>4</v>
      </c>
      <c r="BL85" s="76" t="str">
        <f>REPLACE(INDEX(GroupVertices[Group],MATCH(Edges[[#This Row],[Vertex 2]],GroupVertices[Vertex],0)),1,1,"")</f>
        <v>4</v>
      </c>
      <c r="BM85" s="45"/>
      <c r="BN85" s="46"/>
      <c r="BO85" s="45"/>
      <c r="BP85" s="46"/>
      <c r="BQ85" s="45"/>
      <c r="BR85" s="46"/>
      <c r="BS85" s="45"/>
      <c r="BT85" s="46"/>
      <c r="BU85" s="45"/>
    </row>
    <row r="86" spans="1:73" ht="15">
      <c r="A86" s="61" t="s">
        <v>227</v>
      </c>
      <c r="B86" s="61" t="s">
        <v>295</v>
      </c>
      <c r="C86" s="62" t="s">
        <v>11695</v>
      </c>
      <c r="D86" s="63">
        <v>7.2</v>
      </c>
      <c r="E86" s="64" t="s">
        <v>132</v>
      </c>
      <c r="F86" s="65">
        <v>18.8</v>
      </c>
      <c r="G86" s="62"/>
      <c r="H86" s="66"/>
      <c r="I86" s="67"/>
      <c r="J86" s="67"/>
      <c r="K86" s="31" t="s">
        <v>65</v>
      </c>
      <c r="L86" s="75">
        <v>86</v>
      </c>
      <c r="M86" s="75"/>
      <c r="N86" s="69"/>
      <c r="O86" s="77" t="s">
        <v>541</v>
      </c>
      <c r="P86" s="79">
        <v>45148.353993055556</v>
      </c>
      <c r="Q86" s="77" t="s">
        <v>554</v>
      </c>
      <c r="R86" s="77">
        <v>0</v>
      </c>
      <c r="S86" s="77">
        <v>0</v>
      </c>
      <c r="T86" s="77">
        <v>1</v>
      </c>
      <c r="U86" s="77">
        <v>0</v>
      </c>
      <c r="V86" s="77">
        <v>21</v>
      </c>
      <c r="W86" s="77"/>
      <c r="X86" s="83" t="str">
        <f>HYPERLINK("https://twitter.com/Charpy73/status/1081734473513869312?s=20")</f>
        <v>https://twitter.com/Charpy73/status/1081734473513869312?s=20</v>
      </c>
      <c r="Y86" s="77" t="s">
        <v>733</v>
      </c>
      <c r="Z86" s="77" t="s">
        <v>755</v>
      </c>
      <c r="AA86" s="77"/>
      <c r="AB86" s="77"/>
      <c r="AC86" s="81" t="s">
        <v>853</v>
      </c>
      <c r="AD86" s="77" t="s">
        <v>862</v>
      </c>
      <c r="AE86" s="83" t="str">
        <f>HYPERLINK("https://twitter.com/charpy73/status/1689554615862255616")</f>
        <v>https://twitter.com/charpy73/status/1689554615862255616</v>
      </c>
      <c r="AF86" s="79">
        <v>45148.353993055556</v>
      </c>
      <c r="AG86" s="85">
        <v>45148</v>
      </c>
      <c r="AH86" s="81" t="s">
        <v>881</v>
      </c>
      <c r="AI86" s="77" t="b">
        <v>0</v>
      </c>
      <c r="AJ86" s="77"/>
      <c r="AK86" s="77"/>
      <c r="AL86" s="77"/>
      <c r="AM86" s="77"/>
      <c r="AN86" s="77"/>
      <c r="AO86" s="77"/>
      <c r="AP86" s="77"/>
      <c r="AQ86" s="77"/>
      <c r="AR86" s="77"/>
      <c r="AS86" s="77"/>
      <c r="AT86" s="77"/>
      <c r="AU86" s="77"/>
      <c r="AV86" s="83" t="str">
        <f>HYPERLINK("https://pbs.twimg.com/profile_images/1310352185679654912/xskSwHii_normal.jpg")</f>
        <v>https://pbs.twimg.com/profile_images/1310352185679654912/xskSwHii_normal.jpg</v>
      </c>
      <c r="AW86" s="81" t="s">
        <v>1036</v>
      </c>
      <c r="AX86" s="81" t="s">
        <v>1153</v>
      </c>
      <c r="AY86" s="81" t="s">
        <v>1173</v>
      </c>
      <c r="AZ86" s="81" t="s">
        <v>1037</v>
      </c>
      <c r="BA86" s="81" t="s">
        <v>1039</v>
      </c>
      <c r="BB86" s="81" t="s">
        <v>1190</v>
      </c>
      <c r="BC86" s="81" t="s">
        <v>1037</v>
      </c>
      <c r="BD86" s="81" t="s">
        <v>1173</v>
      </c>
      <c r="BE86" s="77"/>
      <c r="BF86" s="77"/>
      <c r="BG86" s="77"/>
      <c r="BH86" s="77"/>
      <c r="BI86" s="77"/>
      <c r="BJ86">
        <v>4</v>
      </c>
      <c r="BK86" s="76" t="str">
        <f>REPLACE(INDEX(GroupVertices[Group],MATCH(Edges[[#This Row],[Vertex 1]],GroupVertices[Vertex],0)),1,1,"")</f>
        <v>4</v>
      </c>
      <c r="BL86" s="76" t="str">
        <f>REPLACE(INDEX(GroupVertices[Group],MATCH(Edges[[#This Row],[Vertex 2]],GroupVertices[Vertex],0)),1,1,"")</f>
        <v>4</v>
      </c>
      <c r="BM86" s="45"/>
      <c r="BN86" s="46"/>
      <c r="BO86" s="45"/>
      <c r="BP86" s="46"/>
      <c r="BQ86" s="45"/>
      <c r="BR86" s="46"/>
      <c r="BS86" s="45"/>
      <c r="BT86" s="46"/>
      <c r="BU86" s="45"/>
    </row>
    <row r="87" spans="1:73" ht="15">
      <c r="A87" s="61" t="s">
        <v>227</v>
      </c>
      <c r="B87" s="61" t="s">
        <v>295</v>
      </c>
      <c r="C87" s="62" t="s">
        <v>11695</v>
      </c>
      <c r="D87" s="63">
        <v>7.2</v>
      </c>
      <c r="E87" s="64" t="s">
        <v>132</v>
      </c>
      <c r="F87" s="65">
        <v>18.8</v>
      </c>
      <c r="G87" s="62"/>
      <c r="H87" s="66"/>
      <c r="I87" s="67"/>
      <c r="J87" s="67"/>
      <c r="K87" s="31" t="s">
        <v>65</v>
      </c>
      <c r="L87" s="75">
        <v>87</v>
      </c>
      <c r="M87" s="75"/>
      <c r="N87" s="69"/>
      <c r="O87" s="77" t="s">
        <v>541</v>
      </c>
      <c r="P87" s="79">
        <v>45148.353738425925</v>
      </c>
      <c r="Q87" s="77" t="s">
        <v>555</v>
      </c>
      <c r="R87" s="77">
        <v>0</v>
      </c>
      <c r="S87" s="77">
        <v>0</v>
      </c>
      <c r="T87" s="77">
        <v>1</v>
      </c>
      <c r="U87" s="77">
        <v>0</v>
      </c>
      <c r="V87" s="77">
        <v>17</v>
      </c>
      <c r="W87" s="77"/>
      <c r="X87" s="83" t="str">
        <f>HYPERLINK("https://twitter.com/Charpy73/status/1677875566521864193?s=20")</f>
        <v>https://twitter.com/Charpy73/status/1677875566521864193?s=20</v>
      </c>
      <c r="Y87" s="77" t="s">
        <v>733</v>
      </c>
      <c r="Z87" s="77" t="s">
        <v>755</v>
      </c>
      <c r="AA87" s="77"/>
      <c r="AB87" s="77"/>
      <c r="AC87" s="81" t="s">
        <v>853</v>
      </c>
      <c r="AD87" s="77" t="s">
        <v>862</v>
      </c>
      <c r="AE87" s="83" t="str">
        <f>HYPERLINK("https://twitter.com/charpy73/status/1689554525403643904")</f>
        <v>https://twitter.com/charpy73/status/1689554525403643904</v>
      </c>
      <c r="AF87" s="79">
        <v>45148.353738425925</v>
      </c>
      <c r="AG87" s="85">
        <v>45148</v>
      </c>
      <c r="AH87" s="81" t="s">
        <v>882</v>
      </c>
      <c r="AI87" s="77" t="b">
        <v>0</v>
      </c>
      <c r="AJ87" s="77"/>
      <c r="AK87" s="77"/>
      <c r="AL87" s="77"/>
      <c r="AM87" s="77"/>
      <c r="AN87" s="77"/>
      <c r="AO87" s="77"/>
      <c r="AP87" s="77"/>
      <c r="AQ87" s="77"/>
      <c r="AR87" s="77"/>
      <c r="AS87" s="77"/>
      <c r="AT87" s="77"/>
      <c r="AU87" s="77"/>
      <c r="AV87" s="83" t="str">
        <f>HYPERLINK("https://pbs.twimg.com/profile_images/1310352185679654912/xskSwHii_normal.jpg")</f>
        <v>https://pbs.twimg.com/profile_images/1310352185679654912/xskSwHii_normal.jpg</v>
      </c>
      <c r="AW87" s="81" t="s">
        <v>1037</v>
      </c>
      <c r="AX87" s="81" t="s">
        <v>1153</v>
      </c>
      <c r="AY87" s="81" t="s">
        <v>1173</v>
      </c>
      <c r="AZ87" s="81" t="s">
        <v>1035</v>
      </c>
      <c r="BA87" s="81" t="s">
        <v>1032</v>
      </c>
      <c r="BB87" s="81" t="s">
        <v>1190</v>
      </c>
      <c r="BC87" s="81" t="s">
        <v>1035</v>
      </c>
      <c r="BD87" s="81" t="s">
        <v>1173</v>
      </c>
      <c r="BE87" s="77"/>
      <c r="BF87" s="77"/>
      <c r="BG87" s="77"/>
      <c r="BH87" s="77"/>
      <c r="BI87" s="77"/>
      <c r="BJ87">
        <v>4</v>
      </c>
      <c r="BK87" s="76" t="str">
        <f>REPLACE(INDEX(GroupVertices[Group],MATCH(Edges[[#This Row],[Vertex 1]],GroupVertices[Vertex],0)),1,1,"")</f>
        <v>4</v>
      </c>
      <c r="BL87" s="76" t="str">
        <f>REPLACE(INDEX(GroupVertices[Group],MATCH(Edges[[#This Row],[Vertex 2]],GroupVertices[Vertex],0)),1,1,"")</f>
        <v>4</v>
      </c>
      <c r="BM87" s="45"/>
      <c r="BN87" s="46"/>
      <c r="BO87" s="45"/>
      <c r="BP87" s="46"/>
      <c r="BQ87" s="45"/>
      <c r="BR87" s="46"/>
      <c r="BS87" s="45"/>
      <c r="BT87" s="46"/>
      <c r="BU87" s="45"/>
    </row>
    <row r="88" spans="1:73" ht="15">
      <c r="A88" s="61" t="s">
        <v>227</v>
      </c>
      <c r="B88" s="61" t="s">
        <v>295</v>
      </c>
      <c r="C88" s="62" t="s">
        <v>11695</v>
      </c>
      <c r="D88" s="63">
        <v>7.2</v>
      </c>
      <c r="E88" s="64" t="s">
        <v>132</v>
      </c>
      <c r="F88" s="65">
        <v>18.8</v>
      </c>
      <c r="G88" s="62"/>
      <c r="H88" s="66"/>
      <c r="I88" s="67"/>
      <c r="J88" s="67"/>
      <c r="K88" s="31" t="s">
        <v>65</v>
      </c>
      <c r="L88" s="75">
        <v>88</v>
      </c>
      <c r="M88" s="75"/>
      <c r="N88" s="69"/>
      <c r="O88" s="77" t="s">
        <v>541</v>
      </c>
      <c r="P88" s="79">
        <v>45148.36515046296</v>
      </c>
      <c r="Q88" s="77" t="s">
        <v>551</v>
      </c>
      <c r="R88" s="77">
        <v>0</v>
      </c>
      <c r="S88" s="77">
        <v>0</v>
      </c>
      <c r="T88" s="77">
        <v>0</v>
      </c>
      <c r="U88" s="77">
        <v>0</v>
      </c>
      <c r="V88" s="77">
        <v>44</v>
      </c>
      <c r="W88" s="77"/>
      <c r="X88" s="83" t="str">
        <f>HYPERLINK("https://twitter.com/Charpy73/status/1071073087528058880?s=20")</f>
        <v>https://twitter.com/Charpy73/status/1071073087528058880?s=20</v>
      </c>
      <c r="Y88" s="77" t="s">
        <v>733</v>
      </c>
      <c r="Z88" s="77" t="s">
        <v>752</v>
      </c>
      <c r="AA88" s="77"/>
      <c r="AB88" s="77"/>
      <c r="AC88" s="81" t="s">
        <v>853</v>
      </c>
      <c r="AD88" s="77" t="s">
        <v>859</v>
      </c>
      <c r="AE88" s="83" t="str">
        <f>HYPERLINK("https://twitter.com/charpy73/status/1689558661083934720")</f>
        <v>https://twitter.com/charpy73/status/1689558661083934720</v>
      </c>
      <c r="AF88" s="79">
        <v>45148.36515046296</v>
      </c>
      <c r="AG88" s="85">
        <v>45148</v>
      </c>
      <c r="AH88" s="81" t="s">
        <v>878</v>
      </c>
      <c r="AI88" s="77" t="b">
        <v>0</v>
      </c>
      <c r="AJ88" s="77"/>
      <c r="AK88" s="77"/>
      <c r="AL88" s="77"/>
      <c r="AM88" s="77"/>
      <c r="AN88" s="77"/>
      <c r="AO88" s="77"/>
      <c r="AP88" s="77"/>
      <c r="AQ88" s="77"/>
      <c r="AR88" s="77"/>
      <c r="AS88" s="77"/>
      <c r="AT88" s="77"/>
      <c r="AU88" s="77"/>
      <c r="AV88" s="83" t="str">
        <f>HYPERLINK("https://pbs.twimg.com/profile_images/1310352185679654912/xskSwHii_normal.jpg")</f>
        <v>https://pbs.twimg.com/profile_images/1310352185679654912/xskSwHii_normal.jpg</v>
      </c>
      <c r="AW88" s="81" t="s">
        <v>1033</v>
      </c>
      <c r="AX88" s="81" t="s">
        <v>1153</v>
      </c>
      <c r="AY88" s="81" t="s">
        <v>1173</v>
      </c>
      <c r="AZ88" s="81" t="s">
        <v>1034</v>
      </c>
      <c r="BA88" s="81" t="s">
        <v>1040</v>
      </c>
      <c r="BB88" s="81" t="s">
        <v>1190</v>
      </c>
      <c r="BC88" s="81" t="s">
        <v>1034</v>
      </c>
      <c r="BD88" s="81" t="s">
        <v>1173</v>
      </c>
      <c r="BE88" s="77"/>
      <c r="BF88" s="77"/>
      <c r="BG88" s="77"/>
      <c r="BH88" s="77"/>
      <c r="BI88" s="77"/>
      <c r="BJ88">
        <v>4</v>
      </c>
      <c r="BK88" s="76" t="str">
        <f>REPLACE(INDEX(GroupVertices[Group],MATCH(Edges[[#This Row],[Vertex 1]],GroupVertices[Vertex],0)),1,1,"")</f>
        <v>4</v>
      </c>
      <c r="BL88" s="76" t="str">
        <f>REPLACE(INDEX(GroupVertices[Group],MATCH(Edges[[#This Row],[Vertex 2]],GroupVertices[Vertex],0)),1,1,"")</f>
        <v>4</v>
      </c>
      <c r="BM88" s="45"/>
      <c r="BN88" s="46"/>
      <c r="BO88" s="45"/>
      <c r="BP88" s="46"/>
      <c r="BQ88" s="45"/>
      <c r="BR88" s="46"/>
      <c r="BS88" s="45"/>
      <c r="BT88" s="46"/>
      <c r="BU88" s="45"/>
    </row>
    <row r="89" spans="1:73" ht="15">
      <c r="A89" s="61" t="s">
        <v>227</v>
      </c>
      <c r="B89" s="61" t="s">
        <v>295</v>
      </c>
      <c r="C89" s="62" t="s">
        <v>11695</v>
      </c>
      <c r="D89" s="63">
        <v>7.2</v>
      </c>
      <c r="E89" s="64" t="s">
        <v>132</v>
      </c>
      <c r="F89" s="65">
        <v>18.8</v>
      </c>
      <c r="G89" s="62"/>
      <c r="H89" s="66"/>
      <c r="I89" s="67"/>
      <c r="J89" s="67"/>
      <c r="K89" s="31" t="s">
        <v>65</v>
      </c>
      <c r="L89" s="75">
        <v>89</v>
      </c>
      <c r="M89" s="75"/>
      <c r="N89" s="69"/>
      <c r="O89" s="77" t="s">
        <v>541</v>
      </c>
      <c r="P89" s="79">
        <v>45148.35780092593</v>
      </c>
      <c r="Q89" s="77" t="s">
        <v>552</v>
      </c>
      <c r="R89" s="77">
        <v>0</v>
      </c>
      <c r="S89" s="77">
        <v>0</v>
      </c>
      <c r="T89" s="77">
        <v>1</v>
      </c>
      <c r="U89" s="77">
        <v>0</v>
      </c>
      <c r="V89" s="77">
        <v>80</v>
      </c>
      <c r="W89" s="81" t="s">
        <v>670</v>
      </c>
      <c r="X89" s="77" t="s">
        <v>729</v>
      </c>
      <c r="Y89" s="77" t="s">
        <v>735</v>
      </c>
      <c r="Z89" s="77" t="s">
        <v>753</v>
      </c>
      <c r="AA89" s="77"/>
      <c r="AB89" s="77"/>
      <c r="AC89" s="81" t="s">
        <v>853</v>
      </c>
      <c r="AD89" s="77" t="s">
        <v>859</v>
      </c>
      <c r="AE89" s="83" t="str">
        <f>HYPERLINK("https://twitter.com/charpy73/status/1689555994278330368")</f>
        <v>https://twitter.com/charpy73/status/1689555994278330368</v>
      </c>
      <c r="AF89" s="79">
        <v>45148.35780092593</v>
      </c>
      <c r="AG89" s="85">
        <v>45148</v>
      </c>
      <c r="AH89" s="81" t="s">
        <v>879</v>
      </c>
      <c r="AI89" s="77" t="b">
        <v>0</v>
      </c>
      <c r="AJ89" s="77"/>
      <c r="AK89" s="77"/>
      <c r="AL89" s="77"/>
      <c r="AM89" s="77"/>
      <c r="AN89" s="77"/>
      <c r="AO89" s="77"/>
      <c r="AP89" s="77"/>
      <c r="AQ89" s="77"/>
      <c r="AR89" s="77"/>
      <c r="AS89" s="77"/>
      <c r="AT89" s="77"/>
      <c r="AU89" s="77"/>
      <c r="AV89" s="83" t="str">
        <f>HYPERLINK("https://pbs.twimg.com/profile_images/1310352185679654912/xskSwHii_normal.jpg")</f>
        <v>https://pbs.twimg.com/profile_images/1310352185679654912/xskSwHii_normal.jpg</v>
      </c>
      <c r="AW89" s="81" t="s">
        <v>1034</v>
      </c>
      <c r="AX89" s="81" t="s">
        <v>1153</v>
      </c>
      <c r="AY89" s="81" t="s">
        <v>1173</v>
      </c>
      <c r="AZ89" s="81" t="s">
        <v>1036</v>
      </c>
      <c r="BA89" s="81" t="s">
        <v>1041</v>
      </c>
      <c r="BB89" s="81" t="s">
        <v>1190</v>
      </c>
      <c r="BC89" s="81" t="s">
        <v>1036</v>
      </c>
      <c r="BD89" s="81" t="s">
        <v>1173</v>
      </c>
      <c r="BE89" s="77"/>
      <c r="BF89" s="77"/>
      <c r="BG89" s="77"/>
      <c r="BH89" s="77"/>
      <c r="BI89" s="77"/>
      <c r="BJ89">
        <v>4</v>
      </c>
      <c r="BK89" s="76" t="str">
        <f>REPLACE(INDEX(GroupVertices[Group],MATCH(Edges[[#This Row],[Vertex 1]],GroupVertices[Vertex],0)),1,1,"")</f>
        <v>4</v>
      </c>
      <c r="BL89" s="76" t="str">
        <f>REPLACE(INDEX(GroupVertices[Group],MATCH(Edges[[#This Row],[Vertex 2]],GroupVertices[Vertex],0)),1,1,"")</f>
        <v>4</v>
      </c>
      <c r="BM89" s="45"/>
      <c r="BN89" s="46"/>
      <c r="BO89" s="45"/>
      <c r="BP89" s="46"/>
      <c r="BQ89" s="45"/>
      <c r="BR89" s="46"/>
      <c r="BS89" s="45"/>
      <c r="BT89" s="46"/>
      <c r="BU89" s="45"/>
    </row>
    <row r="90" spans="1:73" ht="15">
      <c r="A90" s="61" t="s">
        <v>227</v>
      </c>
      <c r="B90" s="61" t="s">
        <v>296</v>
      </c>
      <c r="C90" s="62" t="s">
        <v>11692</v>
      </c>
      <c r="D90" s="63">
        <v>3</v>
      </c>
      <c r="E90" s="64" t="s">
        <v>132</v>
      </c>
      <c r="F90" s="65">
        <v>32</v>
      </c>
      <c r="G90" s="62"/>
      <c r="H90" s="66"/>
      <c r="I90" s="67"/>
      <c r="J90" s="67"/>
      <c r="K90" s="31" t="s">
        <v>65</v>
      </c>
      <c r="L90" s="75">
        <v>90</v>
      </c>
      <c r="M90" s="75"/>
      <c r="N90" s="69"/>
      <c r="O90" s="77" t="s">
        <v>543</v>
      </c>
      <c r="P90" s="79">
        <v>45148.35189814815</v>
      </c>
      <c r="Q90" s="77" t="s">
        <v>553</v>
      </c>
      <c r="R90" s="77">
        <v>0</v>
      </c>
      <c r="S90" s="77">
        <v>0</v>
      </c>
      <c r="T90" s="77">
        <v>1</v>
      </c>
      <c r="U90" s="77">
        <v>0</v>
      </c>
      <c r="V90" s="77">
        <v>17</v>
      </c>
      <c r="W90" s="77"/>
      <c r="X90" s="83" t="str">
        <f>HYPERLINK("https://www.nodexlgraphgallery.org/Pages/Graph.aspx?graphID=254623")</f>
        <v>https://www.nodexlgraphgallery.org/Pages/Graph.aspx?graphID=254623</v>
      </c>
      <c r="Y90" s="77" t="s">
        <v>732</v>
      </c>
      <c r="Z90" s="77" t="s">
        <v>754</v>
      </c>
      <c r="AA90" s="77"/>
      <c r="AB90" s="77"/>
      <c r="AC90" s="81" t="s">
        <v>853</v>
      </c>
      <c r="AD90" s="77" t="s">
        <v>862</v>
      </c>
      <c r="AE90" s="83" t="str">
        <f>HYPERLINK("https://twitter.com/charpy73/status/1689553858408693762")</f>
        <v>https://twitter.com/charpy73/status/1689553858408693762</v>
      </c>
      <c r="AF90" s="79">
        <v>45148.35189814815</v>
      </c>
      <c r="AG90" s="85">
        <v>45148</v>
      </c>
      <c r="AH90" s="81" t="s">
        <v>880</v>
      </c>
      <c r="AI90" s="77" t="b">
        <v>0</v>
      </c>
      <c r="AJ90" s="77"/>
      <c r="AK90" s="77"/>
      <c r="AL90" s="77"/>
      <c r="AM90" s="77"/>
      <c r="AN90" s="77"/>
      <c r="AO90" s="77"/>
      <c r="AP90" s="77"/>
      <c r="AQ90" s="77"/>
      <c r="AR90" s="77"/>
      <c r="AS90" s="77"/>
      <c r="AT90" s="77"/>
      <c r="AU90" s="77"/>
      <c r="AV90" s="83" t="str">
        <f>HYPERLINK("https://pbs.twimg.com/profile_images/1310352185679654912/xskSwHii_normal.jpg")</f>
        <v>https://pbs.twimg.com/profile_images/1310352185679654912/xskSwHii_normal.jpg</v>
      </c>
      <c r="AW90" s="81" t="s">
        <v>1035</v>
      </c>
      <c r="AX90" s="81" t="s">
        <v>1153</v>
      </c>
      <c r="AY90" s="81" t="s">
        <v>1173</v>
      </c>
      <c r="AZ90" s="81" t="s">
        <v>1038</v>
      </c>
      <c r="BA90" s="81" t="s">
        <v>1190</v>
      </c>
      <c r="BB90" s="81" t="s">
        <v>1190</v>
      </c>
      <c r="BC90" s="81" t="s">
        <v>1038</v>
      </c>
      <c r="BD90" s="81" t="s">
        <v>1173</v>
      </c>
      <c r="BE90" s="77"/>
      <c r="BF90" s="77"/>
      <c r="BG90" s="77"/>
      <c r="BH90" s="77"/>
      <c r="BI90" s="77"/>
      <c r="BJ90">
        <v>1</v>
      </c>
      <c r="BK90" s="76" t="str">
        <f>REPLACE(INDEX(GroupVertices[Group],MATCH(Edges[[#This Row],[Vertex 1]],GroupVertices[Vertex],0)),1,1,"")</f>
        <v>4</v>
      </c>
      <c r="BL90" s="76" t="str">
        <f>REPLACE(INDEX(GroupVertices[Group],MATCH(Edges[[#This Row],[Vertex 2]],GroupVertices[Vertex],0)),1,1,"")</f>
        <v>4</v>
      </c>
      <c r="BM90" s="45"/>
      <c r="BN90" s="46"/>
      <c r="BO90" s="45"/>
      <c r="BP90" s="46"/>
      <c r="BQ90" s="45"/>
      <c r="BR90" s="46"/>
      <c r="BS90" s="45"/>
      <c r="BT90" s="46"/>
      <c r="BU90" s="45"/>
    </row>
    <row r="91" spans="1:73" ht="15">
      <c r="A91" s="61" t="s">
        <v>227</v>
      </c>
      <c r="B91" s="61" t="s">
        <v>296</v>
      </c>
      <c r="C91" s="62" t="s">
        <v>11695</v>
      </c>
      <c r="D91" s="63">
        <v>7.2</v>
      </c>
      <c r="E91" s="64" t="s">
        <v>132</v>
      </c>
      <c r="F91" s="65">
        <v>18.8</v>
      </c>
      <c r="G91" s="62"/>
      <c r="H91" s="66"/>
      <c r="I91" s="67"/>
      <c r="J91" s="67"/>
      <c r="K91" s="31" t="s">
        <v>65</v>
      </c>
      <c r="L91" s="75">
        <v>91</v>
      </c>
      <c r="M91" s="75"/>
      <c r="N91" s="69"/>
      <c r="O91" s="77" t="s">
        <v>541</v>
      </c>
      <c r="P91" s="79">
        <v>45148.353993055556</v>
      </c>
      <c r="Q91" s="77" t="s">
        <v>554</v>
      </c>
      <c r="R91" s="77">
        <v>0</v>
      </c>
      <c r="S91" s="77">
        <v>0</v>
      </c>
      <c r="T91" s="77">
        <v>1</v>
      </c>
      <c r="U91" s="77">
        <v>0</v>
      </c>
      <c r="V91" s="77">
        <v>21</v>
      </c>
      <c r="W91" s="77"/>
      <c r="X91" s="83" t="str">
        <f>HYPERLINK("https://twitter.com/Charpy73/status/1081734473513869312?s=20")</f>
        <v>https://twitter.com/Charpy73/status/1081734473513869312?s=20</v>
      </c>
      <c r="Y91" s="77" t="s">
        <v>733</v>
      </c>
      <c r="Z91" s="77" t="s">
        <v>755</v>
      </c>
      <c r="AA91" s="77"/>
      <c r="AB91" s="77"/>
      <c r="AC91" s="81" t="s">
        <v>853</v>
      </c>
      <c r="AD91" s="77" t="s">
        <v>862</v>
      </c>
      <c r="AE91" s="83" t="str">
        <f>HYPERLINK("https://twitter.com/charpy73/status/1689554615862255616")</f>
        <v>https://twitter.com/charpy73/status/1689554615862255616</v>
      </c>
      <c r="AF91" s="79">
        <v>45148.353993055556</v>
      </c>
      <c r="AG91" s="85">
        <v>45148</v>
      </c>
      <c r="AH91" s="81" t="s">
        <v>881</v>
      </c>
      <c r="AI91" s="77" t="b">
        <v>0</v>
      </c>
      <c r="AJ91" s="77"/>
      <c r="AK91" s="77"/>
      <c r="AL91" s="77"/>
      <c r="AM91" s="77"/>
      <c r="AN91" s="77"/>
      <c r="AO91" s="77"/>
      <c r="AP91" s="77"/>
      <c r="AQ91" s="77"/>
      <c r="AR91" s="77"/>
      <c r="AS91" s="77"/>
      <c r="AT91" s="77"/>
      <c r="AU91" s="77"/>
      <c r="AV91" s="83" t="str">
        <f>HYPERLINK("https://pbs.twimg.com/profile_images/1310352185679654912/xskSwHii_normal.jpg")</f>
        <v>https://pbs.twimg.com/profile_images/1310352185679654912/xskSwHii_normal.jpg</v>
      </c>
      <c r="AW91" s="81" t="s">
        <v>1036</v>
      </c>
      <c r="AX91" s="81" t="s">
        <v>1153</v>
      </c>
      <c r="AY91" s="81" t="s">
        <v>1173</v>
      </c>
      <c r="AZ91" s="81" t="s">
        <v>1037</v>
      </c>
      <c r="BA91" s="81" t="s">
        <v>1039</v>
      </c>
      <c r="BB91" s="81" t="s">
        <v>1190</v>
      </c>
      <c r="BC91" s="81" t="s">
        <v>1037</v>
      </c>
      <c r="BD91" s="81" t="s">
        <v>1173</v>
      </c>
      <c r="BE91" s="77"/>
      <c r="BF91" s="77"/>
      <c r="BG91" s="77"/>
      <c r="BH91" s="77"/>
      <c r="BI91" s="77"/>
      <c r="BJ91">
        <v>4</v>
      </c>
      <c r="BK91" s="76" t="str">
        <f>REPLACE(INDEX(GroupVertices[Group],MATCH(Edges[[#This Row],[Vertex 1]],GroupVertices[Vertex],0)),1,1,"")</f>
        <v>4</v>
      </c>
      <c r="BL91" s="76" t="str">
        <f>REPLACE(INDEX(GroupVertices[Group],MATCH(Edges[[#This Row],[Vertex 2]],GroupVertices[Vertex],0)),1,1,"")</f>
        <v>4</v>
      </c>
      <c r="BM91" s="45"/>
      <c r="BN91" s="46"/>
      <c r="BO91" s="45"/>
      <c r="BP91" s="46"/>
      <c r="BQ91" s="45"/>
      <c r="BR91" s="46"/>
      <c r="BS91" s="45"/>
      <c r="BT91" s="46"/>
      <c r="BU91" s="45"/>
    </row>
    <row r="92" spans="1:73" ht="15">
      <c r="A92" s="61" t="s">
        <v>227</v>
      </c>
      <c r="B92" s="61" t="s">
        <v>296</v>
      </c>
      <c r="C92" s="62" t="s">
        <v>11695</v>
      </c>
      <c r="D92" s="63">
        <v>7.2</v>
      </c>
      <c r="E92" s="64" t="s">
        <v>132</v>
      </c>
      <c r="F92" s="65">
        <v>18.8</v>
      </c>
      <c r="G92" s="62"/>
      <c r="H92" s="66"/>
      <c r="I92" s="67"/>
      <c r="J92" s="67"/>
      <c r="K92" s="31" t="s">
        <v>65</v>
      </c>
      <c r="L92" s="75">
        <v>92</v>
      </c>
      <c r="M92" s="75"/>
      <c r="N92" s="69"/>
      <c r="O92" s="77" t="s">
        <v>541</v>
      </c>
      <c r="P92" s="79">
        <v>45148.353738425925</v>
      </c>
      <c r="Q92" s="77" t="s">
        <v>555</v>
      </c>
      <c r="R92" s="77">
        <v>0</v>
      </c>
      <c r="S92" s="77">
        <v>0</v>
      </c>
      <c r="T92" s="77">
        <v>1</v>
      </c>
      <c r="U92" s="77">
        <v>0</v>
      </c>
      <c r="V92" s="77">
        <v>17</v>
      </c>
      <c r="W92" s="77"/>
      <c r="X92" s="83" t="str">
        <f>HYPERLINK("https://twitter.com/Charpy73/status/1677875566521864193?s=20")</f>
        <v>https://twitter.com/Charpy73/status/1677875566521864193?s=20</v>
      </c>
      <c r="Y92" s="77" t="s">
        <v>733</v>
      </c>
      <c r="Z92" s="77" t="s">
        <v>755</v>
      </c>
      <c r="AA92" s="77"/>
      <c r="AB92" s="77"/>
      <c r="AC92" s="81" t="s">
        <v>853</v>
      </c>
      <c r="AD92" s="77" t="s">
        <v>862</v>
      </c>
      <c r="AE92" s="83" t="str">
        <f>HYPERLINK("https://twitter.com/charpy73/status/1689554525403643904")</f>
        <v>https://twitter.com/charpy73/status/1689554525403643904</v>
      </c>
      <c r="AF92" s="79">
        <v>45148.353738425925</v>
      </c>
      <c r="AG92" s="85">
        <v>45148</v>
      </c>
      <c r="AH92" s="81" t="s">
        <v>882</v>
      </c>
      <c r="AI92" s="77" t="b">
        <v>0</v>
      </c>
      <c r="AJ92" s="77"/>
      <c r="AK92" s="77"/>
      <c r="AL92" s="77"/>
      <c r="AM92" s="77"/>
      <c r="AN92" s="77"/>
      <c r="AO92" s="77"/>
      <c r="AP92" s="77"/>
      <c r="AQ92" s="77"/>
      <c r="AR92" s="77"/>
      <c r="AS92" s="77"/>
      <c r="AT92" s="77"/>
      <c r="AU92" s="77"/>
      <c r="AV92" s="83" t="str">
        <f>HYPERLINK("https://pbs.twimg.com/profile_images/1310352185679654912/xskSwHii_normal.jpg")</f>
        <v>https://pbs.twimg.com/profile_images/1310352185679654912/xskSwHii_normal.jpg</v>
      </c>
      <c r="AW92" s="81" t="s">
        <v>1037</v>
      </c>
      <c r="AX92" s="81" t="s">
        <v>1153</v>
      </c>
      <c r="AY92" s="81" t="s">
        <v>1173</v>
      </c>
      <c r="AZ92" s="81" t="s">
        <v>1035</v>
      </c>
      <c r="BA92" s="81" t="s">
        <v>1032</v>
      </c>
      <c r="BB92" s="81" t="s">
        <v>1190</v>
      </c>
      <c r="BC92" s="81" t="s">
        <v>1035</v>
      </c>
      <c r="BD92" s="81" t="s">
        <v>1173</v>
      </c>
      <c r="BE92" s="77"/>
      <c r="BF92" s="77"/>
      <c r="BG92" s="77"/>
      <c r="BH92" s="77"/>
      <c r="BI92" s="77"/>
      <c r="BJ92">
        <v>4</v>
      </c>
      <c r="BK92" s="76" t="str">
        <f>REPLACE(INDEX(GroupVertices[Group],MATCH(Edges[[#This Row],[Vertex 1]],GroupVertices[Vertex],0)),1,1,"")</f>
        <v>4</v>
      </c>
      <c r="BL92" s="76" t="str">
        <f>REPLACE(INDEX(GroupVertices[Group],MATCH(Edges[[#This Row],[Vertex 2]],GroupVertices[Vertex],0)),1,1,"")</f>
        <v>4</v>
      </c>
      <c r="BM92" s="45"/>
      <c r="BN92" s="46"/>
      <c r="BO92" s="45"/>
      <c r="BP92" s="46"/>
      <c r="BQ92" s="45"/>
      <c r="BR92" s="46"/>
      <c r="BS92" s="45"/>
      <c r="BT92" s="46"/>
      <c r="BU92" s="45"/>
    </row>
    <row r="93" spans="1:73" ht="15">
      <c r="A93" s="61" t="s">
        <v>227</v>
      </c>
      <c r="B93" s="61" t="s">
        <v>296</v>
      </c>
      <c r="C93" s="62" t="s">
        <v>11695</v>
      </c>
      <c r="D93" s="63">
        <v>7.2</v>
      </c>
      <c r="E93" s="64" t="s">
        <v>132</v>
      </c>
      <c r="F93" s="65">
        <v>18.8</v>
      </c>
      <c r="G93" s="62"/>
      <c r="H93" s="66"/>
      <c r="I93" s="67"/>
      <c r="J93" s="67"/>
      <c r="K93" s="31" t="s">
        <v>65</v>
      </c>
      <c r="L93" s="75">
        <v>93</v>
      </c>
      <c r="M93" s="75"/>
      <c r="N93" s="69"/>
      <c r="O93" s="77" t="s">
        <v>541</v>
      </c>
      <c r="P93" s="79">
        <v>45148.36515046296</v>
      </c>
      <c r="Q93" s="77" t="s">
        <v>551</v>
      </c>
      <c r="R93" s="77">
        <v>0</v>
      </c>
      <c r="S93" s="77">
        <v>0</v>
      </c>
      <c r="T93" s="77">
        <v>0</v>
      </c>
      <c r="U93" s="77">
        <v>0</v>
      </c>
      <c r="V93" s="77">
        <v>44</v>
      </c>
      <c r="W93" s="77"/>
      <c r="X93" s="83" t="str">
        <f>HYPERLINK("https://twitter.com/Charpy73/status/1071073087528058880?s=20")</f>
        <v>https://twitter.com/Charpy73/status/1071073087528058880?s=20</v>
      </c>
      <c r="Y93" s="77" t="s">
        <v>733</v>
      </c>
      <c r="Z93" s="77" t="s">
        <v>752</v>
      </c>
      <c r="AA93" s="77"/>
      <c r="AB93" s="77"/>
      <c r="AC93" s="81" t="s">
        <v>853</v>
      </c>
      <c r="AD93" s="77" t="s">
        <v>859</v>
      </c>
      <c r="AE93" s="83" t="str">
        <f>HYPERLINK("https://twitter.com/charpy73/status/1689558661083934720")</f>
        <v>https://twitter.com/charpy73/status/1689558661083934720</v>
      </c>
      <c r="AF93" s="79">
        <v>45148.36515046296</v>
      </c>
      <c r="AG93" s="85">
        <v>45148</v>
      </c>
      <c r="AH93" s="81" t="s">
        <v>878</v>
      </c>
      <c r="AI93" s="77" t="b">
        <v>0</v>
      </c>
      <c r="AJ93" s="77"/>
      <c r="AK93" s="77"/>
      <c r="AL93" s="77"/>
      <c r="AM93" s="77"/>
      <c r="AN93" s="77"/>
      <c r="AO93" s="77"/>
      <c r="AP93" s="77"/>
      <c r="AQ93" s="77"/>
      <c r="AR93" s="77"/>
      <c r="AS93" s="77"/>
      <c r="AT93" s="77"/>
      <c r="AU93" s="77"/>
      <c r="AV93" s="83" t="str">
        <f>HYPERLINK("https://pbs.twimg.com/profile_images/1310352185679654912/xskSwHii_normal.jpg")</f>
        <v>https://pbs.twimg.com/profile_images/1310352185679654912/xskSwHii_normal.jpg</v>
      </c>
      <c r="AW93" s="81" t="s">
        <v>1033</v>
      </c>
      <c r="AX93" s="81" t="s">
        <v>1153</v>
      </c>
      <c r="AY93" s="81" t="s">
        <v>1173</v>
      </c>
      <c r="AZ93" s="81" t="s">
        <v>1034</v>
      </c>
      <c r="BA93" s="81" t="s">
        <v>1040</v>
      </c>
      <c r="BB93" s="81" t="s">
        <v>1190</v>
      </c>
      <c r="BC93" s="81" t="s">
        <v>1034</v>
      </c>
      <c r="BD93" s="81" t="s">
        <v>1173</v>
      </c>
      <c r="BE93" s="77"/>
      <c r="BF93" s="77"/>
      <c r="BG93" s="77"/>
      <c r="BH93" s="77"/>
      <c r="BI93" s="77"/>
      <c r="BJ93">
        <v>4</v>
      </c>
      <c r="BK93" s="76" t="str">
        <f>REPLACE(INDEX(GroupVertices[Group],MATCH(Edges[[#This Row],[Vertex 1]],GroupVertices[Vertex],0)),1,1,"")</f>
        <v>4</v>
      </c>
      <c r="BL93" s="76" t="str">
        <f>REPLACE(INDEX(GroupVertices[Group],MATCH(Edges[[#This Row],[Vertex 2]],GroupVertices[Vertex],0)),1,1,"")</f>
        <v>4</v>
      </c>
      <c r="BM93" s="45"/>
      <c r="BN93" s="46"/>
      <c r="BO93" s="45"/>
      <c r="BP93" s="46"/>
      <c r="BQ93" s="45"/>
      <c r="BR93" s="46"/>
      <c r="BS93" s="45"/>
      <c r="BT93" s="46"/>
      <c r="BU93" s="45"/>
    </row>
    <row r="94" spans="1:73" ht="15">
      <c r="A94" s="61" t="s">
        <v>227</v>
      </c>
      <c r="B94" s="61" t="s">
        <v>296</v>
      </c>
      <c r="C94" s="62" t="s">
        <v>11695</v>
      </c>
      <c r="D94" s="63">
        <v>7.2</v>
      </c>
      <c r="E94" s="64" t="s">
        <v>132</v>
      </c>
      <c r="F94" s="65">
        <v>18.8</v>
      </c>
      <c r="G94" s="62"/>
      <c r="H94" s="66"/>
      <c r="I94" s="67"/>
      <c r="J94" s="67"/>
      <c r="K94" s="31" t="s">
        <v>65</v>
      </c>
      <c r="L94" s="75">
        <v>94</v>
      </c>
      <c r="M94" s="75"/>
      <c r="N94" s="69"/>
      <c r="O94" s="77" t="s">
        <v>541</v>
      </c>
      <c r="P94" s="79">
        <v>45148.35780092593</v>
      </c>
      <c r="Q94" s="77" t="s">
        <v>552</v>
      </c>
      <c r="R94" s="77">
        <v>0</v>
      </c>
      <c r="S94" s="77">
        <v>0</v>
      </c>
      <c r="T94" s="77">
        <v>1</v>
      </c>
      <c r="U94" s="77">
        <v>0</v>
      </c>
      <c r="V94" s="77">
        <v>80</v>
      </c>
      <c r="W94" s="81" t="s">
        <v>670</v>
      </c>
      <c r="X94" s="77" t="s">
        <v>729</v>
      </c>
      <c r="Y94" s="77" t="s">
        <v>735</v>
      </c>
      <c r="Z94" s="77" t="s">
        <v>753</v>
      </c>
      <c r="AA94" s="77"/>
      <c r="AB94" s="77"/>
      <c r="AC94" s="81" t="s">
        <v>853</v>
      </c>
      <c r="AD94" s="77" t="s">
        <v>859</v>
      </c>
      <c r="AE94" s="83" t="str">
        <f>HYPERLINK("https://twitter.com/charpy73/status/1689555994278330368")</f>
        <v>https://twitter.com/charpy73/status/1689555994278330368</v>
      </c>
      <c r="AF94" s="79">
        <v>45148.35780092593</v>
      </c>
      <c r="AG94" s="85">
        <v>45148</v>
      </c>
      <c r="AH94" s="81" t="s">
        <v>879</v>
      </c>
      <c r="AI94" s="77" t="b">
        <v>0</v>
      </c>
      <c r="AJ94" s="77"/>
      <c r="AK94" s="77"/>
      <c r="AL94" s="77"/>
      <c r="AM94" s="77"/>
      <c r="AN94" s="77"/>
      <c r="AO94" s="77"/>
      <c r="AP94" s="77"/>
      <c r="AQ94" s="77"/>
      <c r="AR94" s="77"/>
      <c r="AS94" s="77"/>
      <c r="AT94" s="77"/>
      <c r="AU94" s="77"/>
      <c r="AV94" s="83" t="str">
        <f>HYPERLINK("https://pbs.twimg.com/profile_images/1310352185679654912/xskSwHii_normal.jpg")</f>
        <v>https://pbs.twimg.com/profile_images/1310352185679654912/xskSwHii_normal.jpg</v>
      </c>
      <c r="AW94" s="81" t="s">
        <v>1034</v>
      </c>
      <c r="AX94" s="81" t="s">
        <v>1153</v>
      </c>
      <c r="AY94" s="81" t="s">
        <v>1173</v>
      </c>
      <c r="AZ94" s="81" t="s">
        <v>1036</v>
      </c>
      <c r="BA94" s="81" t="s">
        <v>1041</v>
      </c>
      <c r="BB94" s="81" t="s">
        <v>1190</v>
      </c>
      <c r="BC94" s="81" t="s">
        <v>1036</v>
      </c>
      <c r="BD94" s="81" t="s">
        <v>1173</v>
      </c>
      <c r="BE94" s="77"/>
      <c r="BF94" s="77"/>
      <c r="BG94" s="77"/>
      <c r="BH94" s="77"/>
      <c r="BI94" s="77"/>
      <c r="BJ94">
        <v>4</v>
      </c>
      <c r="BK94" s="76" t="str">
        <f>REPLACE(INDEX(GroupVertices[Group],MATCH(Edges[[#This Row],[Vertex 1]],GroupVertices[Vertex],0)),1,1,"")</f>
        <v>4</v>
      </c>
      <c r="BL94" s="76" t="str">
        <f>REPLACE(INDEX(GroupVertices[Group],MATCH(Edges[[#This Row],[Vertex 2]],GroupVertices[Vertex],0)),1,1,"")</f>
        <v>4</v>
      </c>
      <c r="BM94" s="45"/>
      <c r="BN94" s="46"/>
      <c r="BO94" s="45"/>
      <c r="BP94" s="46"/>
      <c r="BQ94" s="45"/>
      <c r="BR94" s="46"/>
      <c r="BS94" s="45"/>
      <c r="BT94" s="46"/>
      <c r="BU94" s="45"/>
    </row>
    <row r="95" spans="1:73" ht="15">
      <c r="A95" s="61" t="s">
        <v>227</v>
      </c>
      <c r="B95" s="61" t="s">
        <v>297</v>
      </c>
      <c r="C95" s="62" t="s">
        <v>11692</v>
      </c>
      <c r="D95" s="63">
        <v>3</v>
      </c>
      <c r="E95" s="64" t="s">
        <v>132</v>
      </c>
      <c r="F95" s="65">
        <v>32</v>
      </c>
      <c r="G95" s="62"/>
      <c r="H95" s="66"/>
      <c r="I95" s="67"/>
      <c r="J95" s="67"/>
      <c r="K95" s="31" t="s">
        <v>65</v>
      </c>
      <c r="L95" s="75">
        <v>95</v>
      </c>
      <c r="M95" s="75"/>
      <c r="N95" s="69"/>
      <c r="O95" s="77" t="s">
        <v>543</v>
      </c>
      <c r="P95" s="79">
        <v>45148.35189814815</v>
      </c>
      <c r="Q95" s="77" t="s">
        <v>553</v>
      </c>
      <c r="R95" s="77">
        <v>0</v>
      </c>
      <c r="S95" s="77">
        <v>0</v>
      </c>
      <c r="T95" s="77">
        <v>1</v>
      </c>
      <c r="U95" s="77">
        <v>0</v>
      </c>
      <c r="V95" s="77">
        <v>17</v>
      </c>
      <c r="W95" s="77"/>
      <c r="X95" s="83" t="str">
        <f>HYPERLINK("https://www.nodexlgraphgallery.org/Pages/Graph.aspx?graphID=254623")</f>
        <v>https://www.nodexlgraphgallery.org/Pages/Graph.aspx?graphID=254623</v>
      </c>
      <c r="Y95" s="77" t="s">
        <v>732</v>
      </c>
      <c r="Z95" s="77" t="s">
        <v>754</v>
      </c>
      <c r="AA95" s="77"/>
      <c r="AB95" s="77"/>
      <c r="AC95" s="81" t="s">
        <v>853</v>
      </c>
      <c r="AD95" s="77" t="s">
        <v>862</v>
      </c>
      <c r="AE95" s="83" t="str">
        <f>HYPERLINK("https://twitter.com/charpy73/status/1689553858408693762")</f>
        <v>https://twitter.com/charpy73/status/1689553858408693762</v>
      </c>
      <c r="AF95" s="79">
        <v>45148.35189814815</v>
      </c>
      <c r="AG95" s="85">
        <v>45148</v>
      </c>
      <c r="AH95" s="81" t="s">
        <v>880</v>
      </c>
      <c r="AI95" s="77" t="b">
        <v>0</v>
      </c>
      <c r="AJ95" s="77"/>
      <c r="AK95" s="77"/>
      <c r="AL95" s="77"/>
      <c r="AM95" s="77"/>
      <c r="AN95" s="77"/>
      <c r="AO95" s="77"/>
      <c r="AP95" s="77"/>
      <c r="AQ95" s="77"/>
      <c r="AR95" s="77"/>
      <c r="AS95" s="77"/>
      <c r="AT95" s="77"/>
      <c r="AU95" s="77"/>
      <c r="AV95" s="83" t="str">
        <f>HYPERLINK("https://pbs.twimg.com/profile_images/1310352185679654912/xskSwHii_normal.jpg")</f>
        <v>https://pbs.twimg.com/profile_images/1310352185679654912/xskSwHii_normal.jpg</v>
      </c>
      <c r="AW95" s="81" t="s">
        <v>1035</v>
      </c>
      <c r="AX95" s="81" t="s">
        <v>1153</v>
      </c>
      <c r="AY95" s="81" t="s">
        <v>1173</v>
      </c>
      <c r="AZ95" s="81" t="s">
        <v>1038</v>
      </c>
      <c r="BA95" s="81" t="s">
        <v>1190</v>
      </c>
      <c r="BB95" s="81" t="s">
        <v>1190</v>
      </c>
      <c r="BC95" s="81" t="s">
        <v>1038</v>
      </c>
      <c r="BD95" s="81" t="s">
        <v>1173</v>
      </c>
      <c r="BE95" s="77"/>
      <c r="BF95" s="77"/>
      <c r="BG95" s="77"/>
      <c r="BH95" s="77"/>
      <c r="BI95" s="77"/>
      <c r="BJ95">
        <v>1</v>
      </c>
      <c r="BK95" s="76" t="str">
        <f>REPLACE(INDEX(GroupVertices[Group],MATCH(Edges[[#This Row],[Vertex 1]],GroupVertices[Vertex],0)),1,1,"")</f>
        <v>4</v>
      </c>
      <c r="BL95" s="76" t="str">
        <f>REPLACE(INDEX(GroupVertices[Group],MATCH(Edges[[#This Row],[Vertex 2]],GroupVertices[Vertex],0)),1,1,"")</f>
        <v>4</v>
      </c>
      <c r="BM95" s="45"/>
      <c r="BN95" s="46"/>
      <c r="BO95" s="45"/>
      <c r="BP95" s="46"/>
      <c r="BQ95" s="45"/>
      <c r="BR95" s="46"/>
      <c r="BS95" s="45"/>
      <c r="BT95" s="46"/>
      <c r="BU95" s="45"/>
    </row>
    <row r="96" spans="1:73" ht="15">
      <c r="A96" s="61" t="s">
        <v>227</v>
      </c>
      <c r="B96" s="61" t="s">
        <v>297</v>
      </c>
      <c r="C96" s="62" t="s">
        <v>11695</v>
      </c>
      <c r="D96" s="63">
        <v>7.2</v>
      </c>
      <c r="E96" s="64" t="s">
        <v>132</v>
      </c>
      <c r="F96" s="65">
        <v>18.8</v>
      </c>
      <c r="G96" s="62"/>
      <c r="H96" s="66"/>
      <c r="I96" s="67"/>
      <c r="J96" s="67"/>
      <c r="K96" s="31" t="s">
        <v>65</v>
      </c>
      <c r="L96" s="75">
        <v>96</v>
      </c>
      <c r="M96" s="75"/>
      <c r="N96" s="69"/>
      <c r="O96" s="77" t="s">
        <v>541</v>
      </c>
      <c r="P96" s="79">
        <v>45148.353993055556</v>
      </c>
      <c r="Q96" s="77" t="s">
        <v>554</v>
      </c>
      <c r="R96" s="77">
        <v>0</v>
      </c>
      <c r="S96" s="77">
        <v>0</v>
      </c>
      <c r="T96" s="77">
        <v>1</v>
      </c>
      <c r="U96" s="77">
        <v>0</v>
      </c>
      <c r="V96" s="77">
        <v>21</v>
      </c>
      <c r="W96" s="77"/>
      <c r="X96" s="83" t="str">
        <f>HYPERLINK("https://twitter.com/Charpy73/status/1081734473513869312?s=20")</f>
        <v>https://twitter.com/Charpy73/status/1081734473513869312?s=20</v>
      </c>
      <c r="Y96" s="77" t="s">
        <v>733</v>
      </c>
      <c r="Z96" s="77" t="s">
        <v>755</v>
      </c>
      <c r="AA96" s="77"/>
      <c r="AB96" s="77"/>
      <c r="AC96" s="81" t="s">
        <v>853</v>
      </c>
      <c r="AD96" s="77" t="s">
        <v>862</v>
      </c>
      <c r="AE96" s="83" t="str">
        <f>HYPERLINK("https://twitter.com/charpy73/status/1689554615862255616")</f>
        <v>https://twitter.com/charpy73/status/1689554615862255616</v>
      </c>
      <c r="AF96" s="79">
        <v>45148.353993055556</v>
      </c>
      <c r="AG96" s="85">
        <v>45148</v>
      </c>
      <c r="AH96" s="81" t="s">
        <v>881</v>
      </c>
      <c r="AI96" s="77" t="b">
        <v>0</v>
      </c>
      <c r="AJ96" s="77"/>
      <c r="AK96" s="77"/>
      <c r="AL96" s="77"/>
      <c r="AM96" s="77"/>
      <c r="AN96" s="77"/>
      <c r="AO96" s="77"/>
      <c r="AP96" s="77"/>
      <c r="AQ96" s="77"/>
      <c r="AR96" s="77"/>
      <c r="AS96" s="77"/>
      <c r="AT96" s="77"/>
      <c r="AU96" s="77"/>
      <c r="AV96" s="83" t="str">
        <f>HYPERLINK("https://pbs.twimg.com/profile_images/1310352185679654912/xskSwHii_normal.jpg")</f>
        <v>https://pbs.twimg.com/profile_images/1310352185679654912/xskSwHii_normal.jpg</v>
      </c>
      <c r="AW96" s="81" t="s">
        <v>1036</v>
      </c>
      <c r="AX96" s="81" t="s">
        <v>1153</v>
      </c>
      <c r="AY96" s="81" t="s">
        <v>1173</v>
      </c>
      <c r="AZ96" s="81" t="s">
        <v>1037</v>
      </c>
      <c r="BA96" s="81" t="s">
        <v>1039</v>
      </c>
      <c r="BB96" s="81" t="s">
        <v>1190</v>
      </c>
      <c r="BC96" s="81" t="s">
        <v>1037</v>
      </c>
      <c r="BD96" s="81" t="s">
        <v>1173</v>
      </c>
      <c r="BE96" s="77"/>
      <c r="BF96" s="77"/>
      <c r="BG96" s="77"/>
      <c r="BH96" s="77"/>
      <c r="BI96" s="77"/>
      <c r="BJ96">
        <v>4</v>
      </c>
      <c r="BK96" s="76" t="str">
        <f>REPLACE(INDEX(GroupVertices[Group],MATCH(Edges[[#This Row],[Vertex 1]],GroupVertices[Vertex],0)),1,1,"")</f>
        <v>4</v>
      </c>
      <c r="BL96" s="76" t="str">
        <f>REPLACE(INDEX(GroupVertices[Group],MATCH(Edges[[#This Row],[Vertex 2]],GroupVertices[Vertex],0)),1,1,"")</f>
        <v>4</v>
      </c>
      <c r="BM96" s="45"/>
      <c r="BN96" s="46"/>
      <c r="BO96" s="45"/>
      <c r="BP96" s="46"/>
      <c r="BQ96" s="45"/>
      <c r="BR96" s="46"/>
      <c r="BS96" s="45"/>
      <c r="BT96" s="46"/>
      <c r="BU96" s="45"/>
    </row>
    <row r="97" spans="1:73" ht="15">
      <c r="A97" s="61" t="s">
        <v>227</v>
      </c>
      <c r="B97" s="61" t="s">
        <v>297</v>
      </c>
      <c r="C97" s="62" t="s">
        <v>11695</v>
      </c>
      <c r="D97" s="63">
        <v>7.2</v>
      </c>
      <c r="E97" s="64" t="s">
        <v>132</v>
      </c>
      <c r="F97" s="65">
        <v>18.8</v>
      </c>
      <c r="G97" s="62"/>
      <c r="H97" s="66"/>
      <c r="I97" s="67"/>
      <c r="J97" s="67"/>
      <c r="K97" s="31" t="s">
        <v>65</v>
      </c>
      <c r="L97" s="75">
        <v>97</v>
      </c>
      <c r="M97" s="75"/>
      <c r="N97" s="69"/>
      <c r="O97" s="77" t="s">
        <v>541</v>
      </c>
      <c r="P97" s="79">
        <v>45148.353738425925</v>
      </c>
      <c r="Q97" s="77" t="s">
        <v>555</v>
      </c>
      <c r="R97" s="77">
        <v>0</v>
      </c>
      <c r="S97" s="77">
        <v>0</v>
      </c>
      <c r="T97" s="77">
        <v>1</v>
      </c>
      <c r="U97" s="77">
        <v>0</v>
      </c>
      <c r="V97" s="77">
        <v>17</v>
      </c>
      <c r="W97" s="77"/>
      <c r="X97" s="83" t="str">
        <f>HYPERLINK("https://twitter.com/Charpy73/status/1677875566521864193?s=20")</f>
        <v>https://twitter.com/Charpy73/status/1677875566521864193?s=20</v>
      </c>
      <c r="Y97" s="77" t="s">
        <v>733</v>
      </c>
      <c r="Z97" s="77" t="s">
        <v>755</v>
      </c>
      <c r="AA97" s="77"/>
      <c r="AB97" s="77"/>
      <c r="AC97" s="81" t="s">
        <v>853</v>
      </c>
      <c r="AD97" s="77" t="s">
        <v>862</v>
      </c>
      <c r="AE97" s="83" t="str">
        <f>HYPERLINK("https://twitter.com/charpy73/status/1689554525403643904")</f>
        <v>https://twitter.com/charpy73/status/1689554525403643904</v>
      </c>
      <c r="AF97" s="79">
        <v>45148.353738425925</v>
      </c>
      <c r="AG97" s="85">
        <v>45148</v>
      </c>
      <c r="AH97" s="81" t="s">
        <v>882</v>
      </c>
      <c r="AI97" s="77" t="b">
        <v>0</v>
      </c>
      <c r="AJ97" s="77"/>
      <c r="AK97" s="77"/>
      <c r="AL97" s="77"/>
      <c r="AM97" s="77"/>
      <c r="AN97" s="77"/>
      <c r="AO97" s="77"/>
      <c r="AP97" s="77"/>
      <c r="AQ97" s="77"/>
      <c r="AR97" s="77"/>
      <c r="AS97" s="77"/>
      <c r="AT97" s="77"/>
      <c r="AU97" s="77"/>
      <c r="AV97" s="83" t="str">
        <f>HYPERLINK("https://pbs.twimg.com/profile_images/1310352185679654912/xskSwHii_normal.jpg")</f>
        <v>https://pbs.twimg.com/profile_images/1310352185679654912/xskSwHii_normal.jpg</v>
      </c>
      <c r="AW97" s="81" t="s">
        <v>1037</v>
      </c>
      <c r="AX97" s="81" t="s">
        <v>1153</v>
      </c>
      <c r="AY97" s="81" t="s">
        <v>1173</v>
      </c>
      <c r="AZ97" s="81" t="s">
        <v>1035</v>
      </c>
      <c r="BA97" s="81" t="s">
        <v>1032</v>
      </c>
      <c r="BB97" s="81" t="s">
        <v>1190</v>
      </c>
      <c r="BC97" s="81" t="s">
        <v>1035</v>
      </c>
      <c r="BD97" s="81" t="s">
        <v>1173</v>
      </c>
      <c r="BE97" s="77"/>
      <c r="BF97" s="77"/>
      <c r="BG97" s="77"/>
      <c r="BH97" s="77"/>
      <c r="BI97" s="77"/>
      <c r="BJ97">
        <v>4</v>
      </c>
      <c r="BK97" s="76" t="str">
        <f>REPLACE(INDEX(GroupVertices[Group],MATCH(Edges[[#This Row],[Vertex 1]],GroupVertices[Vertex],0)),1,1,"")</f>
        <v>4</v>
      </c>
      <c r="BL97" s="76" t="str">
        <f>REPLACE(INDEX(GroupVertices[Group],MATCH(Edges[[#This Row],[Vertex 2]],GroupVertices[Vertex],0)),1,1,"")</f>
        <v>4</v>
      </c>
      <c r="BM97" s="45"/>
      <c r="BN97" s="46"/>
      <c r="BO97" s="45"/>
      <c r="BP97" s="46"/>
      <c r="BQ97" s="45"/>
      <c r="BR97" s="46"/>
      <c r="BS97" s="45"/>
      <c r="BT97" s="46"/>
      <c r="BU97" s="45"/>
    </row>
    <row r="98" spans="1:73" ht="15">
      <c r="A98" s="61" t="s">
        <v>227</v>
      </c>
      <c r="B98" s="61" t="s">
        <v>297</v>
      </c>
      <c r="C98" s="62" t="s">
        <v>11695</v>
      </c>
      <c r="D98" s="63">
        <v>7.2</v>
      </c>
      <c r="E98" s="64" t="s">
        <v>132</v>
      </c>
      <c r="F98" s="65">
        <v>18.8</v>
      </c>
      <c r="G98" s="62"/>
      <c r="H98" s="66"/>
      <c r="I98" s="67"/>
      <c r="J98" s="67"/>
      <c r="K98" s="31" t="s">
        <v>65</v>
      </c>
      <c r="L98" s="75">
        <v>98</v>
      </c>
      <c r="M98" s="75"/>
      <c r="N98" s="69"/>
      <c r="O98" s="77" t="s">
        <v>541</v>
      </c>
      <c r="P98" s="79">
        <v>45148.36515046296</v>
      </c>
      <c r="Q98" s="77" t="s">
        <v>551</v>
      </c>
      <c r="R98" s="77">
        <v>0</v>
      </c>
      <c r="S98" s="77">
        <v>0</v>
      </c>
      <c r="T98" s="77">
        <v>0</v>
      </c>
      <c r="U98" s="77">
        <v>0</v>
      </c>
      <c r="V98" s="77">
        <v>44</v>
      </c>
      <c r="W98" s="77"/>
      <c r="X98" s="83" t="str">
        <f>HYPERLINK("https://twitter.com/Charpy73/status/1071073087528058880?s=20")</f>
        <v>https://twitter.com/Charpy73/status/1071073087528058880?s=20</v>
      </c>
      <c r="Y98" s="77" t="s">
        <v>733</v>
      </c>
      <c r="Z98" s="77" t="s">
        <v>752</v>
      </c>
      <c r="AA98" s="77"/>
      <c r="AB98" s="77"/>
      <c r="AC98" s="81" t="s">
        <v>853</v>
      </c>
      <c r="AD98" s="77" t="s">
        <v>859</v>
      </c>
      <c r="AE98" s="83" t="str">
        <f>HYPERLINK("https://twitter.com/charpy73/status/1689558661083934720")</f>
        <v>https://twitter.com/charpy73/status/1689558661083934720</v>
      </c>
      <c r="AF98" s="79">
        <v>45148.36515046296</v>
      </c>
      <c r="AG98" s="85">
        <v>45148</v>
      </c>
      <c r="AH98" s="81" t="s">
        <v>878</v>
      </c>
      <c r="AI98" s="77" t="b">
        <v>0</v>
      </c>
      <c r="AJ98" s="77"/>
      <c r="AK98" s="77"/>
      <c r="AL98" s="77"/>
      <c r="AM98" s="77"/>
      <c r="AN98" s="77"/>
      <c r="AO98" s="77"/>
      <c r="AP98" s="77"/>
      <c r="AQ98" s="77"/>
      <c r="AR98" s="77"/>
      <c r="AS98" s="77"/>
      <c r="AT98" s="77"/>
      <c r="AU98" s="77"/>
      <c r="AV98" s="83" t="str">
        <f>HYPERLINK("https://pbs.twimg.com/profile_images/1310352185679654912/xskSwHii_normal.jpg")</f>
        <v>https://pbs.twimg.com/profile_images/1310352185679654912/xskSwHii_normal.jpg</v>
      </c>
      <c r="AW98" s="81" t="s">
        <v>1033</v>
      </c>
      <c r="AX98" s="81" t="s">
        <v>1153</v>
      </c>
      <c r="AY98" s="81" t="s">
        <v>1173</v>
      </c>
      <c r="AZ98" s="81" t="s">
        <v>1034</v>
      </c>
      <c r="BA98" s="81" t="s">
        <v>1040</v>
      </c>
      <c r="BB98" s="81" t="s">
        <v>1190</v>
      </c>
      <c r="BC98" s="81" t="s">
        <v>1034</v>
      </c>
      <c r="BD98" s="81" t="s">
        <v>1173</v>
      </c>
      <c r="BE98" s="77"/>
      <c r="BF98" s="77"/>
      <c r="BG98" s="77"/>
      <c r="BH98" s="77"/>
      <c r="BI98" s="77"/>
      <c r="BJ98">
        <v>4</v>
      </c>
      <c r="BK98" s="76" t="str">
        <f>REPLACE(INDEX(GroupVertices[Group],MATCH(Edges[[#This Row],[Vertex 1]],GroupVertices[Vertex],0)),1,1,"")</f>
        <v>4</v>
      </c>
      <c r="BL98" s="76" t="str">
        <f>REPLACE(INDEX(GroupVertices[Group],MATCH(Edges[[#This Row],[Vertex 2]],GroupVertices[Vertex],0)),1,1,"")</f>
        <v>4</v>
      </c>
      <c r="BM98" s="45"/>
      <c r="BN98" s="46"/>
      <c r="BO98" s="45"/>
      <c r="BP98" s="46"/>
      <c r="BQ98" s="45"/>
      <c r="BR98" s="46"/>
      <c r="BS98" s="45"/>
      <c r="BT98" s="46"/>
      <c r="BU98" s="45"/>
    </row>
    <row r="99" spans="1:73" ht="15">
      <c r="A99" s="61" t="s">
        <v>227</v>
      </c>
      <c r="B99" s="61" t="s">
        <v>297</v>
      </c>
      <c r="C99" s="62" t="s">
        <v>11695</v>
      </c>
      <c r="D99" s="63">
        <v>7.2</v>
      </c>
      <c r="E99" s="64" t="s">
        <v>132</v>
      </c>
      <c r="F99" s="65">
        <v>18.8</v>
      </c>
      <c r="G99" s="62"/>
      <c r="H99" s="66"/>
      <c r="I99" s="67"/>
      <c r="J99" s="67"/>
      <c r="K99" s="31" t="s">
        <v>65</v>
      </c>
      <c r="L99" s="75">
        <v>99</v>
      </c>
      <c r="M99" s="75"/>
      <c r="N99" s="69"/>
      <c r="O99" s="77" t="s">
        <v>541</v>
      </c>
      <c r="P99" s="79">
        <v>45148.35780092593</v>
      </c>
      <c r="Q99" s="77" t="s">
        <v>552</v>
      </c>
      <c r="R99" s="77">
        <v>0</v>
      </c>
      <c r="S99" s="77">
        <v>0</v>
      </c>
      <c r="T99" s="77">
        <v>1</v>
      </c>
      <c r="U99" s="77">
        <v>0</v>
      </c>
      <c r="V99" s="77">
        <v>80</v>
      </c>
      <c r="W99" s="81" t="s">
        <v>670</v>
      </c>
      <c r="X99" s="77" t="s">
        <v>729</v>
      </c>
      <c r="Y99" s="77" t="s">
        <v>735</v>
      </c>
      <c r="Z99" s="77" t="s">
        <v>753</v>
      </c>
      <c r="AA99" s="77"/>
      <c r="AB99" s="77"/>
      <c r="AC99" s="81" t="s">
        <v>853</v>
      </c>
      <c r="AD99" s="77" t="s">
        <v>859</v>
      </c>
      <c r="AE99" s="83" t="str">
        <f>HYPERLINK("https://twitter.com/charpy73/status/1689555994278330368")</f>
        <v>https://twitter.com/charpy73/status/1689555994278330368</v>
      </c>
      <c r="AF99" s="79">
        <v>45148.35780092593</v>
      </c>
      <c r="AG99" s="85">
        <v>45148</v>
      </c>
      <c r="AH99" s="81" t="s">
        <v>879</v>
      </c>
      <c r="AI99" s="77" t="b">
        <v>0</v>
      </c>
      <c r="AJ99" s="77"/>
      <c r="AK99" s="77"/>
      <c r="AL99" s="77"/>
      <c r="AM99" s="77"/>
      <c r="AN99" s="77"/>
      <c r="AO99" s="77"/>
      <c r="AP99" s="77"/>
      <c r="AQ99" s="77"/>
      <c r="AR99" s="77"/>
      <c r="AS99" s="77"/>
      <c r="AT99" s="77"/>
      <c r="AU99" s="77"/>
      <c r="AV99" s="83" t="str">
        <f>HYPERLINK("https://pbs.twimg.com/profile_images/1310352185679654912/xskSwHii_normal.jpg")</f>
        <v>https://pbs.twimg.com/profile_images/1310352185679654912/xskSwHii_normal.jpg</v>
      </c>
      <c r="AW99" s="81" t="s">
        <v>1034</v>
      </c>
      <c r="AX99" s="81" t="s">
        <v>1153</v>
      </c>
      <c r="AY99" s="81" t="s">
        <v>1173</v>
      </c>
      <c r="AZ99" s="81" t="s">
        <v>1036</v>
      </c>
      <c r="BA99" s="81" t="s">
        <v>1041</v>
      </c>
      <c r="BB99" s="81" t="s">
        <v>1190</v>
      </c>
      <c r="BC99" s="81" t="s">
        <v>1036</v>
      </c>
      <c r="BD99" s="81" t="s">
        <v>1173</v>
      </c>
      <c r="BE99" s="77"/>
      <c r="BF99" s="77"/>
      <c r="BG99" s="77"/>
      <c r="BH99" s="77"/>
      <c r="BI99" s="77"/>
      <c r="BJ99">
        <v>4</v>
      </c>
      <c r="BK99" s="76" t="str">
        <f>REPLACE(INDEX(GroupVertices[Group],MATCH(Edges[[#This Row],[Vertex 1]],GroupVertices[Vertex],0)),1,1,"")</f>
        <v>4</v>
      </c>
      <c r="BL99" s="76" t="str">
        <f>REPLACE(INDEX(GroupVertices[Group],MATCH(Edges[[#This Row],[Vertex 2]],GroupVertices[Vertex],0)),1,1,"")</f>
        <v>4</v>
      </c>
      <c r="BM99" s="45"/>
      <c r="BN99" s="46"/>
      <c r="BO99" s="45"/>
      <c r="BP99" s="46"/>
      <c r="BQ99" s="45"/>
      <c r="BR99" s="46"/>
      <c r="BS99" s="45"/>
      <c r="BT99" s="46"/>
      <c r="BU99" s="45"/>
    </row>
    <row r="100" spans="1:73" ht="15">
      <c r="A100" s="61" t="s">
        <v>227</v>
      </c>
      <c r="B100" s="61" t="s">
        <v>298</v>
      </c>
      <c r="C100" s="62" t="s">
        <v>11692</v>
      </c>
      <c r="D100" s="63">
        <v>3</v>
      </c>
      <c r="E100" s="64" t="s">
        <v>132</v>
      </c>
      <c r="F100" s="65">
        <v>32</v>
      </c>
      <c r="G100" s="62"/>
      <c r="H100" s="66"/>
      <c r="I100" s="67"/>
      <c r="J100" s="67"/>
      <c r="K100" s="31" t="s">
        <v>65</v>
      </c>
      <c r="L100" s="75">
        <v>100</v>
      </c>
      <c r="M100" s="75"/>
      <c r="N100" s="69"/>
      <c r="O100" s="77" t="s">
        <v>543</v>
      </c>
      <c r="P100" s="79">
        <v>45148.35189814815</v>
      </c>
      <c r="Q100" s="77" t="s">
        <v>553</v>
      </c>
      <c r="R100" s="77">
        <v>0</v>
      </c>
      <c r="S100" s="77">
        <v>0</v>
      </c>
      <c r="T100" s="77">
        <v>1</v>
      </c>
      <c r="U100" s="77">
        <v>0</v>
      </c>
      <c r="V100" s="77">
        <v>17</v>
      </c>
      <c r="W100" s="77"/>
      <c r="X100" s="83" t="str">
        <f>HYPERLINK("https://www.nodexlgraphgallery.org/Pages/Graph.aspx?graphID=254623")</f>
        <v>https://www.nodexlgraphgallery.org/Pages/Graph.aspx?graphID=254623</v>
      </c>
      <c r="Y100" s="77" t="s">
        <v>732</v>
      </c>
      <c r="Z100" s="77" t="s">
        <v>754</v>
      </c>
      <c r="AA100" s="77"/>
      <c r="AB100" s="77"/>
      <c r="AC100" s="81" t="s">
        <v>853</v>
      </c>
      <c r="AD100" s="77" t="s">
        <v>862</v>
      </c>
      <c r="AE100" s="83" t="str">
        <f>HYPERLINK("https://twitter.com/charpy73/status/1689553858408693762")</f>
        <v>https://twitter.com/charpy73/status/1689553858408693762</v>
      </c>
      <c r="AF100" s="79">
        <v>45148.35189814815</v>
      </c>
      <c r="AG100" s="85">
        <v>45148</v>
      </c>
      <c r="AH100" s="81" t="s">
        <v>880</v>
      </c>
      <c r="AI100" s="77" t="b">
        <v>0</v>
      </c>
      <c r="AJ100" s="77"/>
      <c r="AK100" s="77"/>
      <c r="AL100" s="77"/>
      <c r="AM100" s="77"/>
      <c r="AN100" s="77"/>
      <c r="AO100" s="77"/>
      <c r="AP100" s="77"/>
      <c r="AQ100" s="77"/>
      <c r="AR100" s="77"/>
      <c r="AS100" s="77"/>
      <c r="AT100" s="77"/>
      <c r="AU100" s="77"/>
      <c r="AV100" s="83" t="str">
        <f>HYPERLINK("https://pbs.twimg.com/profile_images/1310352185679654912/xskSwHii_normal.jpg")</f>
        <v>https://pbs.twimg.com/profile_images/1310352185679654912/xskSwHii_normal.jpg</v>
      </c>
      <c r="AW100" s="81" t="s">
        <v>1035</v>
      </c>
      <c r="AX100" s="81" t="s">
        <v>1153</v>
      </c>
      <c r="AY100" s="81" t="s">
        <v>1173</v>
      </c>
      <c r="AZ100" s="81" t="s">
        <v>1038</v>
      </c>
      <c r="BA100" s="81" t="s">
        <v>1190</v>
      </c>
      <c r="BB100" s="81" t="s">
        <v>1190</v>
      </c>
      <c r="BC100" s="81" t="s">
        <v>1038</v>
      </c>
      <c r="BD100" s="81" t="s">
        <v>1173</v>
      </c>
      <c r="BE100" s="77"/>
      <c r="BF100" s="77"/>
      <c r="BG100" s="77"/>
      <c r="BH100" s="77"/>
      <c r="BI100" s="77"/>
      <c r="BJ100">
        <v>1</v>
      </c>
      <c r="BK100" s="76" t="str">
        <f>REPLACE(INDEX(GroupVertices[Group],MATCH(Edges[[#This Row],[Vertex 1]],GroupVertices[Vertex],0)),1,1,"")</f>
        <v>4</v>
      </c>
      <c r="BL100" s="76" t="str">
        <f>REPLACE(INDEX(GroupVertices[Group],MATCH(Edges[[#This Row],[Vertex 2]],GroupVertices[Vertex],0)),1,1,"")</f>
        <v>4</v>
      </c>
      <c r="BM100" s="45"/>
      <c r="BN100" s="46"/>
      <c r="BO100" s="45"/>
      <c r="BP100" s="46"/>
      <c r="BQ100" s="45"/>
      <c r="BR100" s="46"/>
      <c r="BS100" s="45"/>
      <c r="BT100" s="46"/>
      <c r="BU100" s="45"/>
    </row>
    <row r="101" spans="1:73" ht="15">
      <c r="A101" s="61" t="s">
        <v>227</v>
      </c>
      <c r="B101" s="61" t="s">
        <v>298</v>
      </c>
      <c r="C101" s="62" t="s">
        <v>11696</v>
      </c>
      <c r="D101" s="63">
        <v>8.6</v>
      </c>
      <c r="E101" s="64" t="s">
        <v>136</v>
      </c>
      <c r="F101" s="65">
        <v>14.399999999999999</v>
      </c>
      <c r="G101" s="62"/>
      <c r="H101" s="66"/>
      <c r="I101" s="67"/>
      <c r="J101" s="67"/>
      <c r="K101" s="31" t="s">
        <v>65</v>
      </c>
      <c r="L101" s="75">
        <v>101</v>
      </c>
      <c r="M101" s="75"/>
      <c r="N101" s="69"/>
      <c r="O101" s="77" t="s">
        <v>541</v>
      </c>
      <c r="P101" s="79">
        <v>45148.353993055556</v>
      </c>
      <c r="Q101" s="77" t="s">
        <v>554</v>
      </c>
      <c r="R101" s="77">
        <v>0</v>
      </c>
      <c r="S101" s="77">
        <v>0</v>
      </c>
      <c r="T101" s="77">
        <v>1</v>
      </c>
      <c r="U101" s="77">
        <v>0</v>
      </c>
      <c r="V101" s="77">
        <v>21</v>
      </c>
      <c r="W101" s="77"/>
      <c r="X101" s="83" t="str">
        <f>HYPERLINK("https://twitter.com/Charpy73/status/1081734473513869312?s=20")</f>
        <v>https://twitter.com/Charpy73/status/1081734473513869312?s=20</v>
      </c>
      <c r="Y101" s="77" t="s">
        <v>733</v>
      </c>
      <c r="Z101" s="77" t="s">
        <v>755</v>
      </c>
      <c r="AA101" s="77"/>
      <c r="AB101" s="77"/>
      <c r="AC101" s="81" t="s">
        <v>853</v>
      </c>
      <c r="AD101" s="77" t="s">
        <v>862</v>
      </c>
      <c r="AE101" s="83" t="str">
        <f>HYPERLINK("https://twitter.com/charpy73/status/1689554615862255616")</f>
        <v>https://twitter.com/charpy73/status/1689554615862255616</v>
      </c>
      <c r="AF101" s="79">
        <v>45148.353993055556</v>
      </c>
      <c r="AG101" s="85">
        <v>45148</v>
      </c>
      <c r="AH101" s="81" t="s">
        <v>881</v>
      </c>
      <c r="AI101" s="77" t="b">
        <v>0</v>
      </c>
      <c r="AJ101" s="77"/>
      <c r="AK101" s="77"/>
      <c r="AL101" s="77"/>
      <c r="AM101" s="77"/>
      <c r="AN101" s="77"/>
      <c r="AO101" s="77"/>
      <c r="AP101" s="77"/>
      <c r="AQ101" s="77"/>
      <c r="AR101" s="77"/>
      <c r="AS101" s="77"/>
      <c r="AT101" s="77"/>
      <c r="AU101" s="77"/>
      <c r="AV101" s="83" t="str">
        <f>HYPERLINK("https://pbs.twimg.com/profile_images/1310352185679654912/xskSwHii_normal.jpg")</f>
        <v>https://pbs.twimg.com/profile_images/1310352185679654912/xskSwHii_normal.jpg</v>
      </c>
      <c r="AW101" s="81" t="s">
        <v>1036</v>
      </c>
      <c r="AX101" s="81" t="s">
        <v>1153</v>
      </c>
      <c r="AY101" s="81" t="s">
        <v>1173</v>
      </c>
      <c r="AZ101" s="81" t="s">
        <v>1037</v>
      </c>
      <c r="BA101" s="81" t="s">
        <v>1039</v>
      </c>
      <c r="BB101" s="81" t="s">
        <v>1190</v>
      </c>
      <c r="BC101" s="81" t="s">
        <v>1037</v>
      </c>
      <c r="BD101" s="81" t="s">
        <v>1173</v>
      </c>
      <c r="BE101" s="77"/>
      <c r="BF101" s="77"/>
      <c r="BG101" s="77"/>
      <c r="BH101" s="77"/>
      <c r="BI101" s="77"/>
      <c r="BJ101">
        <v>5</v>
      </c>
      <c r="BK101" s="76" t="str">
        <f>REPLACE(INDEX(GroupVertices[Group],MATCH(Edges[[#This Row],[Vertex 1]],GroupVertices[Vertex],0)),1,1,"")</f>
        <v>4</v>
      </c>
      <c r="BL101" s="76" t="str">
        <f>REPLACE(INDEX(GroupVertices[Group],MATCH(Edges[[#This Row],[Vertex 2]],GroupVertices[Vertex],0)),1,1,"")</f>
        <v>4</v>
      </c>
      <c r="BM101" s="45"/>
      <c r="BN101" s="46"/>
      <c r="BO101" s="45"/>
      <c r="BP101" s="46"/>
      <c r="BQ101" s="45"/>
      <c r="BR101" s="46"/>
      <c r="BS101" s="45"/>
      <c r="BT101" s="46"/>
      <c r="BU101" s="45"/>
    </row>
    <row r="102" spans="1:73" ht="15">
      <c r="A102" s="61" t="s">
        <v>227</v>
      </c>
      <c r="B102" s="61" t="s">
        <v>298</v>
      </c>
      <c r="C102" s="62" t="s">
        <v>11696</v>
      </c>
      <c r="D102" s="63">
        <v>8.6</v>
      </c>
      <c r="E102" s="64" t="s">
        <v>136</v>
      </c>
      <c r="F102" s="65">
        <v>14.399999999999999</v>
      </c>
      <c r="G102" s="62"/>
      <c r="H102" s="66"/>
      <c r="I102" s="67"/>
      <c r="J102" s="67"/>
      <c r="K102" s="31" t="s">
        <v>65</v>
      </c>
      <c r="L102" s="75">
        <v>102</v>
      </c>
      <c r="M102" s="75"/>
      <c r="N102" s="69"/>
      <c r="O102" s="77" t="s">
        <v>541</v>
      </c>
      <c r="P102" s="79">
        <v>45116.12596064815</v>
      </c>
      <c r="Q102" s="77" t="s">
        <v>550</v>
      </c>
      <c r="R102" s="77">
        <v>2</v>
      </c>
      <c r="S102" s="77">
        <v>0</v>
      </c>
      <c r="T102" s="77">
        <v>3</v>
      </c>
      <c r="U102" s="77">
        <v>1</v>
      </c>
      <c r="V102" s="77">
        <v>1223</v>
      </c>
      <c r="W102" s="81" t="s">
        <v>669</v>
      </c>
      <c r="X102" s="77" t="s">
        <v>728</v>
      </c>
      <c r="Y102" s="77" t="s">
        <v>734</v>
      </c>
      <c r="Z102" s="77" t="s">
        <v>751</v>
      </c>
      <c r="AA102" s="77" t="s">
        <v>823</v>
      </c>
      <c r="AB102" s="77" t="s">
        <v>848</v>
      </c>
      <c r="AC102" s="81" t="s">
        <v>853</v>
      </c>
      <c r="AD102" s="77" t="s">
        <v>859</v>
      </c>
      <c r="AE102" s="83" t="str">
        <f>HYPERLINK("https://twitter.com/charpy73/status/1677875566521864193")</f>
        <v>https://twitter.com/charpy73/status/1677875566521864193</v>
      </c>
      <c r="AF102" s="79">
        <v>45116.12596064815</v>
      </c>
      <c r="AG102" s="85">
        <v>45116</v>
      </c>
      <c r="AH102" s="81" t="s">
        <v>877</v>
      </c>
      <c r="AI102" s="77" t="b">
        <v>0</v>
      </c>
      <c r="AJ102" s="77"/>
      <c r="AK102" s="77"/>
      <c r="AL102" s="77"/>
      <c r="AM102" s="77"/>
      <c r="AN102" s="77"/>
      <c r="AO102" s="77"/>
      <c r="AP102" s="77"/>
      <c r="AQ102" s="77" t="s">
        <v>1002</v>
      </c>
      <c r="AR102" s="77"/>
      <c r="AS102" s="77"/>
      <c r="AT102" s="77"/>
      <c r="AU102" s="77"/>
      <c r="AV102" s="83" t="str">
        <f>HYPERLINK("https://pbs.twimg.com/media/F0kBquSXgAATesr.png")</f>
        <v>https://pbs.twimg.com/media/F0kBquSXgAATesr.png</v>
      </c>
      <c r="AW102" s="81" t="s">
        <v>1032</v>
      </c>
      <c r="AX102" s="81" t="s">
        <v>1152</v>
      </c>
      <c r="AY102" s="81" t="s">
        <v>1172</v>
      </c>
      <c r="AZ102" s="81" t="s">
        <v>1152</v>
      </c>
      <c r="BA102" s="81" t="s">
        <v>1200</v>
      </c>
      <c r="BB102" s="81" t="s">
        <v>1190</v>
      </c>
      <c r="BC102" s="81" t="s">
        <v>1152</v>
      </c>
      <c r="BD102" s="81" t="s">
        <v>1173</v>
      </c>
      <c r="BE102" s="77"/>
      <c r="BF102" s="77"/>
      <c r="BG102" s="77"/>
      <c r="BH102" s="77"/>
      <c r="BI102" s="77"/>
      <c r="BJ102">
        <v>5</v>
      </c>
      <c r="BK102" s="76" t="str">
        <f>REPLACE(INDEX(GroupVertices[Group],MATCH(Edges[[#This Row],[Vertex 1]],GroupVertices[Vertex],0)),1,1,"")</f>
        <v>4</v>
      </c>
      <c r="BL102" s="76" t="str">
        <f>REPLACE(INDEX(GroupVertices[Group],MATCH(Edges[[#This Row],[Vertex 2]],GroupVertices[Vertex],0)),1,1,"")</f>
        <v>4</v>
      </c>
      <c r="BM102" s="45"/>
      <c r="BN102" s="46"/>
      <c r="BO102" s="45"/>
      <c r="BP102" s="46"/>
      <c r="BQ102" s="45"/>
      <c r="BR102" s="46"/>
      <c r="BS102" s="45"/>
      <c r="BT102" s="46"/>
      <c r="BU102" s="45"/>
    </row>
    <row r="103" spans="1:73" ht="15">
      <c r="A103" s="61" t="s">
        <v>227</v>
      </c>
      <c r="B103" s="61" t="s">
        <v>298</v>
      </c>
      <c r="C103" s="62" t="s">
        <v>11696</v>
      </c>
      <c r="D103" s="63">
        <v>8.6</v>
      </c>
      <c r="E103" s="64" t="s">
        <v>136</v>
      </c>
      <c r="F103" s="65">
        <v>14.399999999999999</v>
      </c>
      <c r="G103" s="62"/>
      <c r="H103" s="66"/>
      <c r="I103" s="67"/>
      <c r="J103" s="67"/>
      <c r="K103" s="31" t="s">
        <v>65</v>
      </c>
      <c r="L103" s="75">
        <v>103</v>
      </c>
      <c r="M103" s="75"/>
      <c r="N103" s="69"/>
      <c r="O103" s="77" t="s">
        <v>541</v>
      </c>
      <c r="P103" s="79">
        <v>45148.353738425925</v>
      </c>
      <c r="Q103" s="77" t="s">
        <v>555</v>
      </c>
      <c r="R103" s="77">
        <v>0</v>
      </c>
      <c r="S103" s="77">
        <v>0</v>
      </c>
      <c r="T103" s="77">
        <v>1</v>
      </c>
      <c r="U103" s="77">
        <v>0</v>
      </c>
      <c r="V103" s="77">
        <v>17</v>
      </c>
      <c r="W103" s="77"/>
      <c r="X103" s="83" t="str">
        <f>HYPERLINK("https://twitter.com/Charpy73/status/1677875566521864193?s=20")</f>
        <v>https://twitter.com/Charpy73/status/1677875566521864193?s=20</v>
      </c>
      <c r="Y103" s="77" t="s">
        <v>733</v>
      </c>
      <c r="Z103" s="77" t="s">
        <v>755</v>
      </c>
      <c r="AA103" s="77"/>
      <c r="AB103" s="77"/>
      <c r="AC103" s="81" t="s">
        <v>853</v>
      </c>
      <c r="AD103" s="77" t="s">
        <v>862</v>
      </c>
      <c r="AE103" s="83" t="str">
        <f>HYPERLINK("https://twitter.com/charpy73/status/1689554525403643904")</f>
        <v>https://twitter.com/charpy73/status/1689554525403643904</v>
      </c>
      <c r="AF103" s="79">
        <v>45148.353738425925</v>
      </c>
      <c r="AG103" s="85">
        <v>45148</v>
      </c>
      <c r="AH103" s="81" t="s">
        <v>882</v>
      </c>
      <c r="AI103" s="77" t="b">
        <v>0</v>
      </c>
      <c r="AJ103" s="77"/>
      <c r="AK103" s="77"/>
      <c r="AL103" s="77"/>
      <c r="AM103" s="77"/>
      <c r="AN103" s="77"/>
      <c r="AO103" s="77"/>
      <c r="AP103" s="77"/>
      <c r="AQ103" s="77"/>
      <c r="AR103" s="77"/>
      <c r="AS103" s="77"/>
      <c r="AT103" s="77"/>
      <c r="AU103" s="77"/>
      <c r="AV103" s="83" t="str">
        <f>HYPERLINK("https://pbs.twimg.com/profile_images/1310352185679654912/xskSwHii_normal.jpg")</f>
        <v>https://pbs.twimg.com/profile_images/1310352185679654912/xskSwHii_normal.jpg</v>
      </c>
      <c r="AW103" s="81" t="s">
        <v>1037</v>
      </c>
      <c r="AX103" s="81" t="s">
        <v>1153</v>
      </c>
      <c r="AY103" s="81" t="s">
        <v>1173</v>
      </c>
      <c r="AZ103" s="81" t="s">
        <v>1035</v>
      </c>
      <c r="BA103" s="81" t="s">
        <v>1032</v>
      </c>
      <c r="BB103" s="81" t="s">
        <v>1190</v>
      </c>
      <c r="BC103" s="81" t="s">
        <v>1035</v>
      </c>
      <c r="BD103" s="81" t="s">
        <v>1173</v>
      </c>
      <c r="BE103" s="77"/>
      <c r="BF103" s="77"/>
      <c r="BG103" s="77"/>
      <c r="BH103" s="77"/>
      <c r="BI103" s="77"/>
      <c r="BJ103">
        <v>5</v>
      </c>
      <c r="BK103" s="76" t="str">
        <f>REPLACE(INDEX(GroupVertices[Group],MATCH(Edges[[#This Row],[Vertex 1]],GroupVertices[Vertex],0)),1,1,"")</f>
        <v>4</v>
      </c>
      <c r="BL103" s="76" t="str">
        <f>REPLACE(INDEX(GroupVertices[Group],MATCH(Edges[[#This Row],[Vertex 2]],GroupVertices[Vertex],0)),1,1,"")</f>
        <v>4</v>
      </c>
      <c r="BM103" s="45"/>
      <c r="BN103" s="46"/>
      <c r="BO103" s="45"/>
      <c r="BP103" s="46"/>
      <c r="BQ103" s="45"/>
      <c r="BR103" s="46"/>
      <c r="BS103" s="45"/>
      <c r="BT103" s="46"/>
      <c r="BU103" s="45"/>
    </row>
    <row r="104" spans="1:73" ht="15">
      <c r="A104" s="61" t="s">
        <v>227</v>
      </c>
      <c r="B104" s="61" t="s">
        <v>298</v>
      </c>
      <c r="C104" s="62" t="s">
        <v>11696</v>
      </c>
      <c r="D104" s="63">
        <v>8.6</v>
      </c>
      <c r="E104" s="64" t="s">
        <v>136</v>
      </c>
      <c r="F104" s="65">
        <v>14.399999999999999</v>
      </c>
      <c r="G104" s="62"/>
      <c r="H104" s="66"/>
      <c r="I104" s="67"/>
      <c r="J104" s="67"/>
      <c r="K104" s="31" t="s">
        <v>65</v>
      </c>
      <c r="L104" s="75">
        <v>104</v>
      </c>
      <c r="M104" s="75"/>
      <c r="N104" s="69"/>
      <c r="O104" s="77" t="s">
        <v>541</v>
      </c>
      <c r="P104" s="79">
        <v>45148.36515046296</v>
      </c>
      <c r="Q104" s="77" t="s">
        <v>551</v>
      </c>
      <c r="R104" s="77">
        <v>0</v>
      </c>
      <c r="S104" s="77">
        <v>0</v>
      </c>
      <c r="T104" s="77">
        <v>0</v>
      </c>
      <c r="U104" s="77">
        <v>0</v>
      </c>
      <c r="V104" s="77">
        <v>44</v>
      </c>
      <c r="W104" s="77"/>
      <c r="X104" s="83" t="str">
        <f>HYPERLINK("https://twitter.com/Charpy73/status/1071073087528058880?s=20")</f>
        <v>https://twitter.com/Charpy73/status/1071073087528058880?s=20</v>
      </c>
      <c r="Y104" s="77" t="s">
        <v>733</v>
      </c>
      <c r="Z104" s="77" t="s">
        <v>752</v>
      </c>
      <c r="AA104" s="77"/>
      <c r="AB104" s="77"/>
      <c r="AC104" s="81" t="s">
        <v>853</v>
      </c>
      <c r="AD104" s="77" t="s">
        <v>859</v>
      </c>
      <c r="AE104" s="83" t="str">
        <f>HYPERLINK("https://twitter.com/charpy73/status/1689558661083934720")</f>
        <v>https://twitter.com/charpy73/status/1689558661083934720</v>
      </c>
      <c r="AF104" s="79">
        <v>45148.36515046296</v>
      </c>
      <c r="AG104" s="85">
        <v>45148</v>
      </c>
      <c r="AH104" s="81" t="s">
        <v>878</v>
      </c>
      <c r="AI104" s="77" t="b">
        <v>0</v>
      </c>
      <c r="AJ104" s="77"/>
      <c r="AK104" s="77"/>
      <c r="AL104" s="77"/>
      <c r="AM104" s="77"/>
      <c r="AN104" s="77"/>
      <c r="AO104" s="77"/>
      <c r="AP104" s="77"/>
      <c r="AQ104" s="77"/>
      <c r="AR104" s="77"/>
      <c r="AS104" s="77"/>
      <c r="AT104" s="77"/>
      <c r="AU104" s="77"/>
      <c r="AV104" s="83" t="str">
        <f>HYPERLINK("https://pbs.twimg.com/profile_images/1310352185679654912/xskSwHii_normal.jpg")</f>
        <v>https://pbs.twimg.com/profile_images/1310352185679654912/xskSwHii_normal.jpg</v>
      </c>
      <c r="AW104" s="81" t="s">
        <v>1033</v>
      </c>
      <c r="AX104" s="81" t="s">
        <v>1153</v>
      </c>
      <c r="AY104" s="81" t="s">
        <v>1173</v>
      </c>
      <c r="AZ104" s="81" t="s">
        <v>1034</v>
      </c>
      <c r="BA104" s="81" t="s">
        <v>1040</v>
      </c>
      <c r="BB104" s="81" t="s">
        <v>1190</v>
      </c>
      <c r="BC104" s="81" t="s">
        <v>1034</v>
      </c>
      <c r="BD104" s="81" t="s">
        <v>1173</v>
      </c>
      <c r="BE104" s="77"/>
      <c r="BF104" s="77"/>
      <c r="BG104" s="77"/>
      <c r="BH104" s="77"/>
      <c r="BI104" s="77"/>
      <c r="BJ104">
        <v>5</v>
      </c>
      <c r="BK104" s="76" t="str">
        <f>REPLACE(INDEX(GroupVertices[Group],MATCH(Edges[[#This Row],[Vertex 1]],GroupVertices[Vertex],0)),1,1,"")</f>
        <v>4</v>
      </c>
      <c r="BL104" s="76" t="str">
        <f>REPLACE(INDEX(GroupVertices[Group],MATCH(Edges[[#This Row],[Vertex 2]],GroupVertices[Vertex],0)),1,1,"")</f>
        <v>4</v>
      </c>
      <c r="BM104" s="45"/>
      <c r="BN104" s="46"/>
      <c r="BO104" s="45"/>
      <c r="BP104" s="46"/>
      <c r="BQ104" s="45"/>
      <c r="BR104" s="46"/>
      <c r="BS104" s="45"/>
      <c r="BT104" s="46"/>
      <c r="BU104" s="45"/>
    </row>
    <row r="105" spans="1:73" ht="15">
      <c r="A105" s="61" t="s">
        <v>227</v>
      </c>
      <c r="B105" s="61" t="s">
        <v>298</v>
      </c>
      <c r="C105" s="62" t="s">
        <v>11696</v>
      </c>
      <c r="D105" s="63">
        <v>8.6</v>
      </c>
      <c r="E105" s="64" t="s">
        <v>136</v>
      </c>
      <c r="F105" s="65">
        <v>14.399999999999999</v>
      </c>
      <c r="G105" s="62"/>
      <c r="H105" s="66"/>
      <c r="I105" s="67"/>
      <c r="J105" s="67"/>
      <c r="K105" s="31" t="s">
        <v>65</v>
      </c>
      <c r="L105" s="75">
        <v>105</v>
      </c>
      <c r="M105" s="75"/>
      <c r="N105" s="69"/>
      <c r="O105" s="77" t="s">
        <v>541</v>
      </c>
      <c r="P105" s="79">
        <v>45148.35780092593</v>
      </c>
      <c r="Q105" s="77" t="s">
        <v>552</v>
      </c>
      <c r="R105" s="77">
        <v>0</v>
      </c>
      <c r="S105" s="77">
        <v>0</v>
      </c>
      <c r="T105" s="77">
        <v>1</v>
      </c>
      <c r="U105" s="77">
        <v>0</v>
      </c>
      <c r="V105" s="77">
        <v>80</v>
      </c>
      <c r="W105" s="81" t="s">
        <v>670</v>
      </c>
      <c r="X105" s="77" t="s">
        <v>729</v>
      </c>
      <c r="Y105" s="77" t="s">
        <v>735</v>
      </c>
      <c r="Z105" s="77" t="s">
        <v>753</v>
      </c>
      <c r="AA105" s="77"/>
      <c r="AB105" s="77"/>
      <c r="AC105" s="81" t="s">
        <v>853</v>
      </c>
      <c r="AD105" s="77" t="s">
        <v>859</v>
      </c>
      <c r="AE105" s="83" t="str">
        <f>HYPERLINK("https://twitter.com/charpy73/status/1689555994278330368")</f>
        <v>https://twitter.com/charpy73/status/1689555994278330368</v>
      </c>
      <c r="AF105" s="79">
        <v>45148.35780092593</v>
      </c>
      <c r="AG105" s="85">
        <v>45148</v>
      </c>
      <c r="AH105" s="81" t="s">
        <v>879</v>
      </c>
      <c r="AI105" s="77" t="b">
        <v>0</v>
      </c>
      <c r="AJ105" s="77"/>
      <c r="AK105" s="77"/>
      <c r="AL105" s="77"/>
      <c r="AM105" s="77"/>
      <c r="AN105" s="77"/>
      <c r="AO105" s="77"/>
      <c r="AP105" s="77"/>
      <c r="AQ105" s="77"/>
      <c r="AR105" s="77"/>
      <c r="AS105" s="77"/>
      <c r="AT105" s="77"/>
      <c r="AU105" s="77"/>
      <c r="AV105" s="83" t="str">
        <f>HYPERLINK("https://pbs.twimg.com/profile_images/1310352185679654912/xskSwHii_normal.jpg")</f>
        <v>https://pbs.twimg.com/profile_images/1310352185679654912/xskSwHii_normal.jpg</v>
      </c>
      <c r="AW105" s="81" t="s">
        <v>1034</v>
      </c>
      <c r="AX105" s="81" t="s">
        <v>1153</v>
      </c>
      <c r="AY105" s="81" t="s">
        <v>1173</v>
      </c>
      <c r="AZ105" s="81" t="s">
        <v>1036</v>
      </c>
      <c r="BA105" s="81" t="s">
        <v>1041</v>
      </c>
      <c r="BB105" s="81" t="s">
        <v>1190</v>
      </c>
      <c r="BC105" s="81" t="s">
        <v>1036</v>
      </c>
      <c r="BD105" s="81" t="s">
        <v>1173</v>
      </c>
      <c r="BE105" s="77"/>
      <c r="BF105" s="77"/>
      <c r="BG105" s="77"/>
      <c r="BH105" s="77"/>
      <c r="BI105" s="77"/>
      <c r="BJ105">
        <v>5</v>
      </c>
      <c r="BK105" s="76" t="str">
        <f>REPLACE(INDEX(GroupVertices[Group],MATCH(Edges[[#This Row],[Vertex 1]],GroupVertices[Vertex],0)),1,1,"")</f>
        <v>4</v>
      </c>
      <c r="BL105" s="76" t="str">
        <f>REPLACE(INDEX(GroupVertices[Group],MATCH(Edges[[#This Row],[Vertex 2]],GroupVertices[Vertex],0)),1,1,"")</f>
        <v>4</v>
      </c>
      <c r="BM105" s="45"/>
      <c r="BN105" s="46"/>
      <c r="BO105" s="45"/>
      <c r="BP105" s="46"/>
      <c r="BQ105" s="45"/>
      <c r="BR105" s="46"/>
      <c r="BS105" s="45"/>
      <c r="BT105" s="46"/>
      <c r="BU105" s="45"/>
    </row>
    <row r="106" spans="1:73" ht="15">
      <c r="A106" s="61" t="s">
        <v>227</v>
      </c>
      <c r="B106" s="61" t="s">
        <v>299</v>
      </c>
      <c r="C106" s="62" t="s">
        <v>11692</v>
      </c>
      <c r="D106" s="63">
        <v>3</v>
      </c>
      <c r="E106" s="64" t="s">
        <v>132</v>
      </c>
      <c r="F106" s="65">
        <v>32</v>
      </c>
      <c r="G106" s="62"/>
      <c r="H106" s="66"/>
      <c r="I106" s="67"/>
      <c r="J106" s="67"/>
      <c r="K106" s="31" t="s">
        <v>65</v>
      </c>
      <c r="L106" s="75">
        <v>106</v>
      </c>
      <c r="M106" s="75"/>
      <c r="N106" s="69"/>
      <c r="O106" s="77" t="s">
        <v>543</v>
      </c>
      <c r="P106" s="79">
        <v>45148.35189814815</v>
      </c>
      <c r="Q106" s="77" t="s">
        <v>553</v>
      </c>
      <c r="R106" s="77">
        <v>0</v>
      </c>
      <c r="S106" s="77">
        <v>0</v>
      </c>
      <c r="T106" s="77">
        <v>1</v>
      </c>
      <c r="U106" s="77">
        <v>0</v>
      </c>
      <c r="V106" s="77">
        <v>17</v>
      </c>
      <c r="W106" s="77"/>
      <c r="X106" s="83" t="str">
        <f>HYPERLINK("https://www.nodexlgraphgallery.org/Pages/Graph.aspx?graphID=254623")</f>
        <v>https://www.nodexlgraphgallery.org/Pages/Graph.aspx?graphID=254623</v>
      </c>
      <c r="Y106" s="77" t="s">
        <v>732</v>
      </c>
      <c r="Z106" s="77" t="s">
        <v>754</v>
      </c>
      <c r="AA106" s="77"/>
      <c r="AB106" s="77"/>
      <c r="AC106" s="81" t="s">
        <v>853</v>
      </c>
      <c r="AD106" s="77" t="s">
        <v>862</v>
      </c>
      <c r="AE106" s="83" t="str">
        <f>HYPERLINK("https://twitter.com/charpy73/status/1689553858408693762")</f>
        <v>https://twitter.com/charpy73/status/1689553858408693762</v>
      </c>
      <c r="AF106" s="79">
        <v>45148.35189814815</v>
      </c>
      <c r="AG106" s="85">
        <v>45148</v>
      </c>
      <c r="AH106" s="81" t="s">
        <v>880</v>
      </c>
      <c r="AI106" s="77" t="b">
        <v>0</v>
      </c>
      <c r="AJ106" s="77"/>
      <c r="AK106" s="77"/>
      <c r="AL106" s="77"/>
      <c r="AM106" s="77"/>
      <c r="AN106" s="77"/>
      <c r="AO106" s="77"/>
      <c r="AP106" s="77"/>
      <c r="AQ106" s="77"/>
      <c r="AR106" s="77"/>
      <c r="AS106" s="77"/>
      <c r="AT106" s="77"/>
      <c r="AU106" s="77"/>
      <c r="AV106" s="83" t="str">
        <f>HYPERLINK("https://pbs.twimg.com/profile_images/1310352185679654912/xskSwHii_normal.jpg")</f>
        <v>https://pbs.twimg.com/profile_images/1310352185679654912/xskSwHii_normal.jpg</v>
      </c>
      <c r="AW106" s="81" t="s">
        <v>1035</v>
      </c>
      <c r="AX106" s="81" t="s">
        <v>1153</v>
      </c>
      <c r="AY106" s="81" t="s">
        <v>1173</v>
      </c>
      <c r="AZ106" s="81" t="s">
        <v>1038</v>
      </c>
      <c r="BA106" s="81" t="s">
        <v>1190</v>
      </c>
      <c r="BB106" s="81" t="s">
        <v>1190</v>
      </c>
      <c r="BC106" s="81" t="s">
        <v>1038</v>
      </c>
      <c r="BD106" s="81" t="s">
        <v>1173</v>
      </c>
      <c r="BE106" s="77"/>
      <c r="BF106" s="77"/>
      <c r="BG106" s="77"/>
      <c r="BH106" s="77"/>
      <c r="BI106" s="77"/>
      <c r="BJ106">
        <v>1</v>
      </c>
      <c r="BK106" s="76" t="str">
        <f>REPLACE(INDEX(GroupVertices[Group],MATCH(Edges[[#This Row],[Vertex 1]],GroupVertices[Vertex],0)),1,1,"")</f>
        <v>4</v>
      </c>
      <c r="BL106" s="76" t="str">
        <f>REPLACE(INDEX(GroupVertices[Group],MATCH(Edges[[#This Row],[Vertex 2]],GroupVertices[Vertex],0)),1,1,"")</f>
        <v>4</v>
      </c>
      <c r="BM106" s="45"/>
      <c r="BN106" s="46"/>
      <c r="BO106" s="45"/>
      <c r="BP106" s="46"/>
      <c r="BQ106" s="45"/>
      <c r="BR106" s="46"/>
      <c r="BS106" s="45"/>
      <c r="BT106" s="46"/>
      <c r="BU106" s="45"/>
    </row>
    <row r="107" spans="1:73" ht="15">
      <c r="A107" s="61" t="s">
        <v>227</v>
      </c>
      <c r="B107" s="61" t="s">
        <v>299</v>
      </c>
      <c r="C107" s="62" t="s">
        <v>11695</v>
      </c>
      <c r="D107" s="63">
        <v>7.2</v>
      </c>
      <c r="E107" s="64" t="s">
        <v>132</v>
      </c>
      <c r="F107" s="65">
        <v>18.8</v>
      </c>
      <c r="G107" s="62"/>
      <c r="H107" s="66"/>
      <c r="I107" s="67"/>
      <c r="J107" s="67"/>
      <c r="K107" s="31" t="s">
        <v>65</v>
      </c>
      <c r="L107" s="75">
        <v>107</v>
      </c>
      <c r="M107" s="75"/>
      <c r="N107" s="69"/>
      <c r="O107" s="77" t="s">
        <v>541</v>
      </c>
      <c r="P107" s="79">
        <v>45148.353993055556</v>
      </c>
      <c r="Q107" s="77" t="s">
        <v>554</v>
      </c>
      <c r="R107" s="77">
        <v>0</v>
      </c>
      <c r="S107" s="77">
        <v>0</v>
      </c>
      <c r="T107" s="77">
        <v>1</v>
      </c>
      <c r="U107" s="77">
        <v>0</v>
      </c>
      <c r="V107" s="77">
        <v>21</v>
      </c>
      <c r="W107" s="77"/>
      <c r="X107" s="83" t="str">
        <f>HYPERLINK("https://twitter.com/Charpy73/status/1081734473513869312?s=20")</f>
        <v>https://twitter.com/Charpy73/status/1081734473513869312?s=20</v>
      </c>
      <c r="Y107" s="77" t="s">
        <v>733</v>
      </c>
      <c r="Z107" s="77" t="s">
        <v>755</v>
      </c>
      <c r="AA107" s="77"/>
      <c r="AB107" s="77"/>
      <c r="AC107" s="81" t="s">
        <v>853</v>
      </c>
      <c r="AD107" s="77" t="s">
        <v>862</v>
      </c>
      <c r="AE107" s="83" t="str">
        <f>HYPERLINK("https://twitter.com/charpy73/status/1689554615862255616")</f>
        <v>https://twitter.com/charpy73/status/1689554615862255616</v>
      </c>
      <c r="AF107" s="79">
        <v>45148.353993055556</v>
      </c>
      <c r="AG107" s="85">
        <v>45148</v>
      </c>
      <c r="AH107" s="81" t="s">
        <v>881</v>
      </c>
      <c r="AI107" s="77" t="b">
        <v>0</v>
      </c>
      <c r="AJ107" s="77"/>
      <c r="AK107" s="77"/>
      <c r="AL107" s="77"/>
      <c r="AM107" s="77"/>
      <c r="AN107" s="77"/>
      <c r="AO107" s="77"/>
      <c r="AP107" s="77"/>
      <c r="AQ107" s="77"/>
      <c r="AR107" s="77"/>
      <c r="AS107" s="77"/>
      <c r="AT107" s="77"/>
      <c r="AU107" s="77"/>
      <c r="AV107" s="83" t="str">
        <f>HYPERLINK("https://pbs.twimg.com/profile_images/1310352185679654912/xskSwHii_normal.jpg")</f>
        <v>https://pbs.twimg.com/profile_images/1310352185679654912/xskSwHii_normal.jpg</v>
      </c>
      <c r="AW107" s="81" t="s">
        <v>1036</v>
      </c>
      <c r="AX107" s="81" t="s">
        <v>1153</v>
      </c>
      <c r="AY107" s="81" t="s">
        <v>1173</v>
      </c>
      <c r="AZ107" s="81" t="s">
        <v>1037</v>
      </c>
      <c r="BA107" s="81" t="s">
        <v>1039</v>
      </c>
      <c r="BB107" s="81" t="s">
        <v>1190</v>
      </c>
      <c r="BC107" s="81" t="s">
        <v>1037</v>
      </c>
      <c r="BD107" s="81" t="s">
        <v>1173</v>
      </c>
      <c r="BE107" s="77"/>
      <c r="BF107" s="77"/>
      <c r="BG107" s="77"/>
      <c r="BH107" s="77"/>
      <c r="BI107" s="77"/>
      <c r="BJ107">
        <v>4</v>
      </c>
      <c r="BK107" s="76" t="str">
        <f>REPLACE(INDEX(GroupVertices[Group],MATCH(Edges[[#This Row],[Vertex 1]],GroupVertices[Vertex],0)),1,1,"")</f>
        <v>4</v>
      </c>
      <c r="BL107" s="76" t="str">
        <f>REPLACE(INDEX(GroupVertices[Group],MATCH(Edges[[#This Row],[Vertex 2]],GroupVertices[Vertex],0)),1,1,"")</f>
        <v>4</v>
      </c>
      <c r="BM107" s="45"/>
      <c r="BN107" s="46"/>
      <c r="BO107" s="45"/>
      <c r="BP107" s="46"/>
      <c r="BQ107" s="45"/>
      <c r="BR107" s="46"/>
      <c r="BS107" s="45"/>
      <c r="BT107" s="46"/>
      <c r="BU107" s="45"/>
    </row>
    <row r="108" spans="1:73" ht="15">
      <c r="A108" s="61" t="s">
        <v>227</v>
      </c>
      <c r="B108" s="61" t="s">
        <v>299</v>
      </c>
      <c r="C108" s="62" t="s">
        <v>11695</v>
      </c>
      <c r="D108" s="63">
        <v>7.2</v>
      </c>
      <c r="E108" s="64" t="s">
        <v>132</v>
      </c>
      <c r="F108" s="65">
        <v>18.8</v>
      </c>
      <c r="G108" s="62"/>
      <c r="H108" s="66"/>
      <c r="I108" s="67"/>
      <c r="J108" s="67"/>
      <c r="K108" s="31" t="s">
        <v>65</v>
      </c>
      <c r="L108" s="75">
        <v>108</v>
      </c>
      <c r="M108" s="75"/>
      <c r="N108" s="69"/>
      <c r="O108" s="77" t="s">
        <v>541</v>
      </c>
      <c r="P108" s="79">
        <v>45148.353738425925</v>
      </c>
      <c r="Q108" s="77" t="s">
        <v>555</v>
      </c>
      <c r="R108" s="77">
        <v>0</v>
      </c>
      <c r="S108" s="77">
        <v>0</v>
      </c>
      <c r="T108" s="77">
        <v>1</v>
      </c>
      <c r="U108" s="77">
        <v>0</v>
      </c>
      <c r="V108" s="77">
        <v>17</v>
      </c>
      <c r="W108" s="77"/>
      <c r="X108" s="83" t="str">
        <f>HYPERLINK("https://twitter.com/Charpy73/status/1677875566521864193?s=20")</f>
        <v>https://twitter.com/Charpy73/status/1677875566521864193?s=20</v>
      </c>
      <c r="Y108" s="77" t="s">
        <v>733</v>
      </c>
      <c r="Z108" s="77" t="s">
        <v>755</v>
      </c>
      <c r="AA108" s="77"/>
      <c r="AB108" s="77"/>
      <c r="AC108" s="81" t="s">
        <v>853</v>
      </c>
      <c r="AD108" s="77" t="s">
        <v>862</v>
      </c>
      <c r="AE108" s="83" t="str">
        <f>HYPERLINK("https://twitter.com/charpy73/status/1689554525403643904")</f>
        <v>https://twitter.com/charpy73/status/1689554525403643904</v>
      </c>
      <c r="AF108" s="79">
        <v>45148.353738425925</v>
      </c>
      <c r="AG108" s="85">
        <v>45148</v>
      </c>
      <c r="AH108" s="81" t="s">
        <v>882</v>
      </c>
      <c r="AI108" s="77" t="b">
        <v>0</v>
      </c>
      <c r="AJ108" s="77"/>
      <c r="AK108" s="77"/>
      <c r="AL108" s="77"/>
      <c r="AM108" s="77"/>
      <c r="AN108" s="77"/>
      <c r="AO108" s="77"/>
      <c r="AP108" s="77"/>
      <c r="AQ108" s="77"/>
      <c r="AR108" s="77"/>
      <c r="AS108" s="77"/>
      <c r="AT108" s="77"/>
      <c r="AU108" s="77"/>
      <c r="AV108" s="83" t="str">
        <f>HYPERLINK("https://pbs.twimg.com/profile_images/1310352185679654912/xskSwHii_normal.jpg")</f>
        <v>https://pbs.twimg.com/profile_images/1310352185679654912/xskSwHii_normal.jpg</v>
      </c>
      <c r="AW108" s="81" t="s">
        <v>1037</v>
      </c>
      <c r="AX108" s="81" t="s">
        <v>1153</v>
      </c>
      <c r="AY108" s="81" t="s">
        <v>1173</v>
      </c>
      <c r="AZ108" s="81" t="s">
        <v>1035</v>
      </c>
      <c r="BA108" s="81" t="s">
        <v>1032</v>
      </c>
      <c r="BB108" s="81" t="s">
        <v>1190</v>
      </c>
      <c r="BC108" s="81" t="s">
        <v>1035</v>
      </c>
      <c r="BD108" s="81" t="s">
        <v>1173</v>
      </c>
      <c r="BE108" s="77"/>
      <c r="BF108" s="77"/>
      <c r="BG108" s="77"/>
      <c r="BH108" s="77"/>
      <c r="BI108" s="77"/>
      <c r="BJ108">
        <v>4</v>
      </c>
      <c r="BK108" s="76" t="str">
        <f>REPLACE(INDEX(GroupVertices[Group],MATCH(Edges[[#This Row],[Vertex 1]],GroupVertices[Vertex],0)),1,1,"")</f>
        <v>4</v>
      </c>
      <c r="BL108" s="76" t="str">
        <f>REPLACE(INDEX(GroupVertices[Group],MATCH(Edges[[#This Row],[Vertex 2]],GroupVertices[Vertex],0)),1,1,"")</f>
        <v>4</v>
      </c>
      <c r="BM108" s="45"/>
      <c r="BN108" s="46"/>
      <c r="BO108" s="45"/>
      <c r="BP108" s="46"/>
      <c r="BQ108" s="45"/>
      <c r="BR108" s="46"/>
      <c r="BS108" s="45"/>
      <c r="BT108" s="46"/>
      <c r="BU108" s="45"/>
    </row>
    <row r="109" spans="1:73" ht="15">
      <c r="A109" s="61" t="s">
        <v>227</v>
      </c>
      <c r="B109" s="61" t="s">
        <v>299</v>
      </c>
      <c r="C109" s="62" t="s">
        <v>11695</v>
      </c>
      <c r="D109" s="63">
        <v>7.2</v>
      </c>
      <c r="E109" s="64" t="s">
        <v>132</v>
      </c>
      <c r="F109" s="65">
        <v>18.8</v>
      </c>
      <c r="G109" s="62"/>
      <c r="H109" s="66"/>
      <c r="I109" s="67"/>
      <c r="J109" s="67"/>
      <c r="K109" s="31" t="s">
        <v>65</v>
      </c>
      <c r="L109" s="75">
        <v>109</v>
      </c>
      <c r="M109" s="75"/>
      <c r="N109" s="69"/>
      <c r="O109" s="77" t="s">
        <v>541</v>
      </c>
      <c r="P109" s="79">
        <v>45148.36515046296</v>
      </c>
      <c r="Q109" s="77" t="s">
        <v>551</v>
      </c>
      <c r="R109" s="77">
        <v>0</v>
      </c>
      <c r="S109" s="77">
        <v>0</v>
      </c>
      <c r="T109" s="77">
        <v>0</v>
      </c>
      <c r="U109" s="77">
        <v>0</v>
      </c>
      <c r="V109" s="77">
        <v>44</v>
      </c>
      <c r="W109" s="77"/>
      <c r="X109" s="83" t="str">
        <f>HYPERLINK("https://twitter.com/Charpy73/status/1071073087528058880?s=20")</f>
        <v>https://twitter.com/Charpy73/status/1071073087528058880?s=20</v>
      </c>
      <c r="Y109" s="77" t="s">
        <v>733</v>
      </c>
      <c r="Z109" s="77" t="s">
        <v>752</v>
      </c>
      <c r="AA109" s="77"/>
      <c r="AB109" s="77"/>
      <c r="AC109" s="81" t="s">
        <v>853</v>
      </c>
      <c r="AD109" s="77" t="s">
        <v>859</v>
      </c>
      <c r="AE109" s="83" t="str">
        <f>HYPERLINK("https://twitter.com/charpy73/status/1689558661083934720")</f>
        <v>https://twitter.com/charpy73/status/1689558661083934720</v>
      </c>
      <c r="AF109" s="79">
        <v>45148.36515046296</v>
      </c>
      <c r="AG109" s="85">
        <v>45148</v>
      </c>
      <c r="AH109" s="81" t="s">
        <v>878</v>
      </c>
      <c r="AI109" s="77" t="b">
        <v>0</v>
      </c>
      <c r="AJ109" s="77"/>
      <c r="AK109" s="77"/>
      <c r="AL109" s="77"/>
      <c r="AM109" s="77"/>
      <c r="AN109" s="77"/>
      <c r="AO109" s="77"/>
      <c r="AP109" s="77"/>
      <c r="AQ109" s="77"/>
      <c r="AR109" s="77"/>
      <c r="AS109" s="77"/>
      <c r="AT109" s="77"/>
      <c r="AU109" s="77"/>
      <c r="AV109" s="83" t="str">
        <f>HYPERLINK("https://pbs.twimg.com/profile_images/1310352185679654912/xskSwHii_normal.jpg")</f>
        <v>https://pbs.twimg.com/profile_images/1310352185679654912/xskSwHii_normal.jpg</v>
      </c>
      <c r="AW109" s="81" t="s">
        <v>1033</v>
      </c>
      <c r="AX109" s="81" t="s">
        <v>1153</v>
      </c>
      <c r="AY109" s="81" t="s">
        <v>1173</v>
      </c>
      <c r="AZ109" s="81" t="s">
        <v>1034</v>
      </c>
      <c r="BA109" s="81" t="s">
        <v>1040</v>
      </c>
      <c r="BB109" s="81" t="s">
        <v>1190</v>
      </c>
      <c r="BC109" s="81" t="s">
        <v>1034</v>
      </c>
      <c r="BD109" s="81" t="s">
        <v>1173</v>
      </c>
      <c r="BE109" s="77"/>
      <c r="BF109" s="77"/>
      <c r="BG109" s="77"/>
      <c r="BH109" s="77"/>
      <c r="BI109" s="77"/>
      <c r="BJ109">
        <v>4</v>
      </c>
      <c r="BK109" s="76" t="str">
        <f>REPLACE(INDEX(GroupVertices[Group],MATCH(Edges[[#This Row],[Vertex 1]],GroupVertices[Vertex],0)),1,1,"")</f>
        <v>4</v>
      </c>
      <c r="BL109" s="76" t="str">
        <f>REPLACE(INDEX(GroupVertices[Group],MATCH(Edges[[#This Row],[Vertex 2]],GroupVertices[Vertex],0)),1,1,"")</f>
        <v>4</v>
      </c>
      <c r="BM109" s="45"/>
      <c r="BN109" s="46"/>
      <c r="BO109" s="45"/>
      <c r="BP109" s="46"/>
      <c r="BQ109" s="45"/>
      <c r="BR109" s="46"/>
      <c r="BS109" s="45"/>
      <c r="BT109" s="46"/>
      <c r="BU109" s="45"/>
    </row>
    <row r="110" spans="1:73" ht="15">
      <c r="A110" s="61" t="s">
        <v>227</v>
      </c>
      <c r="B110" s="61" t="s">
        <v>299</v>
      </c>
      <c r="C110" s="62" t="s">
        <v>11695</v>
      </c>
      <c r="D110" s="63">
        <v>7.2</v>
      </c>
      <c r="E110" s="64" t="s">
        <v>132</v>
      </c>
      <c r="F110" s="65">
        <v>18.8</v>
      </c>
      <c r="G110" s="62"/>
      <c r="H110" s="66"/>
      <c r="I110" s="67"/>
      <c r="J110" s="67"/>
      <c r="K110" s="31" t="s">
        <v>65</v>
      </c>
      <c r="L110" s="75">
        <v>110</v>
      </c>
      <c r="M110" s="75"/>
      <c r="N110" s="69"/>
      <c r="O110" s="77" t="s">
        <v>541</v>
      </c>
      <c r="P110" s="79">
        <v>45148.35780092593</v>
      </c>
      <c r="Q110" s="77" t="s">
        <v>552</v>
      </c>
      <c r="R110" s="77">
        <v>0</v>
      </c>
      <c r="S110" s="77">
        <v>0</v>
      </c>
      <c r="T110" s="77">
        <v>1</v>
      </c>
      <c r="U110" s="77">
        <v>0</v>
      </c>
      <c r="V110" s="77">
        <v>80</v>
      </c>
      <c r="W110" s="81" t="s">
        <v>670</v>
      </c>
      <c r="X110" s="77" t="s">
        <v>729</v>
      </c>
      <c r="Y110" s="77" t="s">
        <v>735</v>
      </c>
      <c r="Z110" s="77" t="s">
        <v>753</v>
      </c>
      <c r="AA110" s="77"/>
      <c r="AB110" s="77"/>
      <c r="AC110" s="81" t="s">
        <v>853</v>
      </c>
      <c r="AD110" s="77" t="s">
        <v>859</v>
      </c>
      <c r="AE110" s="83" t="str">
        <f>HYPERLINK("https://twitter.com/charpy73/status/1689555994278330368")</f>
        <v>https://twitter.com/charpy73/status/1689555994278330368</v>
      </c>
      <c r="AF110" s="79">
        <v>45148.35780092593</v>
      </c>
      <c r="AG110" s="85">
        <v>45148</v>
      </c>
      <c r="AH110" s="81" t="s">
        <v>879</v>
      </c>
      <c r="AI110" s="77" t="b">
        <v>0</v>
      </c>
      <c r="AJ110" s="77"/>
      <c r="AK110" s="77"/>
      <c r="AL110" s="77"/>
      <c r="AM110" s="77"/>
      <c r="AN110" s="77"/>
      <c r="AO110" s="77"/>
      <c r="AP110" s="77"/>
      <c r="AQ110" s="77"/>
      <c r="AR110" s="77"/>
      <c r="AS110" s="77"/>
      <c r="AT110" s="77"/>
      <c r="AU110" s="77"/>
      <c r="AV110" s="83" t="str">
        <f>HYPERLINK("https://pbs.twimg.com/profile_images/1310352185679654912/xskSwHii_normal.jpg")</f>
        <v>https://pbs.twimg.com/profile_images/1310352185679654912/xskSwHii_normal.jpg</v>
      </c>
      <c r="AW110" s="81" t="s">
        <v>1034</v>
      </c>
      <c r="AX110" s="81" t="s">
        <v>1153</v>
      </c>
      <c r="AY110" s="81" t="s">
        <v>1173</v>
      </c>
      <c r="AZ110" s="81" t="s">
        <v>1036</v>
      </c>
      <c r="BA110" s="81" t="s">
        <v>1041</v>
      </c>
      <c r="BB110" s="81" t="s">
        <v>1190</v>
      </c>
      <c r="BC110" s="81" t="s">
        <v>1036</v>
      </c>
      <c r="BD110" s="81" t="s">
        <v>1173</v>
      </c>
      <c r="BE110" s="77"/>
      <c r="BF110" s="77"/>
      <c r="BG110" s="77"/>
      <c r="BH110" s="77"/>
      <c r="BI110" s="77"/>
      <c r="BJ110">
        <v>4</v>
      </c>
      <c r="BK110" s="76" t="str">
        <f>REPLACE(INDEX(GroupVertices[Group],MATCH(Edges[[#This Row],[Vertex 1]],GroupVertices[Vertex],0)),1,1,"")</f>
        <v>4</v>
      </c>
      <c r="BL110" s="76" t="str">
        <f>REPLACE(INDEX(GroupVertices[Group],MATCH(Edges[[#This Row],[Vertex 2]],GroupVertices[Vertex],0)),1,1,"")</f>
        <v>4</v>
      </c>
      <c r="BM110" s="45"/>
      <c r="BN110" s="46"/>
      <c r="BO110" s="45"/>
      <c r="BP110" s="46"/>
      <c r="BQ110" s="45"/>
      <c r="BR110" s="46"/>
      <c r="BS110" s="45"/>
      <c r="BT110" s="46"/>
      <c r="BU110" s="45"/>
    </row>
    <row r="111" spans="1:73" ht="15">
      <c r="A111" s="61" t="s">
        <v>227</v>
      </c>
      <c r="B111" s="61" t="s">
        <v>300</v>
      </c>
      <c r="C111" s="62" t="s">
        <v>11694</v>
      </c>
      <c r="D111" s="63">
        <v>5.8</v>
      </c>
      <c r="E111" s="64" t="s">
        <v>132</v>
      </c>
      <c r="F111" s="65">
        <v>23.2</v>
      </c>
      <c r="G111" s="62"/>
      <c r="H111" s="66"/>
      <c r="I111" s="67"/>
      <c r="J111" s="67"/>
      <c r="K111" s="31" t="s">
        <v>65</v>
      </c>
      <c r="L111" s="75">
        <v>111</v>
      </c>
      <c r="M111" s="75"/>
      <c r="N111" s="69"/>
      <c r="O111" s="77" t="s">
        <v>543</v>
      </c>
      <c r="P111" s="79">
        <v>45148.35189814815</v>
      </c>
      <c r="Q111" s="77" t="s">
        <v>553</v>
      </c>
      <c r="R111" s="77">
        <v>0</v>
      </c>
      <c r="S111" s="77">
        <v>0</v>
      </c>
      <c r="T111" s="77">
        <v>1</v>
      </c>
      <c r="U111" s="77">
        <v>0</v>
      </c>
      <c r="V111" s="77">
        <v>17</v>
      </c>
      <c r="W111" s="77"/>
      <c r="X111" s="83" t="str">
        <f>HYPERLINK("https://www.nodexlgraphgallery.org/Pages/Graph.aspx?graphID=254623")</f>
        <v>https://www.nodexlgraphgallery.org/Pages/Graph.aspx?graphID=254623</v>
      </c>
      <c r="Y111" s="77" t="s">
        <v>732</v>
      </c>
      <c r="Z111" s="77" t="s">
        <v>754</v>
      </c>
      <c r="AA111" s="77"/>
      <c r="AB111" s="77"/>
      <c r="AC111" s="81" t="s">
        <v>853</v>
      </c>
      <c r="AD111" s="77" t="s">
        <v>862</v>
      </c>
      <c r="AE111" s="83" t="str">
        <f>HYPERLINK("https://twitter.com/charpy73/status/1689553858408693762")</f>
        <v>https://twitter.com/charpy73/status/1689553858408693762</v>
      </c>
      <c r="AF111" s="79">
        <v>45148.35189814815</v>
      </c>
      <c r="AG111" s="85">
        <v>45148</v>
      </c>
      <c r="AH111" s="81" t="s">
        <v>880</v>
      </c>
      <c r="AI111" s="77" t="b">
        <v>0</v>
      </c>
      <c r="AJ111" s="77"/>
      <c r="AK111" s="77"/>
      <c r="AL111" s="77"/>
      <c r="AM111" s="77"/>
      <c r="AN111" s="77"/>
      <c r="AO111" s="77"/>
      <c r="AP111" s="77"/>
      <c r="AQ111" s="77"/>
      <c r="AR111" s="77"/>
      <c r="AS111" s="77"/>
      <c r="AT111" s="77"/>
      <c r="AU111" s="77"/>
      <c r="AV111" s="83" t="str">
        <f>HYPERLINK("https://pbs.twimg.com/profile_images/1310352185679654912/xskSwHii_normal.jpg")</f>
        <v>https://pbs.twimg.com/profile_images/1310352185679654912/xskSwHii_normal.jpg</v>
      </c>
      <c r="AW111" s="81" t="s">
        <v>1035</v>
      </c>
      <c r="AX111" s="81" t="s">
        <v>1153</v>
      </c>
      <c r="AY111" s="81" t="s">
        <v>1173</v>
      </c>
      <c r="AZ111" s="81" t="s">
        <v>1038</v>
      </c>
      <c r="BA111" s="81" t="s">
        <v>1190</v>
      </c>
      <c r="BB111" s="81" t="s">
        <v>1190</v>
      </c>
      <c r="BC111" s="81" t="s">
        <v>1038</v>
      </c>
      <c r="BD111" s="81" t="s">
        <v>1173</v>
      </c>
      <c r="BE111" s="77"/>
      <c r="BF111" s="77"/>
      <c r="BG111" s="77"/>
      <c r="BH111" s="77"/>
      <c r="BI111" s="77"/>
      <c r="BJ111">
        <v>3</v>
      </c>
      <c r="BK111" s="76" t="str">
        <f>REPLACE(INDEX(GroupVertices[Group],MATCH(Edges[[#This Row],[Vertex 1]],GroupVertices[Vertex],0)),1,1,"")</f>
        <v>4</v>
      </c>
      <c r="BL111" s="76" t="str">
        <f>REPLACE(INDEX(GroupVertices[Group],MATCH(Edges[[#This Row],[Vertex 2]],GroupVertices[Vertex],0)),1,1,"")</f>
        <v>4</v>
      </c>
      <c r="BM111" s="45"/>
      <c r="BN111" s="46"/>
      <c r="BO111" s="45"/>
      <c r="BP111" s="46"/>
      <c r="BQ111" s="45"/>
      <c r="BR111" s="46"/>
      <c r="BS111" s="45"/>
      <c r="BT111" s="46"/>
      <c r="BU111" s="45"/>
    </row>
    <row r="112" spans="1:73" ht="15">
      <c r="A112" s="61" t="s">
        <v>227</v>
      </c>
      <c r="B112" s="61" t="s">
        <v>300</v>
      </c>
      <c r="C112" s="62" t="s">
        <v>11694</v>
      </c>
      <c r="D112" s="63">
        <v>5.8</v>
      </c>
      <c r="E112" s="64" t="s">
        <v>132</v>
      </c>
      <c r="F112" s="65">
        <v>23.2</v>
      </c>
      <c r="G112" s="62"/>
      <c r="H112" s="66"/>
      <c r="I112" s="67"/>
      <c r="J112" s="67"/>
      <c r="K112" s="31" t="s">
        <v>65</v>
      </c>
      <c r="L112" s="75">
        <v>112</v>
      </c>
      <c r="M112" s="75"/>
      <c r="N112" s="69"/>
      <c r="O112" s="77" t="s">
        <v>543</v>
      </c>
      <c r="P112" s="79">
        <v>45148.35189814815</v>
      </c>
      <c r="Q112" s="77" t="s">
        <v>553</v>
      </c>
      <c r="R112" s="77">
        <v>0</v>
      </c>
      <c r="S112" s="77">
        <v>0</v>
      </c>
      <c r="T112" s="77">
        <v>1</v>
      </c>
      <c r="U112" s="77">
        <v>0</v>
      </c>
      <c r="V112" s="77">
        <v>17</v>
      </c>
      <c r="W112" s="77"/>
      <c r="X112" s="83" t="str">
        <f>HYPERLINK("https://www.nodexlgraphgallery.org/Pages/Graph.aspx?graphID=254623")</f>
        <v>https://www.nodexlgraphgallery.org/Pages/Graph.aspx?graphID=254623</v>
      </c>
      <c r="Y112" s="77" t="s">
        <v>732</v>
      </c>
      <c r="Z112" s="77" t="s">
        <v>754</v>
      </c>
      <c r="AA112" s="77"/>
      <c r="AB112" s="77"/>
      <c r="AC112" s="81" t="s">
        <v>853</v>
      </c>
      <c r="AD112" s="77" t="s">
        <v>862</v>
      </c>
      <c r="AE112" s="83" t="str">
        <f>HYPERLINK("https://twitter.com/charpy73/status/1689553858408693762")</f>
        <v>https://twitter.com/charpy73/status/1689553858408693762</v>
      </c>
      <c r="AF112" s="79">
        <v>45148.35189814815</v>
      </c>
      <c r="AG112" s="85">
        <v>45148</v>
      </c>
      <c r="AH112" s="81" t="s">
        <v>880</v>
      </c>
      <c r="AI112" s="77" t="b">
        <v>0</v>
      </c>
      <c r="AJ112" s="77"/>
      <c r="AK112" s="77"/>
      <c r="AL112" s="77"/>
      <c r="AM112" s="77"/>
      <c r="AN112" s="77"/>
      <c r="AO112" s="77"/>
      <c r="AP112" s="77"/>
      <c r="AQ112" s="77"/>
      <c r="AR112" s="77"/>
      <c r="AS112" s="77"/>
      <c r="AT112" s="77"/>
      <c r="AU112" s="77"/>
      <c r="AV112" s="83" t="str">
        <f>HYPERLINK("https://pbs.twimg.com/profile_images/1310352185679654912/xskSwHii_normal.jpg")</f>
        <v>https://pbs.twimg.com/profile_images/1310352185679654912/xskSwHii_normal.jpg</v>
      </c>
      <c r="AW112" s="81" t="s">
        <v>1035</v>
      </c>
      <c r="AX112" s="81" t="s">
        <v>1153</v>
      </c>
      <c r="AY112" s="81" t="s">
        <v>1173</v>
      </c>
      <c r="AZ112" s="81" t="s">
        <v>1038</v>
      </c>
      <c r="BA112" s="81" t="s">
        <v>1190</v>
      </c>
      <c r="BB112" s="81" t="s">
        <v>1190</v>
      </c>
      <c r="BC112" s="81" t="s">
        <v>1038</v>
      </c>
      <c r="BD112" s="81" t="s">
        <v>1173</v>
      </c>
      <c r="BE112" s="77"/>
      <c r="BF112" s="77"/>
      <c r="BG112" s="77"/>
      <c r="BH112" s="77"/>
      <c r="BI112" s="77"/>
      <c r="BJ112">
        <v>3</v>
      </c>
      <c r="BK112" s="76" t="str">
        <f>REPLACE(INDEX(GroupVertices[Group],MATCH(Edges[[#This Row],[Vertex 1]],GroupVertices[Vertex],0)),1,1,"")</f>
        <v>4</v>
      </c>
      <c r="BL112" s="76" t="str">
        <f>REPLACE(INDEX(GroupVertices[Group],MATCH(Edges[[#This Row],[Vertex 2]],GroupVertices[Vertex],0)),1,1,"")</f>
        <v>4</v>
      </c>
      <c r="BM112" s="45"/>
      <c r="BN112" s="46"/>
      <c r="BO112" s="45"/>
      <c r="BP112" s="46"/>
      <c r="BQ112" s="45"/>
      <c r="BR112" s="46"/>
      <c r="BS112" s="45"/>
      <c r="BT112" s="46"/>
      <c r="BU112" s="45"/>
    </row>
    <row r="113" spans="1:73" ht="15">
      <c r="A113" s="61" t="s">
        <v>227</v>
      </c>
      <c r="B113" s="61" t="s">
        <v>300</v>
      </c>
      <c r="C113" s="62" t="s">
        <v>11694</v>
      </c>
      <c r="D113" s="63">
        <v>5.8</v>
      </c>
      <c r="E113" s="64" t="s">
        <v>132</v>
      </c>
      <c r="F113" s="65">
        <v>23.2</v>
      </c>
      <c r="G113" s="62"/>
      <c r="H113" s="66"/>
      <c r="I113" s="67"/>
      <c r="J113" s="67"/>
      <c r="K113" s="31" t="s">
        <v>65</v>
      </c>
      <c r="L113" s="75">
        <v>113</v>
      </c>
      <c r="M113" s="75"/>
      <c r="N113" s="69"/>
      <c r="O113" s="77" t="s">
        <v>543</v>
      </c>
      <c r="P113" s="79">
        <v>45148.30626157407</v>
      </c>
      <c r="Q113" s="77" t="s">
        <v>556</v>
      </c>
      <c r="R113" s="77">
        <v>1</v>
      </c>
      <c r="S113" s="77">
        <v>0</v>
      </c>
      <c r="T113" s="77">
        <v>1</v>
      </c>
      <c r="U113" s="77">
        <v>0</v>
      </c>
      <c r="V113" s="77">
        <v>30</v>
      </c>
      <c r="W113" s="77"/>
      <c r="X113" s="77" t="s">
        <v>730</v>
      </c>
      <c r="Y113" s="77" t="s">
        <v>736</v>
      </c>
      <c r="Z113" s="77" t="s">
        <v>756</v>
      </c>
      <c r="AA113" s="77"/>
      <c r="AB113" s="77"/>
      <c r="AC113" s="81" t="s">
        <v>853</v>
      </c>
      <c r="AD113" s="77" t="s">
        <v>863</v>
      </c>
      <c r="AE113" s="83" t="str">
        <f>HYPERLINK("https://twitter.com/charpy73/status/1689537316866383872")</f>
        <v>https://twitter.com/charpy73/status/1689537316866383872</v>
      </c>
      <c r="AF113" s="79">
        <v>45148.30626157407</v>
      </c>
      <c r="AG113" s="85">
        <v>45148</v>
      </c>
      <c r="AH113" s="81" t="s">
        <v>883</v>
      </c>
      <c r="AI113" s="77" t="b">
        <v>0</v>
      </c>
      <c r="AJ113" s="77"/>
      <c r="AK113" s="77"/>
      <c r="AL113" s="77"/>
      <c r="AM113" s="77"/>
      <c r="AN113" s="77"/>
      <c r="AO113" s="77"/>
      <c r="AP113" s="77"/>
      <c r="AQ113" s="77"/>
      <c r="AR113" s="77"/>
      <c r="AS113" s="77"/>
      <c r="AT113" s="77"/>
      <c r="AU113" s="77"/>
      <c r="AV113" s="83" t="str">
        <f>HYPERLINK("https://pbs.twimg.com/profile_images/1310352185679654912/xskSwHii_normal.jpg")</f>
        <v>https://pbs.twimg.com/profile_images/1310352185679654912/xskSwHii_normal.jpg</v>
      </c>
      <c r="AW113" s="81" t="s">
        <v>1038</v>
      </c>
      <c r="AX113" s="81" t="s">
        <v>1153</v>
      </c>
      <c r="AY113" s="81" t="s">
        <v>1173</v>
      </c>
      <c r="AZ113" s="81" t="s">
        <v>1191</v>
      </c>
      <c r="BA113" s="81" t="s">
        <v>1190</v>
      </c>
      <c r="BB113" s="81" t="s">
        <v>1190</v>
      </c>
      <c r="BC113" s="81" t="s">
        <v>1191</v>
      </c>
      <c r="BD113" s="81" t="s">
        <v>1173</v>
      </c>
      <c r="BE113" s="77"/>
      <c r="BF113" s="77"/>
      <c r="BG113" s="77"/>
      <c r="BH113" s="77"/>
      <c r="BI113" s="77"/>
      <c r="BJ113">
        <v>3</v>
      </c>
      <c r="BK113" s="76" t="str">
        <f>REPLACE(INDEX(GroupVertices[Group],MATCH(Edges[[#This Row],[Vertex 1]],GroupVertices[Vertex],0)),1,1,"")</f>
        <v>4</v>
      </c>
      <c r="BL113" s="76" t="str">
        <f>REPLACE(INDEX(GroupVertices[Group],MATCH(Edges[[#This Row],[Vertex 2]],GroupVertices[Vertex],0)),1,1,"")</f>
        <v>4</v>
      </c>
      <c r="BM113" s="45"/>
      <c r="BN113" s="46"/>
      <c r="BO113" s="45"/>
      <c r="BP113" s="46"/>
      <c r="BQ113" s="45"/>
      <c r="BR113" s="46"/>
      <c r="BS113" s="45"/>
      <c r="BT113" s="46"/>
      <c r="BU113" s="45"/>
    </row>
    <row r="114" spans="1:73" ht="15">
      <c r="A114" s="61" t="s">
        <v>227</v>
      </c>
      <c r="B114" s="61" t="s">
        <v>300</v>
      </c>
      <c r="C114" s="62" t="s">
        <v>11696</v>
      </c>
      <c r="D114" s="63">
        <v>8.6</v>
      </c>
      <c r="E114" s="64" t="s">
        <v>136</v>
      </c>
      <c r="F114" s="65">
        <v>14.399999999999999</v>
      </c>
      <c r="G114" s="62"/>
      <c r="H114" s="66"/>
      <c r="I114" s="67"/>
      <c r="J114" s="67"/>
      <c r="K114" s="31" t="s">
        <v>65</v>
      </c>
      <c r="L114" s="75">
        <v>114</v>
      </c>
      <c r="M114" s="75"/>
      <c r="N114" s="69"/>
      <c r="O114" s="77" t="s">
        <v>541</v>
      </c>
      <c r="P114" s="79">
        <v>45148.353993055556</v>
      </c>
      <c r="Q114" s="77" t="s">
        <v>554</v>
      </c>
      <c r="R114" s="77">
        <v>0</v>
      </c>
      <c r="S114" s="77">
        <v>0</v>
      </c>
      <c r="T114" s="77">
        <v>1</v>
      </c>
      <c r="U114" s="77">
        <v>0</v>
      </c>
      <c r="V114" s="77">
        <v>21</v>
      </c>
      <c r="W114" s="77"/>
      <c r="X114" s="83" t="str">
        <f>HYPERLINK("https://twitter.com/Charpy73/status/1081734473513869312?s=20")</f>
        <v>https://twitter.com/Charpy73/status/1081734473513869312?s=20</v>
      </c>
      <c r="Y114" s="77" t="s">
        <v>733</v>
      </c>
      <c r="Z114" s="77" t="s">
        <v>755</v>
      </c>
      <c r="AA114" s="77"/>
      <c r="AB114" s="77"/>
      <c r="AC114" s="81" t="s">
        <v>853</v>
      </c>
      <c r="AD114" s="77" t="s">
        <v>862</v>
      </c>
      <c r="AE114" s="83" t="str">
        <f>HYPERLINK("https://twitter.com/charpy73/status/1689554615862255616")</f>
        <v>https://twitter.com/charpy73/status/1689554615862255616</v>
      </c>
      <c r="AF114" s="79">
        <v>45148.353993055556</v>
      </c>
      <c r="AG114" s="85">
        <v>45148</v>
      </c>
      <c r="AH114" s="81" t="s">
        <v>881</v>
      </c>
      <c r="AI114" s="77" t="b">
        <v>0</v>
      </c>
      <c r="AJ114" s="77"/>
      <c r="AK114" s="77"/>
      <c r="AL114" s="77"/>
      <c r="AM114" s="77"/>
      <c r="AN114" s="77"/>
      <c r="AO114" s="77"/>
      <c r="AP114" s="77"/>
      <c r="AQ114" s="77"/>
      <c r="AR114" s="77"/>
      <c r="AS114" s="77"/>
      <c r="AT114" s="77"/>
      <c r="AU114" s="77"/>
      <c r="AV114" s="83" t="str">
        <f>HYPERLINK("https://pbs.twimg.com/profile_images/1310352185679654912/xskSwHii_normal.jpg")</f>
        <v>https://pbs.twimg.com/profile_images/1310352185679654912/xskSwHii_normal.jpg</v>
      </c>
      <c r="AW114" s="81" t="s">
        <v>1036</v>
      </c>
      <c r="AX114" s="81" t="s">
        <v>1153</v>
      </c>
      <c r="AY114" s="81" t="s">
        <v>1173</v>
      </c>
      <c r="AZ114" s="81" t="s">
        <v>1037</v>
      </c>
      <c r="BA114" s="81" t="s">
        <v>1039</v>
      </c>
      <c r="BB114" s="81" t="s">
        <v>1190</v>
      </c>
      <c r="BC114" s="81" t="s">
        <v>1037</v>
      </c>
      <c r="BD114" s="81" t="s">
        <v>1173</v>
      </c>
      <c r="BE114" s="77"/>
      <c r="BF114" s="77"/>
      <c r="BG114" s="77"/>
      <c r="BH114" s="77"/>
      <c r="BI114" s="77"/>
      <c r="BJ114">
        <v>5</v>
      </c>
      <c r="BK114" s="76" t="str">
        <f>REPLACE(INDEX(GroupVertices[Group],MATCH(Edges[[#This Row],[Vertex 1]],GroupVertices[Vertex],0)),1,1,"")</f>
        <v>4</v>
      </c>
      <c r="BL114" s="76" t="str">
        <f>REPLACE(INDEX(GroupVertices[Group],MATCH(Edges[[#This Row],[Vertex 2]],GroupVertices[Vertex],0)),1,1,"")</f>
        <v>4</v>
      </c>
      <c r="BM114" s="45"/>
      <c r="BN114" s="46"/>
      <c r="BO114" s="45"/>
      <c r="BP114" s="46"/>
      <c r="BQ114" s="45"/>
      <c r="BR114" s="46"/>
      <c r="BS114" s="45"/>
      <c r="BT114" s="46"/>
      <c r="BU114" s="45"/>
    </row>
    <row r="115" spans="1:73" ht="15">
      <c r="A115" s="61" t="s">
        <v>227</v>
      </c>
      <c r="B115" s="61" t="s">
        <v>300</v>
      </c>
      <c r="C115" s="62" t="s">
        <v>11696</v>
      </c>
      <c r="D115" s="63">
        <v>8.6</v>
      </c>
      <c r="E115" s="64" t="s">
        <v>136</v>
      </c>
      <c r="F115" s="65">
        <v>14.399999999999999</v>
      </c>
      <c r="G115" s="62"/>
      <c r="H115" s="66"/>
      <c r="I115" s="67"/>
      <c r="J115" s="67"/>
      <c r="K115" s="31" t="s">
        <v>65</v>
      </c>
      <c r="L115" s="75">
        <v>115</v>
      </c>
      <c r="M115" s="75"/>
      <c r="N115" s="69"/>
      <c r="O115" s="77" t="s">
        <v>541</v>
      </c>
      <c r="P115" s="79">
        <v>45116.12596064815</v>
      </c>
      <c r="Q115" s="77" t="s">
        <v>550</v>
      </c>
      <c r="R115" s="77">
        <v>2</v>
      </c>
      <c r="S115" s="77">
        <v>0</v>
      </c>
      <c r="T115" s="77">
        <v>3</v>
      </c>
      <c r="U115" s="77">
        <v>1</v>
      </c>
      <c r="V115" s="77">
        <v>1223</v>
      </c>
      <c r="W115" s="81" t="s">
        <v>669</v>
      </c>
      <c r="X115" s="77" t="s">
        <v>728</v>
      </c>
      <c r="Y115" s="77" t="s">
        <v>734</v>
      </c>
      <c r="Z115" s="77" t="s">
        <v>751</v>
      </c>
      <c r="AA115" s="77" t="s">
        <v>823</v>
      </c>
      <c r="AB115" s="77" t="s">
        <v>848</v>
      </c>
      <c r="AC115" s="81" t="s">
        <v>853</v>
      </c>
      <c r="AD115" s="77" t="s">
        <v>859</v>
      </c>
      <c r="AE115" s="83" t="str">
        <f>HYPERLINK("https://twitter.com/charpy73/status/1677875566521864193")</f>
        <v>https://twitter.com/charpy73/status/1677875566521864193</v>
      </c>
      <c r="AF115" s="79">
        <v>45116.12596064815</v>
      </c>
      <c r="AG115" s="85">
        <v>45116</v>
      </c>
      <c r="AH115" s="81" t="s">
        <v>877</v>
      </c>
      <c r="AI115" s="77" t="b">
        <v>0</v>
      </c>
      <c r="AJ115" s="77"/>
      <c r="AK115" s="77"/>
      <c r="AL115" s="77"/>
      <c r="AM115" s="77"/>
      <c r="AN115" s="77"/>
      <c r="AO115" s="77"/>
      <c r="AP115" s="77"/>
      <c r="AQ115" s="77" t="s">
        <v>1002</v>
      </c>
      <c r="AR115" s="77"/>
      <c r="AS115" s="77"/>
      <c r="AT115" s="77"/>
      <c r="AU115" s="77"/>
      <c r="AV115" s="83" t="str">
        <f>HYPERLINK("https://pbs.twimg.com/media/F0kBquSXgAATesr.png")</f>
        <v>https://pbs.twimg.com/media/F0kBquSXgAATesr.png</v>
      </c>
      <c r="AW115" s="81" t="s">
        <v>1032</v>
      </c>
      <c r="AX115" s="81" t="s">
        <v>1152</v>
      </c>
      <c r="AY115" s="81" t="s">
        <v>1172</v>
      </c>
      <c r="AZ115" s="81" t="s">
        <v>1152</v>
      </c>
      <c r="BA115" s="81" t="s">
        <v>1200</v>
      </c>
      <c r="BB115" s="81" t="s">
        <v>1190</v>
      </c>
      <c r="BC115" s="81" t="s">
        <v>1152</v>
      </c>
      <c r="BD115" s="81" t="s">
        <v>1173</v>
      </c>
      <c r="BE115" s="77"/>
      <c r="BF115" s="77"/>
      <c r="BG115" s="77"/>
      <c r="BH115" s="77"/>
      <c r="BI115" s="77"/>
      <c r="BJ115">
        <v>5</v>
      </c>
      <c r="BK115" s="76" t="str">
        <f>REPLACE(INDEX(GroupVertices[Group],MATCH(Edges[[#This Row],[Vertex 1]],GroupVertices[Vertex],0)),1,1,"")</f>
        <v>4</v>
      </c>
      <c r="BL115" s="76" t="str">
        <f>REPLACE(INDEX(GroupVertices[Group],MATCH(Edges[[#This Row],[Vertex 2]],GroupVertices[Vertex],0)),1,1,"")</f>
        <v>4</v>
      </c>
      <c r="BM115" s="45"/>
      <c r="BN115" s="46"/>
      <c r="BO115" s="45"/>
      <c r="BP115" s="46"/>
      <c r="BQ115" s="45"/>
      <c r="BR115" s="46"/>
      <c r="BS115" s="45"/>
      <c r="BT115" s="46"/>
      <c r="BU115" s="45"/>
    </row>
    <row r="116" spans="1:73" ht="15">
      <c r="A116" s="61" t="s">
        <v>227</v>
      </c>
      <c r="B116" s="61" t="s">
        <v>300</v>
      </c>
      <c r="C116" s="62" t="s">
        <v>11692</v>
      </c>
      <c r="D116" s="63">
        <v>3</v>
      </c>
      <c r="E116" s="64" t="s">
        <v>132</v>
      </c>
      <c r="F116" s="65">
        <v>32</v>
      </c>
      <c r="G116" s="62"/>
      <c r="H116" s="66"/>
      <c r="I116" s="67"/>
      <c r="J116" s="67"/>
      <c r="K116" s="31" t="s">
        <v>65</v>
      </c>
      <c r="L116" s="75">
        <v>116</v>
      </c>
      <c r="M116" s="75"/>
      <c r="N116" s="69"/>
      <c r="O116" s="77" t="s">
        <v>540</v>
      </c>
      <c r="P116" s="79">
        <v>45116.12596064815</v>
      </c>
      <c r="Q116" s="77" t="s">
        <v>550</v>
      </c>
      <c r="R116" s="77">
        <v>2</v>
      </c>
      <c r="S116" s="77">
        <v>0</v>
      </c>
      <c r="T116" s="77">
        <v>3</v>
      </c>
      <c r="U116" s="77">
        <v>1</v>
      </c>
      <c r="V116" s="77">
        <v>1223</v>
      </c>
      <c r="W116" s="81" t="s">
        <v>669</v>
      </c>
      <c r="X116" s="77" t="s">
        <v>728</v>
      </c>
      <c r="Y116" s="77" t="s">
        <v>734</v>
      </c>
      <c r="Z116" s="77" t="s">
        <v>751</v>
      </c>
      <c r="AA116" s="77" t="s">
        <v>823</v>
      </c>
      <c r="AB116" s="77" t="s">
        <v>848</v>
      </c>
      <c r="AC116" s="81" t="s">
        <v>853</v>
      </c>
      <c r="AD116" s="77" t="s">
        <v>859</v>
      </c>
      <c r="AE116" s="83" t="str">
        <f>HYPERLINK("https://twitter.com/charpy73/status/1677875566521864193")</f>
        <v>https://twitter.com/charpy73/status/1677875566521864193</v>
      </c>
      <c r="AF116" s="79">
        <v>45116.12596064815</v>
      </c>
      <c r="AG116" s="85">
        <v>45116</v>
      </c>
      <c r="AH116" s="81" t="s">
        <v>877</v>
      </c>
      <c r="AI116" s="77" t="b">
        <v>0</v>
      </c>
      <c r="AJ116" s="77"/>
      <c r="AK116" s="77"/>
      <c r="AL116" s="77"/>
      <c r="AM116" s="77"/>
      <c r="AN116" s="77"/>
      <c r="AO116" s="77"/>
      <c r="AP116" s="77"/>
      <c r="AQ116" s="77" t="s">
        <v>1002</v>
      </c>
      <c r="AR116" s="77"/>
      <c r="AS116" s="77"/>
      <c r="AT116" s="77"/>
      <c r="AU116" s="77"/>
      <c r="AV116" s="83" t="str">
        <f>HYPERLINK("https://pbs.twimg.com/media/F0kBquSXgAATesr.png")</f>
        <v>https://pbs.twimg.com/media/F0kBquSXgAATesr.png</v>
      </c>
      <c r="AW116" s="81" t="s">
        <v>1032</v>
      </c>
      <c r="AX116" s="81" t="s">
        <v>1152</v>
      </c>
      <c r="AY116" s="81" t="s">
        <v>1172</v>
      </c>
      <c r="AZ116" s="81" t="s">
        <v>1152</v>
      </c>
      <c r="BA116" s="81" t="s">
        <v>1200</v>
      </c>
      <c r="BB116" s="81" t="s">
        <v>1190</v>
      </c>
      <c r="BC116" s="81" t="s">
        <v>1152</v>
      </c>
      <c r="BD116" s="81" t="s">
        <v>1173</v>
      </c>
      <c r="BE116" s="77"/>
      <c r="BF116" s="77"/>
      <c r="BG116" s="77"/>
      <c r="BH116" s="77"/>
      <c r="BI116" s="77"/>
      <c r="BJ116">
        <v>1</v>
      </c>
      <c r="BK116" s="76" t="str">
        <f>REPLACE(INDEX(GroupVertices[Group],MATCH(Edges[[#This Row],[Vertex 1]],GroupVertices[Vertex],0)),1,1,"")</f>
        <v>4</v>
      </c>
      <c r="BL116" s="76" t="str">
        <f>REPLACE(INDEX(GroupVertices[Group],MATCH(Edges[[#This Row],[Vertex 2]],GroupVertices[Vertex],0)),1,1,"")</f>
        <v>4</v>
      </c>
      <c r="BM116" s="45">
        <v>0</v>
      </c>
      <c r="BN116" s="46">
        <v>0</v>
      </c>
      <c r="BO116" s="45">
        <v>2</v>
      </c>
      <c r="BP116" s="46">
        <v>7.6923076923076925</v>
      </c>
      <c r="BQ116" s="45">
        <v>0</v>
      </c>
      <c r="BR116" s="46">
        <v>0</v>
      </c>
      <c r="BS116" s="45">
        <v>19</v>
      </c>
      <c r="BT116" s="46">
        <v>73.07692307692308</v>
      </c>
      <c r="BU116" s="45">
        <v>26</v>
      </c>
    </row>
    <row r="117" spans="1:73" ht="15">
      <c r="A117" s="61" t="s">
        <v>227</v>
      </c>
      <c r="B117" s="61" t="s">
        <v>300</v>
      </c>
      <c r="C117" s="62" t="s">
        <v>11696</v>
      </c>
      <c r="D117" s="63">
        <v>8.6</v>
      </c>
      <c r="E117" s="64" t="s">
        <v>136</v>
      </c>
      <c r="F117" s="65">
        <v>14.399999999999999</v>
      </c>
      <c r="G117" s="62"/>
      <c r="H117" s="66"/>
      <c r="I117" s="67"/>
      <c r="J117" s="67"/>
      <c r="K117" s="31" t="s">
        <v>65</v>
      </c>
      <c r="L117" s="75">
        <v>117</v>
      </c>
      <c r="M117" s="75"/>
      <c r="N117" s="69"/>
      <c r="O117" s="77" t="s">
        <v>541</v>
      </c>
      <c r="P117" s="79">
        <v>45148.353738425925</v>
      </c>
      <c r="Q117" s="77" t="s">
        <v>555</v>
      </c>
      <c r="R117" s="77">
        <v>0</v>
      </c>
      <c r="S117" s="77">
        <v>0</v>
      </c>
      <c r="T117" s="77">
        <v>1</v>
      </c>
      <c r="U117" s="77">
        <v>0</v>
      </c>
      <c r="V117" s="77">
        <v>17</v>
      </c>
      <c r="W117" s="77"/>
      <c r="X117" s="83" t="str">
        <f>HYPERLINK("https://twitter.com/Charpy73/status/1677875566521864193?s=20")</f>
        <v>https://twitter.com/Charpy73/status/1677875566521864193?s=20</v>
      </c>
      <c r="Y117" s="77" t="s">
        <v>733</v>
      </c>
      <c r="Z117" s="77" t="s">
        <v>755</v>
      </c>
      <c r="AA117" s="77"/>
      <c r="AB117" s="77"/>
      <c r="AC117" s="81" t="s">
        <v>853</v>
      </c>
      <c r="AD117" s="77" t="s">
        <v>862</v>
      </c>
      <c r="AE117" s="83" t="str">
        <f>HYPERLINK("https://twitter.com/charpy73/status/1689554525403643904")</f>
        <v>https://twitter.com/charpy73/status/1689554525403643904</v>
      </c>
      <c r="AF117" s="79">
        <v>45148.353738425925</v>
      </c>
      <c r="AG117" s="85">
        <v>45148</v>
      </c>
      <c r="AH117" s="81" t="s">
        <v>882</v>
      </c>
      <c r="AI117" s="77" t="b">
        <v>0</v>
      </c>
      <c r="AJ117" s="77"/>
      <c r="AK117" s="77"/>
      <c r="AL117" s="77"/>
      <c r="AM117" s="77"/>
      <c r="AN117" s="77"/>
      <c r="AO117" s="77"/>
      <c r="AP117" s="77"/>
      <c r="AQ117" s="77"/>
      <c r="AR117" s="77"/>
      <c r="AS117" s="77"/>
      <c r="AT117" s="77"/>
      <c r="AU117" s="77"/>
      <c r="AV117" s="83" t="str">
        <f>HYPERLINK("https://pbs.twimg.com/profile_images/1310352185679654912/xskSwHii_normal.jpg")</f>
        <v>https://pbs.twimg.com/profile_images/1310352185679654912/xskSwHii_normal.jpg</v>
      </c>
      <c r="AW117" s="81" t="s">
        <v>1037</v>
      </c>
      <c r="AX117" s="81" t="s">
        <v>1153</v>
      </c>
      <c r="AY117" s="81" t="s">
        <v>1173</v>
      </c>
      <c r="AZ117" s="81" t="s">
        <v>1035</v>
      </c>
      <c r="BA117" s="81" t="s">
        <v>1032</v>
      </c>
      <c r="BB117" s="81" t="s">
        <v>1190</v>
      </c>
      <c r="BC117" s="81" t="s">
        <v>1035</v>
      </c>
      <c r="BD117" s="81" t="s">
        <v>1173</v>
      </c>
      <c r="BE117" s="77"/>
      <c r="BF117" s="77"/>
      <c r="BG117" s="77"/>
      <c r="BH117" s="77"/>
      <c r="BI117" s="77"/>
      <c r="BJ117">
        <v>5</v>
      </c>
      <c r="BK117" s="76" t="str">
        <f>REPLACE(INDEX(GroupVertices[Group],MATCH(Edges[[#This Row],[Vertex 1]],GroupVertices[Vertex],0)),1,1,"")</f>
        <v>4</v>
      </c>
      <c r="BL117" s="76" t="str">
        <f>REPLACE(INDEX(GroupVertices[Group],MATCH(Edges[[#This Row],[Vertex 2]],GroupVertices[Vertex],0)),1,1,"")</f>
        <v>4</v>
      </c>
      <c r="BM117" s="45"/>
      <c r="BN117" s="46"/>
      <c r="BO117" s="45"/>
      <c r="BP117" s="46"/>
      <c r="BQ117" s="45"/>
      <c r="BR117" s="46"/>
      <c r="BS117" s="45"/>
      <c r="BT117" s="46"/>
      <c r="BU117" s="45"/>
    </row>
    <row r="118" spans="1:73" ht="15">
      <c r="A118" s="61" t="s">
        <v>227</v>
      </c>
      <c r="B118" s="61" t="s">
        <v>300</v>
      </c>
      <c r="C118" s="62" t="s">
        <v>11696</v>
      </c>
      <c r="D118" s="63">
        <v>8.6</v>
      </c>
      <c r="E118" s="64" t="s">
        <v>136</v>
      </c>
      <c r="F118" s="65">
        <v>14.399999999999999</v>
      </c>
      <c r="G118" s="62"/>
      <c r="H118" s="66"/>
      <c r="I118" s="67"/>
      <c r="J118" s="67"/>
      <c r="K118" s="31" t="s">
        <v>65</v>
      </c>
      <c r="L118" s="75">
        <v>118</v>
      </c>
      <c r="M118" s="75"/>
      <c r="N118" s="69"/>
      <c r="O118" s="77" t="s">
        <v>541</v>
      </c>
      <c r="P118" s="79">
        <v>45148.36515046296</v>
      </c>
      <c r="Q118" s="77" t="s">
        <v>551</v>
      </c>
      <c r="R118" s="77">
        <v>0</v>
      </c>
      <c r="S118" s="77">
        <v>0</v>
      </c>
      <c r="T118" s="77">
        <v>0</v>
      </c>
      <c r="U118" s="77">
        <v>0</v>
      </c>
      <c r="V118" s="77">
        <v>44</v>
      </c>
      <c r="W118" s="77"/>
      <c r="X118" s="83" t="str">
        <f>HYPERLINK("https://twitter.com/Charpy73/status/1071073087528058880?s=20")</f>
        <v>https://twitter.com/Charpy73/status/1071073087528058880?s=20</v>
      </c>
      <c r="Y118" s="77" t="s">
        <v>733</v>
      </c>
      <c r="Z118" s="77" t="s">
        <v>752</v>
      </c>
      <c r="AA118" s="77"/>
      <c r="AB118" s="77"/>
      <c r="AC118" s="81" t="s">
        <v>853</v>
      </c>
      <c r="AD118" s="77" t="s">
        <v>859</v>
      </c>
      <c r="AE118" s="83" t="str">
        <f>HYPERLINK("https://twitter.com/charpy73/status/1689558661083934720")</f>
        <v>https://twitter.com/charpy73/status/1689558661083934720</v>
      </c>
      <c r="AF118" s="79">
        <v>45148.36515046296</v>
      </c>
      <c r="AG118" s="85">
        <v>45148</v>
      </c>
      <c r="AH118" s="81" t="s">
        <v>878</v>
      </c>
      <c r="AI118" s="77" t="b">
        <v>0</v>
      </c>
      <c r="AJ118" s="77"/>
      <c r="AK118" s="77"/>
      <c r="AL118" s="77"/>
      <c r="AM118" s="77"/>
      <c r="AN118" s="77"/>
      <c r="AO118" s="77"/>
      <c r="AP118" s="77"/>
      <c r="AQ118" s="77"/>
      <c r="AR118" s="77"/>
      <c r="AS118" s="77"/>
      <c r="AT118" s="77"/>
      <c r="AU118" s="77"/>
      <c r="AV118" s="83" t="str">
        <f>HYPERLINK("https://pbs.twimg.com/profile_images/1310352185679654912/xskSwHii_normal.jpg")</f>
        <v>https://pbs.twimg.com/profile_images/1310352185679654912/xskSwHii_normal.jpg</v>
      </c>
      <c r="AW118" s="81" t="s">
        <v>1033</v>
      </c>
      <c r="AX118" s="81" t="s">
        <v>1153</v>
      </c>
      <c r="AY118" s="81" t="s">
        <v>1173</v>
      </c>
      <c r="AZ118" s="81" t="s">
        <v>1034</v>
      </c>
      <c r="BA118" s="81" t="s">
        <v>1040</v>
      </c>
      <c r="BB118" s="81" t="s">
        <v>1190</v>
      </c>
      <c r="BC118" s="81" t="s">
        <v>1034</v>
      </c>
      <c r="BD118" s="81" t="s">
        <v>1173</v>
      </c>
      <c r="BE118" s="77"/>
      <c r="BF118" s="77"/>
      <c r="BG118" s="77"/>
      <c r="BH118" s="77"/>
      <c r="BI118" s="77"/>
      <c r="BJ118">
        <v>5</v>
      </c>
      <c r="BK118" s="76" t="str">
        <f>REPLACE(INDEX(GroupVertices[Group],MATCH(Edges[[#This Row],[Vertex 1]],GroupVertices[Vertex],0)),1,1,"")</f>
        <v>4</v>
      </c>
      <c r="BL118" s="76" t="str">
        <f>REPLACE(INDEX(GroupVertices[Group],MATCH(Edges[[#This Row],[Vertex 2]],GroupVertices[Vertex],0)),1,1,"")</f>
        <v>4</v>
      </c>
      <c r="BM118" s="45"/>
      <c r="BN118" s="46"/>
      <c r="BO118" s="45"/>
      <c r="BP118" s="46"/>
      <c r="BQ118" s="45"/>
      <c r="BR118" s="46"/>
      <c r="BS118" s="45"/>
      <c r="BT118" s="46"/>
      <c r="BU118" s="45"/>
    </row>
    <row r="119" spans="1:73" ht="15">
      <c r="A119" s="61" t="s">
        <v>227</v>
      </c>
      <c r="B119" s="61" t="s">
        <v>300</v>
      </c>
      <c r="C119" s="62" t="s">
        <v>11696</v>
      </c>
      <c r="D119" s="63">
        <v>8.6</v>
      </c>
      <c r="E119" s="64" t="s">
        <v>136</v>
      </c>
      <c r="F119" s="65">
        <v>14.399999999999999</v>
      </c>
      <c r="G119" s="62"/>
      <c r="H119" s="66"/>
      <c r="I119" s="67"/>
      <c r="J119" s="67"/>
      <c r="K119" s="31" t="s">
        <v>65</v>
      </c>
      <c r="L119" s="75">
        <v>119</v>
      </c>
      <c r="M119" s="75"/>
      <c r="N119" s="69"/>
      <c r="O119" s="77" t="s">
        <v>541</v>
      </c>
      <c r="P119" s="79">
        <v>45148.35780092593</v>
      </c>
      <c r="Q119" s="77" t="s">
        <v>552</v>
      </c>
      <c r="R119" s="77">
        <v>0</v>
      </c>
      <c r="S119" s="77">
        <v>0</v>
      </c>
      <c r="T119" s="77">
        <v>1</v>
      </c>
      <c r="U119" s="77">
        <v>0</v>
      </c>
      <c r="V119" s="77">
        <v>80</v>
      </c>
      <c r="W119" s="81" t="s">
        <v>670</v>
      </c>
      <c r="X119" s="77" t="s">
        <v>729</v>
      </c>
      <c r="Y119" s="77" t="s">
        <v>735</v>
      </c>
      <c r="Z119" s="77" t="s">
        <v>753</v>
      </c>
      <c r="AA119" s="77"/>
      <c r="AB119" s="77"/>
      <c r="AC119" s="81" t="s">
        <v>853</v>
      </c>
      <c r="AD119" s="77" t="s">
        <v>859</v>
      </c>
      <c r="AE119" s="83" t="str">
        <f>HYPERLINK("https://twitter.com/charpy73/status/1689555994278330368")</f>
        <v>https://twitter.com/charpy73/status/1689555994278330368</v>
      </c>
      <c r="AF119" s="79">
        <v>45148.35780092593</v>
      </c>
      <c r="AG119" s="85">
        <v>45148</v>
      </c>
      <c r="AH119" s="81" t="s">
        <v>879</v>
      </c>
      <c r="AI119" s="77" t="b">
        <v>0</v>
      </c>
      <c r="AJ119" s="77"/>
      <c r="AK119" s="77"/>
      <c r="AL119" s="77"/>
      <c r="AM119" s="77"/>
      <c r="AN119" s="77"/>
      <c r="AO119" s="77"/>
      <c r="AP119" s="77"/>
      <c r="AQ119" s="77"/>
      <c r="AR119" s="77"/>
      <c r="AS119" s="77"/>
      <c r="AT119" s="77"/>
      <c r="AU119" s="77"/>
      <c r="AV119" s="83" t="str">
        <f>HYPERLINK("https://pbs.twimg.com/profile_images/1310352185679654912/xskSwHii_normal.jpg")</f>
        <v>https://pbs.twimg.com/profile_images/1310352185679654912/xskSwHii_normal.jpg</v>
      </c>
      <c r="AW119" s="81" t="s">
        <v>1034</v>
      </c>
      <c r="AX119" s="81" t="s">
        <v>1153</v>
      </c>
      <c r="AY119" s="81" t="s">
        <v>1173</v>
      </c>
      <c r="AZ119" s="81" t="s">
        <v>1036</v>
      </c>
      <c r="BA119" s="81" t="s">
        <v>1041</v>
      </c>
      <c r="BB119" s="81" t="s">
        <v>1190</v>
      </c>
      <c r="BC119" s="81" t="s">
        <v>1036</v>
      </c>
      <c r="BD119" s="81" t="s">
        <v>1173</v>
      </c>
      <c r="BE119" s="77"/>
      <c r="BF119" s="77"/>
      <c r="BG119" s="77"/>
      <c r="BH119" s="77"/>
      <c r="BI119" s="77"/>
      <c r="BJ119">
        <v>5</v>
      </c>
      <c r="BK119" s="76" t="str">
        <f>REPLACE(INDEX(GroupVertices[Group],MATCH(Edges[[#This Row],[Vertex 1]],GroupVertices[Vertex],0)),1,1,"")</f>
        <v>4</v>
      </c>
      <c r="BL119" s="76" t="str">
        <f>REPLACE(INDEX(GroupVertices[Group],MATCH(Edges[[#This Row],[Vertex 2]],GroupVertices[Vertex],0)),1,1,"")</f>
        <v>4</v>
      </c>
      <c r="BM119" s="45"/>
      <c r="BN119" s="46"/>
      <c r="BO119" s="45"/>
      <c r="BP119" s="46"/>
      <c r="BQ119" s="45"/>
      <c r="BR119" s="46"/>
      <c r="BS119" s="45"/>
      <c r="BT119" s="46"/>
      <c r="BU119" s="45"/>
    </row>
    <row r="120" spans="1:73" ht="15">
      <c r="A120" s="61" t="s">
        <v>227</v>
      </c>
      <c r="B120" s="61" t="s">
        <v>301</v>
      </c>
      <c r="C120" s="62" t="s">
        <v>11693</v>
      </c>
      <c r="D120" s="63">
        <v>4.4</v>
      </c>
      <c r="E120" s="64" t="s">
        <v>132</v>
      </c>
      <c r="F120" s="65">
        <v>27.6</v>
      </c>
      <c r="G120" s="62"/>
      <c r="H120" s="66"/>
      <c r="I120" s="67"/>
      <c r="J120" s="67"/>
      <c r="K120" s="31" t="s">
        <v>65</v>
      </c>
      <c r="L120" s="75">
        <v>120</v>
      </c>
      <c r="M120" s="75"/>
      <c r="N120" s="69"/>
      <c r="O120" s="77" t="s">
        <v>543</v>
      </c>
      <c r="P120" s="79">
        <v>45148.35189814815</v>
      </c>
      <c r="Q120" s="77" t="s">
        <v>553</v>
      </c>
      <c r="R120" s="77">
        <v>0</v>
      </c>
      <c r="S120" s="77">
        <v>0</v>
      </c>
      <c r="T120" s="77">
        <v>1</v>
      </c>
      <c r="U120" s="77">
        <v>0</v>
      </c>
      <c r="V120" s="77">
        <v>17</v>
      </c>
      <c r="W120" s="77"/>
      <c r="X120" s="83" t="str">
        <f>HYPERLINK("https://www.nodexlgraphgallery.org/Pages/Graph.aspx?graphID=254623")</f>
        <v>https://www.nodexlgraphgallery.org/Pages/Graph.aspx?graphID=254623</v>
      </c>
      <c r="Y120" s="77" t="s">
        <v>732</v>
      </c>
      <c r="Z120" s="77" t="s">
        <v>754</v>
      </c>
      <c r="AA120" s="77"/>
      <c r="AB120" s="77"/>
      <c r="AC120" s="81" t="s">
        <v>853</v>
      </c>
      <c r="AD120" s="77" t="s">
        <v>862</v>
      </c>
      <c r="AE120" s="83" t="str">
        <f>HYPERLINK("https://twitter.com/charpy73/status/1689553858408693762")</f>
        <v>https://twitter.com/charpy73/status/1689553858408693762</v>
      </c>
      <c r="AF120" s="79">
        <v>45148.35189814815</v>
      </c>
      <c r="AG120" s="85">
        <v>45148</v>
      </c>
      <c r="AH120" s="81" t="s">
        <v>880</v>
      </c>
      <c r="AI120" s="77" t="b">
        <v>0</v>
      </c>
      <c r="AJ120" s="77"/>
      <c r="AK120" s="77"/>
      <c r="AL120" s="77"/>
      <c r="AM120" s="77"/>
      <c r="AN120" s="77"/>
      <c r="AO120" s="77"/>
      <c r="AP120" s="77"/>
      <c r="AQ120" s="77"/>
      <c r="AR120" s="77"/>
      <c r="AS120" s="77"/>
      <c r="AT120" s="77"/>
      <c r="AU120" s="77"/>
      <c r="AV120" s="83" t="str">
        <f>HYPERLINK("https://pbs.twimg.com/profile_images/1310352185679654912/xskSwHii_normal.jpg")</f>
        <v>https://pbs.twimg.com/profile_images/1310352185679654912/xskSwHii_normal.jpg</v>
      </c>
      <c r="AW120" s="81" t="s">
        <v>1035</v>
      </c>
      <c r="AX120" s="81" t="s">
        <v>1153</v>
      </c>
      <c r="AY120" s="81" t="s">
        <v>1173</v>
      </c>
      <c r="AZ120" s="81" t="s">
        <v>1038</v>
      </c>
      <c r="BA120" s="81" t="s">
        <v>1190</v>
      </c>
      <c r="BB120" s="81" t="s">
        <v>1190</v>
      </c>
      <c r="BC120" s="81" t="s">
        <v>1038</v>
      </c>
      <c r="BD120" s="81" t="s">
        <v>1173</v>
      </c>
      <c r="BE120" s="77"/>
      <c r="BF120" s="77"/>
      <c r="BG120" s="77"/>
      <c r="BH120" s="77"/>
      <c r="BI120" s="77"/>
      <c r="BJ120">
        <v>2</v>
      </c>
      <c r="BK120" s="76" t="str">
        <f>REPLACE(INDEX(GroupVertices[Group],MATCH(Edges[[#This Row],[Vertex 1]],GroupVertices[Vertex],0)),1,1,"")</f>
        <v>4</v>
      </c>
      <c r="BL120" s="76" t="str">
        <f>REPLACE(INDEX(GroupVertices[Group],MATCH(Edges[[#This Row],[Vertex 2]],GroupVertices[Vertex],0)),1,1,"")</f>
        <v>4</v>
      </c>
      <c r="BM120" s="45"/>
      <c r="BN120" s="46"/>
      <c r="BO120" s="45"/>
      <c r="BP120" s="46"/>
      <c r="BQ120" s="45"/>
      <c r="BR120" s="46"/>
      <c r="BS120" s="45"/>
      <c r="BT120" s="46"/>
      <c r="BU120" s="45"/>
    </row>
    <row r="121" spans="1:73" ht="15">
      <c r="A121" s="61" t="s">
        <v>227</v>
      </c>
      <c r="B121" s="61" t="s">
        <v>301</v>
      </c>
      <c r="C121" s="62" t="s">
        <v>11693</v>
      </c>
      <c r="D121" s="63">
        <v>4.4</v>
      </c>
      <c r="E121" s="64" t="s">
        <v>132</v>
      </c>
      <c r="F121" s="65">
        <v>27.6</v>
      </c>
      <c r="G121" s="62"/>
      <c r="H121" s="66"/>
      <c r="I121" s="67"/>
      <c r="J121" s="67"/>
      <c r="K121" s="31" t="s">
        <v>65</v>
      </c>
      <c r="L121" s="75">
        <v>121</v>
      </c>
      <c r="M121" s="75"/>
      <c r="N121" s="69"/>
      <c r="O121" s="77" t="s">
        <v>543</v>
      </c>
      <c r="P121" s="79">
        <v>45148.30626157407</v>
      </c>
      <c r="Q121" s="77" t="s">
        <v>556</v>
      </c>
      <c r="R121" s="77">
        <v>1</v>
      </c>
      <c r="S121" s="77">
        <v>0</v>
      </c>
      <c r="T121" s="77">
        <v>1</v>
      </c>
      <c r="U121" s="77">
        <v>0</v>
      </c>
      <c r="V121" s="77">
        <v>30</v>
      </c>
      <c r="W121" s="77"/>
      <c r="X121" s="77" t="s">
        <v>730</v>
      </c>
      <c r="Y121" s="77" t="s">
        <v>736</v>
      </c>
      <c r="Z121" s="77" t="s">
        <v>756</v>
      </c>
      <c r="AA121" s="77"/>
      <c r="AB121" s="77"/>
      <c r="AC121" s="81" t="s">
        <v>853</v>
      </c>
      <c r="AD121" s="77" t="s">
        <v>863</v>
      </c>
      <c r="AE121" s="83" t="str">
        <f>HYPERLINK("https://twitter.com/charpy73/status/1689537316866383872")</f>
        <v>https://twitter.com/charpy73/status/1689537316866383872</v>
      </c>
      <c r="AF121" s="79">
        <v>45148.30626157407</v>
      </c>
      <c r="AG121" s="85">
        <v>45148</v>
      </c>
      <c r="AH121" s="81" t="s">
        <v>883</v>
      </c>
      <c r="AI121" s="77" t="b">
        <v>0</v>
      </c>
      <c r="AJ121" s="77"/>
      <c r="AK121" s="77"/>
      <c r="AL121" s="77"/>
      <c r="AM121" s="77"/>
      <c r="AN121" s="77"/>
      <c r="AO121" s="77"/>
      <c r="AP121" s="77"/>
      <c r="AQ121" s="77"/>
      <c r="AR121" s="77"/>
      <c r="AS121" s="77"/>
      <c r="AT121" s="77"/>
      <c r="AU121" s="77"/>
      <c r="AV121" s="83" t="str">
        <f>HYPERLINK("https://pbs.twimg.com/profile_images/1310352185679654912/xskSwHii_normal.jpg")</f>
        <v>https://pbs.twimg.com/profile_images/1310352185679654912/xskSwHii_normal.jpg</v>
      </c>
      <c r="AW121" s="81" t="s">
        <v>1038</v>
      </c>
      <c r="AX121" s="81" t="s">
        <v>1153</v>
      </c>
      <c r="AY121" s="81" t="s">
        <v>1173</v>
      </c>
      <c r="AZ121" s="81" t="s">
        <v>1191</v>
      </c>
      <c r="BA121" s="81" t="s">
        <v>1190</v>
      </c>
      <c r="BB121" s="81" t="s">
        <v>1190</v>
      </c>
      <c r="BC121" s="81" t="s">
        <v>1191</v>
      </c>
      <c r="BD121" s="81" t="s">
        <v>1173</v>
      </c>
      <c r="BE121" s="77"/>
      <c r="BF121" s="77"/>
      <c r="BG121" s="77"/>
      <c r="BH121" s="77"/>
      <c r="BI121" s="77"/>
      <c r="BJ121">
        <v>2</v>
      </c>
      <c r="BK121" s="76" t="str">
        <f>REPLACE(INDEX(GroupVertices[Group],MATCH(Edges[[#This Row],[Vertex 1]],GroupVertices[Vertex],0)),1,1,"")</f>
        <v>4</v>
      </c>
      <c r="BL121" s="76" t="str">
        <f>REPLACE(INDEX(GroupVertices[Group],MATCH(Edges[[#This Row],[Vertex 2]],GroupVertices[Vertex],0)),1,1,"")</f>
        <v>4</v>
      </c>
      <c r="BM121" s="45"/>
      <c r="BN121" s="46"/>
      <c r="BO121" s="45"/>
      <c r="BP121" s="46"/>
      <c r="BQ121" s="45"/>
      <c r="BR121" s="46"/>
      <c r="BS121" s="45"/>
      <c r="BT121" s="46"/>
      <c r="BU121" s="45"/>
    </row>
    <row r="122" spans="1:73" ht="15">
      <c r="A122" s="61" t="s">
        <v>227</v>
      </c>
      <c r="B122" s="61" t="s">
        <v>301</v>
      </c>
      <c r="C122" s="62" t="s">
        <v>11695</v>
      </c>
      <c r="D122" s="63">
        <v>7.2</v>
      </c>
      <c r="E122" s="64" t="s">
        <v>132</v>
      </c>
      <c r="F122" s="65">
        <v>18.8</v>
      </c>
      <c r="G122" s="62"/>
      <c r="H122" s="66"/>
      <c r="I122" s="67"/>
      <c r="J122" s="67"/>
      <c r="K122" s="31" t="s">
        <v>65</v>
      </c>
      <c r="L122" s="75">
        <v>122</v>
      </c>
      <c r="M122" s="75"/>
      <c r="N122" s="69"/>
      <c r="O122" s="77" t="s">
        <v>541</v>
      </c>
      <c r="P122" s="79">
        <v>45148.353993055556</v>
      </c>
      <c r="Q122" s="77" t="s">
        <v>554</v>
      </c>
      <c r="R122" s="77">
        <v>0</v>
      </c>
      <c r="S122" s="77">
        <v>0</v>
      </c>
      <c r="T122" s="77">
        <v>1</v>
      </c>
      <c r="U122" s="77">
        <v>0</v>
      </c>
      <c r="V122" s="77">
        <v>21</v>
      </c>
      <c r="W122" s="77"/>
      <c r="X122" s="83" t="str">
        <f>HYPERLINK("https://twitter.com/Charpy73/status/1081734473513869312?s=20")</f>
        <v>https://twitter.com/Charpy73/status/1081734473513869312?s=20</v>
      </c>
      <c r="Y122" s="77" t="s">
        <v>733</v>
      </c>
      <c r="Z122" s="77" t="s">
        <v>755</v>
      </c>
      <c r="AA122" s="77"/>
      <c r="AB122" s="77"/>
      <c r="AC122" s="81" t="s">
        <v>853</v>
      </c>
      <c r="AD122" s="77" t="s">
        <v>862</v>
      </c>
      <c r="AE122" s="83" t="str">
        <f>HYPERLINK("https://twitter.com/charpy73/status/1689554615862255616")</f>
        <v>https://twitter.com/charpy73/status/1689554615862255616</v>
      </c>
      <c r="AF122" s="79">
        <v>45148.353993055556</v>
      </c>
      <c r="AG122" s="85">
        <v>45148</v>
      </c>
      <c r="AH122" s="81" t="s">
        <v>881</v>
      </c>
      <c r="AI122" s="77" t="b">
        <v>0</v>
      </c>
      <c r="AJ122" s="77"/>
      <c r="AK122" s="77"/>
      <c r="AL122" s="77"/>
      <c r="AM122" s="77"/>
      <c r="AN122" s="77"/>
      <c r="AO122" s="77"/>
      <c r="AP122" s="77"/>
      <c r="AQ122" s="77"/>
      <c r="AR122" s="77"/>
      <c r="AS122" s="77"/>
      <c r="AT122" s="77"/>
      <c r="AU122" s="77"/>
      <c r="AV122" s="83" t="str">
        <f>HYPERLINK("https://pbs.twimg.com/profile_images/1310352185679654912/xskSwHii_normal.jpg")</f>
        <v>https://pbs.twimg.com/profile_images/1310352185679654912/xskSwHii_normal.jpg</v>
      </c>
      <c r="AW122" s="81" t="s">
        <v>1036</v>
      </c>
      <c r="AX122" s="81" t="s">
        <v>1153</v>
      </c>
      <c r="AY122" s="81" t="s">
        <v>1173</v>
      </c>
      <c r="AZ122" s="81" t="s">
        <v>1037</v>
      </c>
      <c r="BA122" s="81" t="s">
        <v>1039</v>
      </c>
      <c r="BB122" s="81" t="s">
        <v>1190</v>
      </c>
      <c r="BC122" s="81" t="s">
        <v>1037</v>
      </c>
      <c r="BD122" s="81" t="s">
        <v>1173</v>
      </c>
      <c r="BE122" s="77"/>
      <c r="BF122" s="77"/>
      <c r="BG122" s="77"/>
      <c r="BH122" s="77"/>
      <c r="BI122" s="77"/>
      <c r="BJ122">
        <v>4</v>
      </c>
      <c r="BK122" s="76" t="str">
        <f>REPLACE(INDEX(GroupVertices[Group],MATCH(Edges[[#This Row],[Vertex 1]],GroupVertices[Vertex],0)),1,1,"")</f>
        <v>4</v>
      </c>
      <c r="BL122" s="76" t="str">
        <f>REPLACE(INDEX(GroupVertices[Group],MATCH(Edges[[#This Row],[Vertex 2]],GroupVertices[Vertex],0)),1,1,"")</f>
        <v>4</v>
      </c>
      <c r="BM122" s="45"/>
      <c r="BN122" s="46"/>
      <c r="BO122" s="45"/>
      <c r="BP122" s="46"/>
      <c r="BQ122" s="45"/>
      <c r="BR122" s="46"/>
      <c r="BS122" s="45"/>
      <c r="BT122" s="46"/>
      <c r="BU122" s="45"/>
    </row>
    <row r="123" spans="1:73" ht="15">
      <c r="A123" s="61" t="s">
        <v>227</v>
      </c>
      <c r="B123" s="61" t="s">
        <v>301</v>
      </c>
      <c r="C123" s="62" t="s">
        <v>11695</v>
      </c>
      <c r="D123" s="63">
        <v>7.2</v>
      </c>
      <c r="E123" s="64" t="s">
        <v>132</v>
      </c>
      <c r="F123" s="65">
        <v>18.8</v>
      </c>
      <c r="G123" s="62"/>
      <c r="H123" s="66"/>
      <c r="I123" s="67"/>
      <c r="J123" s="67"/>
      <c r="K123" s="31" t="s">
        <v>65</v>
      </c>
      <c r="L123" s="75">
        <v>123</v>
      </c>
      <c r="M123" s="75"/>
      <c r="N123" s="69"/>
      <c r="O123" s="77" t="s">
        <v>541</v>
      </c>
      <c r="P123" s="79">
        <v>45148.353738425925</v>
      </c>
      <c r="Q123" s="77" t="s">
        <v>555</v>
      </c>
      <c r="R123" s="77">
        <v>0</v>
      </c>
      <c r="S123" s="77">
        <v>0</v>
      </c>
      <c r="T123" s="77">
        <v>1</v>
      </c>
      <c r="U123" s="77">
        <v>0</v>
      </c>
      <c r="V123" s="77">
        <v>17</v>
      </c>
      <c r="W123" s="77"/>
      <c r="X123" s="83" t="str">
        <f>HYPERLINK("https://twitter.com/Charpy73/status/1677875566521864193?s=20")</f>
        <v>https://twitter.com/Charpy73/status/1677875566521864193?s=20</v>
      </c>
      <c r="Y123" s="77" t="s">
        <v>733</v>
      </c>
      <c r="Z123" s="77" t="s">
        <v>755</v>
      </c>
      <c r="AA123" s="77"/>
      <c r="AB123" s="77"/>
      <c r="AC123" s="81" t="s">
        <v>853</v>
      </c>
      <c r="AD123" s="77" t="s">
        <v>862</v>
      </c>
      <c r="AE123" s="83" t="str">
        <f>HYPERLINK("https://twitter.com/charpy73/status/1689554525403643904")</f>
        <v>https://twitter.com/charpy73/status/1689554525403643904</v>
      </c>
      <c r="AF123" s="79">
        <v>45148.353738425925</v>
      </c>
      <c r="AG123" s="85">
        <v>45148</v>
      </c>
      <c r="AH123" s="81" t="s">
        <v>882</v>
      </c>
      <c r="AI123" s="77" t="b">
        <v>0</v>
      </c>
      <c r="AJ123" s="77"/>
      <c r="AK123" s="77"/>
      <c r="AL123" s="77"/>
      <c r="AM123" s="77"/>
      <c r="AN123" s="77"/>
      <c r="AO123" s="77"/>
      <c r="AP123" s="77"/>
      <c r="AQ123" s="77"/>
      <c r="AR123" s="77"/>
      <c r="AS123" s="77"/>
      <c r="AT123" s="77"/>
      <c r="AU123" s="77"/>
      <c r="AV123" s="83" t="str">
        <f>HYPERLINK("https://pbs.twimg.com/profile_images/1310352185679654912/xskSwHii_normal.jpg")</f>
        <v>https://pbs.twimg.com/profile_images/1310352185679654912/xskSwHii_normal.jpg</v>
      </c>
      <c r="AW123" s="81" t="s">
        <v>1037</v>
      </c>
      <c r="AX123" s="81" t="s">
        <v>1153</v>
      </c>
      <c r="AY123" s="81" t="s">
        <v>1173</v>
      </c>
      <c r="AZ123" s="81" t="s">
        <v>1035</v>
      </c>
      <c r="BA123" s="81" t="s">
        <v>1032</v>
      </c>
      <c r="BB123" s="81" t="s">
        <v>1190</v>
      </c>
      <c r="BC123" s="81" t="s">
        <v>1035</v>
      </c>
      <c r="BD123" s="81" t="s">
        <v>1173</v>
      </c>
      <c r="BE123" s="77"/>
      <c r="BF123" s="77"/>
      <c r="BG123" s="77"/>
      <c r="BH123" s="77"/>
      <c r="BI123" s="77"/>
      <c r="BJ123">
        <v>4</v>
      </c>
      <c r="BK123" s="76" t="str">
        <f>REPLACE(INDEX(GroupVertices[Group],MATCH(Edges[[#This Row],[Vertex 1]],GroupVertices[Vertex],0)),1,1,"")</f>
        <v>4</v>
      </c>
      <c r="BL123" s="76" t="str">
        <f>REPLACE(INDEX(GroupVertices[Group],MATCH(Edges[[#This Row],[Vertex 2]],GroupVertices[Vertex],0)),1,1,"")</f>
        <v>4</v>
      </c>
      <c r="BM123" s="45"/>
      <c r="BN123" s="46"/>
      <c r="BO123" s="45"/>
      <c r="BP123" s="46"/>
      <c r="BQ123" s="45"/>
      <c r="BR123" s="46"/>
      <c r="BS123" s="45"/>
      <c r="BT123" s="46"/>
      <c r="BU123" s="45"/>
    </row>
    <row r="124" spans="1:73" ht="15">
      <c r="A124" s="61" t="s">
        <v>227</v>
      </c>
      <c r="B124" s="61" t="s">
        <v>301</v>
      </c>
      <c r="C124" s="62" t="s">
        <v>11695</v>
      </c>
      <c r="D124" s="63">
        <v>7.2</v>
      </c>
      <c r="E124" s="64" t="s">
        <v>132</v>
      </c>
      <c r="F124" s="65">
        <v>18.8</v>
      </c>
      <c r="G124" s="62"/>
      <c r="H124" s="66"/>
      <c r="I124" s="67"/>
      <c r="J124" s="67"/>
      <c r="K124" s="31" t="s">
        <v>65</v>
      </c>
      <c r="L124" s="75">
        <v>124</v>
      </c>
      <c r="M124" s="75"/>
      <c r="N124" s="69"/>
      <c r="O124" s="77" t="s">
        <v>541</v>
      </c>
      <c r="P124" s="79">
        <v>45148.36515046296</v>
      </c>
      <c r="Q124" s="77" t="s">
        <v>551</v>
      </c>
      <c r="R124" s="77">
        <v>0</v>
      </c>
      <c r="S124" s="77">
        <v>0</v>
      </c>
      <c r="T124" s="77">
        <v>0</v>
      </c>
      <c r="U124" s="77">
        <v>0</v>
      </c>
      <c r="V124" s="77">
        <v>44</v>
      </c>
      <c r="W124" s="77"/>
      <c r="X124" s="83" t="str">
        <f>HYPERLINK("https://twitter.com/Charpy73/status/1071073087528058880?s=20")</f>
        <v>https://twitter.com/Charpy73/status/1071073087528058880?s=20</v>
      </c>
      <c r="Y124" s="77" t="s">
        <v>733</v>
      </c>
      <c r="Z124" s="77" t="s">
        <v>752</v>
      </c>
      <c r="AA124" s="77"/>
      <c r="AB124" s="77"/>
      <c r="AC124" s="81" t="s">
        <v>853</v>
      </c>
      <c r="AD124" s="77" t="s">
        <v>859</v>
      </c>
      <c r="AE124" s="83" t="str">
        <f>HYPERLINK("https://twitter.com/charpy73/status/1689558661083934720")</f>
        <v>https://twitter.com/charpy73/status/1689558661083934720</v>
      </c>
      <c r="AF124" s="79">
        <v>45148.36515046296</v>
      </c>
      <c r="AG124" s="85">
        <v>45148</v>
      </c>
      <c r="AH124" s="81" t="s">
        <v>878</v>
      </c>
      <c r="AI124" s="77" t="b">
        <v>0</v>
      </c>
      <c r="AJ124" s="77"/>
      <c r="AK124" s="77"/>
      <c r="AL124" s="77"/>
      <c r="AM124" s="77"/>
      <c r="AN124" s="77"/>
      <c r="AO124" s="77"/>
      <c r="AP124" s="77"/>
      <c r="AQ124" s="77"/>
      <c r="AR124" s="77"/>
      <c r="AS124" s="77"/>
      <c r="AT124" s="77"/>
      <c r="AU124" s="77"/>
      <c r="AV124" s="83" t="str">
        <f>HYPERLINK("https://pbs.twimg.com/profile_images/1310352185679654912/xskSwHii_normal.jpg")</f>
        <v>https://pbs.twimg.com/profile_images/1310352185679654912/xskSwHii_normal.jpg</v>
      </c>
      <c r="AW124" s="81" t="s">
        <v>1033</v>
      </c>
      <c r="AX124" s="81" t="s">
        <v>1153</v>
      </c>
      <c r="AY124" s="81" t="s">
        <v>1173</v>
      </c>
      <c r="AZ124" s="81" t="s">
        <v>1034</v>
      </c>
      <c r="BA124" s="81" t="s">
        <v>1040</v>
      </c>
      <c r="BB124" s="81" t="s">
        <v>1190</v>
      </c>
      <c r="BC124" s="81" t="s">
        <v>1034</v>
      </c>
      <c r="BD124" s="81" t="s">
        <v>1173</v>
      </c>
      <c r="BE124" s="77"/>
      <c r="BF124" s="77"/>
      <c r="BG124" s="77"/>
      <c r="BH124" s="77"/>
      <c r="BI124" s="77"/>
      <c r="BJ124">
        <v>4</v>
      </c>
      <c r="BK124" s="76" t="str">
        <f>REPLACE(INDEX(GroupVertices[Group],MATCH(Edges[[#This Row],[Vertex 1]],GroupVertices[Vertex],0)),1,1,"")</f>
        <v>4</v>
      </c>
      <c r="BL124" s="76" t="str">
        <f>REPLACE(INDEX(GroupVertices[Group],MATCH(Edges[[#This Row],[Vertex 2]],GroupVertices[Vertex],0)),1,1,"")</f>
        <v>4</v>
      </c>
      <c r="BM124" s="45"/>
      <c r="BN124" s="46"/>
      <c r="BO124" s="45"/>
      <c r="BP124" s="46"/>
      <c r="BQ124" s="45"/>
      <c r="BR124" s="46"/>
      <c r="BS124" s="45"/>
      <c r="BT124" s="46"/>
      <c r="BU124" s="45"/>
    </row>
    <row r="125" spans="1:73" ht="15">
      <c r="A125" s="61" t="s">
        <v>227</v>
      </c>
      <c r="B125" s="61" t="s">
        <v>301</v>
      </c>
      <c r="C125" s="62" t="s">
        <v>11695</v>
      </c>
      <c r="D125" s="63">
        <v>7.2</v>
      </c>
      <c r="E125" s="64" t="s">
        <v>132</v>
      </c>
      <c r="F125" s="65">
        <v>18.8</v>
      </c>
      <c r="G125" s="62"/>
      <c r="H125" s="66"/>
      <c r="I125" s="67"/>
      <c r="J125" s="67"/>
      <c r="K125" s="31" t="s">
        <v>65</v>
      </c>
      <c r="L125" s="75">
        <v>125</v>
      </c>
      <c r="M125" s="75"/>
      <c r="N125" s="69"/>
      <c r="O125" s="77" t="s">
        <v>541</v>
      </c>
      <c r="P125" s="79">
        <v>45148.35780092593</v>
      </c>
      <c r="Q125" s="77" t="s">
        <v>552</v>
      </c>
      <c r="R125" s="77">
        <v>0</v>
      </c>
      <c r="S125" s="77">
        <v>0</v>
      </c>
      <c r="T125" s="77">
        <v>1</v>
      </c>
      <c r="U125" s="77">
        <v>0</v>
      </c>
      <c r="V125" s="77">
        <v>80</v>
      </c>
      <c r="W125" s="81" t="s">
        <v>670</v>
      </c>
      <c r="X125" s="77" t="s">
        <v>729</v>
      </c>
      <c r="Y125" s="77" t="s">
        <v>735</v>
      </c>
      <c r="Z125" s="77" t="s">
        <v>753</v>
      </c>
      <c r="AA125" s="77"/>
      <c r="AB125" s="77"/>
      <c r="AC125" s="81" t="s">
        <v>853</v>
      </c>
      <c r="AD125" s="77" t="s">
        <v>859</v>
      </c>
      <c r="AE125" s="83" t="str">
        <f>HYPERLINK("https://twitter.com/charpy73/status/1689555994278330368")</f>
        <v>https://twitter.com/charpy73/status/1689555994278330368</v>
      </c>
      <c r="AF125" s="79">
        <v>45148.35780092593</v>
      </c>
      <c r="AG125" s="85">
        <v>45148</v>
      </c>
      <c r="AH125" s="81" t="s">
        <v>879</v>
      </c>
      <c r="AI125" s="77" t="b">
        <v>0</v>
      </c>
      <c r="AJ125" s="77"/>
      <c r="AK125" s="77"/>
      <c r="AL125" s="77"/>
      <c r="AM125" s="77"/>
      <c r="AN125" s="77"/>
      <c r="AO125" s="77"/>
      <c r="AP125" s="77"/>
      <c r="AQ125" s="77"/>
      <c r="AR125" s="77"/>
      <c r="AS125" s="77"/>
      <c r="AT125" s="77"/>
      <c r="AU125" s="77"/>
      <c r="AV125" s="83" t="str">
        <f>HYPERLINK("https://pbs.twimg.com/profile_images/1310352185679654912/xskSwHii_normal.jpg")</f>
        <v>https://pbs.twimg.com/profile_images/1310352185679654912/xskSwHii_normal.jpg</v>
      </c>
      <c r="AW125" s="81" t="s">
        <v>1034</v>
      </c>
      <c r="AX125" s="81" t="s">
        <v>1153</v>
      </c>
      <c r="AY125" s="81" t="s">
        <v>1173</v>
      </c>
      <c r="AZ125" s="81" t="s">
        <v>1036</v>
      </c>
      <c r="BA125" s="81" t="s">
        <v>1041</v>
      </c>
      <c r="BB125" s="81" t="s">
        <v>1190</v>
      </c>
      <c r="BC125" s="81" t="s">
        <v>1036</v>
      </c>
      <c r="BD125" s="81" t="s">
        <v>1173</v>
      </c>
      <c r="BE125" s="77"/>
      <c r="BF125" s="77"/>
      <c r="BG125" s="77"/>
      <c r="BH125" s="77"/>
      <c r="BI125" s="77"/>
      <c r="BJ125">
        <v>4</v>
      </c>
      <c r="BK125" s="76" t="str">
        <f>REPLACE(INDEX(GroupVertices[Group],MATCH(Edges[[#This Row],[Vertex 1]],GroupVertices[Vertex],0)),1,1,"")</f>
        <v>4</v>
      </c>
      <c r="BL125" s="76" t="str">
        <f>REPLACE(INDEX(GroupVertices[Group],MATCH(Edges[[#This Row],[Vertex 2]],GroupVertices[Vertex],0)),1,1,"")</f>
        <v>4</v>
      </c>
      <c r="BM125" s="45"/>
      <c r="BN125" s="46"/>
      <c r="BO125" s="45"/>
      <c r="BP125" s="46"/>
      <c r="BQ125" s="45"/>
      <c r="BR125" s="46"/>
      <c r="BS125" s="45"/>
      <c r="BT125" s="46"/>
      <c r="BU125" s="45"/>
    </row>
    <row r="126" spans="1:73" ht="15">
      <c r="A126" s="61" t="s">
        <v>227</v>
      </c>
      <c r="B126" s="61" t="s">
        <v>302</v>
      </c>
      <c r="C126" s="62" t="s">
        <v>11695</v>
      </c>
      <c r="D126" s="63">
        <v>7.2</v>
      </c>
      <c r="E126" s="64" t="s">
        <v>132</v>
      </c>
      <c r="F126" s="65">
        <v>18.8</v>
      </c>
      <c r="G126" s="62"/>
      <c r="H126" s="66"/>
      <c r="I126" s="67"/>
      <c r="J126" s="67"/>
      <c r="K126" s="31" t="s">
        <v>65</v>
      </c>
      <c r="L126" s="75">
        <v>126</v>
      </c>
      <c r="M126" s="75"/>
      <c r="N126" s="69"/>
      <c r="O126" s="77" t="s">
        <v>541</v>
      </c>
      <c r="P126" s="79">
        <v>45148.353993055556</v>
      </c>
      <c r="Q126" s="77" t="s">
        <v>554</v>
      </c>
      <c r="R126" s="77">
        <v>0</v>
      </c>
      <c r="S126" s="77">
        <v>0</v>
      </c>
      <c r="T126" s="77">
        <v>1</v>
      </c>
      <c r="U126" s="77">
        <v>0</v>
      </c>
      <c r="V126" s="77">
        <v>21</v>
      </c>
      <c r="W126" s="77"/>
      <c r="X126" s="83" t="str">
        <f>HYPERLINK("https://twitter.com/Charpy73/status/1081734473513869312?s=20")</f>
        <v>https://twitter.com/Charpy73/status/1081734473513869312?s=20</v>
      </c>
      <c r="Y126" s="77" t="s">
        <v>733</v>
      </c>
      <c r="Z126" s="77" t="s">
        <v>755</v>
      </c>
      <c r="AA126" s="77"/>
      <c r="AB126" s="77"/>
      <c r="AC126" s="81" t="s">
        <v>853</v>
      </c>
      <c r="AD126" s="77" t="s">
        <v>862</v>
      </c>
      <c r="AE126" s="83" t="str">
        <f>HYPERLINK("https://twitter.com/charpy73/status/1689554615862255616")</f>
        <v>https://twitter.com/charpy73/status/1689554615862255616</v>
      </c>
      <c r="AF126" s="79">
        <v>45148.353993055556</v>
      </c>
      <c r="AG126" s="85">
        <v>45148</v>
      </c>
      <c r="AH126" s="81" t="s">
        <v>881</v>
      </c>
      <c r="AI126" s="77" t="b">
        <v>0</v>
      </c>
      <c r="AJ126" s="77"/>
      <c r="AK126" s="77"/>
      <c r="AL126" s="77"/>
      <c r="AM126" s="77"/>
      <c r="AN126" s="77"/>
      <c r="AO126" s="77"/>
      <c r="AP126" s="77"/>
      <c r="AQ126" s="77"/>
      <c r="AR126" s="77"/>
      <c r="AS126" s="77"/>
      <c r="AT126" s="77"/>
      <c r="AU126" s="77"/>
      <c r="AV126" s="83" t="str">
        <f>HYPERLINK("https://pbs.twimg.com/profile_images/1310352185679654912/xskSwHii_normal.jpg")</f>
        <v>https://pbs.twimg.com/profile_images/1310352185679654912/xskSwHii_normal.jpg</v>
      </c>
      <c r="AW126" s="81" t="s">
        <v>1036</v>
      </c>
      <c r="AX126" s="81" t="s">
        <v>1153</v>
      </c>
      <c r="AY126" s="81" t="s">
        <v>1173</v>
      </c>
      <c r="AZ126" s="81" t="s">
        <v>1037</v>
      </c>
      <c r="BA126" s="81" t="s">
        <v>1039</v>
      </c>
      <c r="BB126" s="81" t="s">
        <v>1190</v>
      </c>
      <c r="BC126" s="81" t="s">
        <v>1037</v>
      </c>
      <c r="BD126" s="81" t="s">
        <v>1173</v>
      </c>
      <c r="BE126" s="77"/>
      <c r="BF126" s="77"/>
      <c r="BG126" s="77"/>
      <c r="BH126" s="77"/>
      <c r="BI126" s="77"/>
      <c r="BJ126">
        <v>4</v>
      </c>
      <c r="BK126" s="76" t="str">
        <f>REPLACE(INDEX(GroupVertices[Group],MATCH(Edges[[#This Row],[Vertex 1]],GroupVertices[Vertex],0)),1,1,"")</f>
        <v>4</v>
      </c>
      <c r="BL126" s="76" t="str">
        <f>REPLACE(INDEX(GroupVertices[Group],MATCH(Edges[[#This Row],[Vertex 2]],GroupVertices[Vertex],0)),1,1,"")</f>
        <v>4</v>
      </c>
      <c r="BM126" s="45"/>
      <c r="BN126" s="46"/>
      <c r="BO126" s="45"/>
      <c r="BP126" s="46"/>
      <c r="BQ126" s="45"/>
      <c r="BR126" s="46"/>
      <c r="BS126" s="45"/>
      <c r="BT126" s="46"/>
      <c r="BU126" s="45"/>
    </row>
    <row r="127" spans="1:73" ht="15">
      <c r="A127" s="61" t="s">
        <v>227</v>
      </c>
      <c r="B127" s="61" t="s">
        <v>302</v>
      </c>
      <c r="C127" s="62" t="s">
        <v>11695</v>
      </c>
      <c r="D127" s="63">
        <v>7.2</v>
      </c>
      <c r="E127" s="64" t="s">
        <v>132</v>
      </c>
      <c r="F127" s="65">
        <v>18.8</v>
      </c>
      <c r="G127" s="62"/>
      <c r="H127" s="66"/>
      <c r="I127" s="67"/>
      <c r="J127" s="67"/>
      <c r="K127" s="31" t="s">
        <v>65</v>
      </c>
      <c r="L127" s="75">
        <v>127</v>
      </c>
      <c r="M127" s="75"/>
      <c r="N127" s="69"/>
      <c r="O127" s="77" t="s">
        <v>541</v>
      </c>
      <c r="P127" s="79">
        <v>45148.353738425925</v>
      </c>
      <c r="Q127" s="77" t="s">
        <v>555</v>
      </c>
      <c r="R127" s="77">
        <v>0</v>
      </c>
      <c r="S127" s="77">
        <v>0</v>
      </c>
      <c r="T127" s="77">
        <v>1</v>
      </c>
      <c r="U127" s="77">
        <v>0</v>
      </c>
      <c r="V127" s="77">
        <v>17</v>
      </c>
      <c r="W127" s="77"/>
      <c r="X127" s="83" t="str">
        <f>HYPERLINK("https://twitter.com/Charpy73/status/1677875566521864193?s=20")</f>
        <v>https://twitter.com/Charpy73/status/1677875566521864193?s=20</v>
      </c>
      <c r="Y127" s="77" t="s">
        <v>733</v>
      </c>
      <c r="Z127" s="77" t="s">
        <v>755</v>
      </c>
      <c r="AA127" s="77"/>
      <c r="AB127" s="77"/>
      <c r="AC127" s="81" t="s">
        <v>853</v>
      </c>
      <c r="AD127" s="77" t="s">
        <v>862</v>
      </c>
      <c r="AE127" s="83" t="str">
        <f>HYPERLINK("https://twitter.com/charpy73/status/1689554525403643904")</f>
        <v>https://twitter.com/charpy73/status/1689554525403643904</v>
      </c>
      <c r="AF127" s="79">
        <v>45148.353738425925</v>
      </c>
      <c r="AG127" s="85">
        <v>45148</v>
      </c>
      <c r="AH127" s="81" t="s">
        <v>882</v>
      </c>
      <c r="AI127" s="77" t="b">
        <v>0</v>
      </c>
      <c r="AJ127" s="77"/>
      <c r="AK127" s="77"/>
      <c r="AL127" s="77"/>
      <c r="AM127" s="77"/>
      <c r="AN127" s="77"/>
      <c r="AO127" s="77"/>
      <c r="AP127" s="77"/>
      <c r="AQ127" s="77"/>
      <c r="AR127" s="77"/>
      <c r="AS127" s="77"/>
      <c r="AT127" s="77"/>
      <c r="AU127" s="77"/>
      <c r="AV127" s="83" t="str">
        <f>HYPERLINK("https://pbs.twimg.com/profile_images/1310352185679654912/xskSwHii_normal.jpg")</f>
        <v>https://pbs.twimg.com/profile_images/1310352185679654912/xskSwHii_normal.jpg</v>
      </c>
      <c r="AW127" s="81" t="s">
        <v>1037</v>
      </c>
      <c r="AX127" s="81" t="s">
        <v>1153</v>
      </c>
      <c r="AY127" s="81" t="s">
        <v>1173</v>
      </c>
      <c r="AZ127" s="81" t="s">
        <v>1035</v>
      </c>
      <c r="BA127" s="81" t="s">
        <v>1032</v>
      </c>
      <c r="BB127" s="81" t="s">
        <v>1190</v>
      </c>
      <c r="BC127" s="81" t="s">
        <v>1035</v>
      </c>
      <c r="BD127" s="81" t="s">
        <v>1173</v>
      </c>
      <c r="BE127" s="77"/>
      <c r="BF127" s="77"/>
      <c r="BG127" s="77"/>
      <c r="BH127" s="77"/>
      <c r="BI127" s="77"/>
      <c r="BJ127">
        <v>4</v>
      </c>
      <c r="BK127" s="76" t="str">
        <f>REPLACE(INDEX(GroupVertices[Group],MATCH(Edges[[#This Row],[Vertex 1]],GroupVertices[Vertex],0)),1,1,"")</f>
        <v>4</v>
      </c>
      <c r="BL127" s="76" t="str">
        <f>REPLACE(INDEX(GroupVertices[Group],MATCH(Edges[[#This Row],[Vertex 2]],GroupVertices[Vertex],0)),1,1,"")</f>
        <v>4</v>
      </c>
      <c r="BM127" s="45"/>
      <c r="BN127" s="46"/>
      <c r="BO127" s="45"/>
      <c r="BP127" s="46"/>
      <c r="BQ127" s="45"/>
      <c r="BR127" s="46"/>
      <c r="BS127" s="45"/>
      <c r="BT127" s="46"/>
      <c r="BU127" s="45"/>
    </row>
    <row r="128" spans="1:73" ht="15">
      <c r="A128" s="61" t="s">
        <v>227</v>
      </c>
      <c r="B128" s="61" t="s">
        <v>302</v>
      </c>
      <c r="C128" s="62" t="s">
        <v>11695</v>
      </c>
      <c r="D128" s="63">
        <v>7.2</v>
      </c>
      <c r="E128" s="64" t="s">
        <v>132</v>
      </c>
      <c r="F128" s="65">
        <v>18.8</v>
      </c>
      <c r="G128" s="62"/>
      <c r="H128" s="66"/>
      <c r="I128" s="67"/>
      <c r="J128" s="67"/>
      <c r="K128" s="31" t="s">
        <v>65</v>
      </c>
      <c r="L128" s="75">
        <v>128</v>
      </c>
      <c r="M128" s="75"/>
      <c r="N128" s="69"/>
      <c r="O128" s="77" t="s">
        <v>541</v>
      </c>
      <c r="P128" s="79">
        <v>45148.36515046296</v>
      </c>
      <c r="Q128" s="77" t="s">
        <v>551</v>
      </c>
      <c r="R128" s="77">
        <v>0</v>
      </c>
      <c r="S128" s="77">
        <v>0</v>
      </c>
      <c r="T128" s="77">
        <v>0</v>
      </c>
      <c r="U128" s="77">
        <v>0</v>
      </c>
      <c r="V128" s="77">
        <v>44</v>
      </c>
      <c r="W128" s="77"/>
      <c r="X128" s="83" t="str">
        <f>HYPERLINK("https://twitter.com/Charpy73/status/1071073087528058880?s=20")</f>
        <v>https://twitter.com/Charpy73/status/1071073087528058880?s=20</v>
      </c>
      <c r="Y128" s="77" t="s">
        <v>733</v>
      </c>
      <c r="Z128" s="77" t="s">
        <v>752</v>
      </c>
      <c r="AA128" s="77"/>
      <c r="AB128" s="77"/>
      <c r="AC128" s="81" t="s">
        <v>853</v>
      </c>
      <c r="AD128" s="77" t="s">
        <v>859</v>
      </c>
      <c r="AE128" s="83" t="str">
        <f>HYPERLINK("https://twitter.com/charpy73/status/1689558661083934720")</f>
        <v>https://twitter.com/charpy73/status/1689558661083934720</v>
      </c>
      <c r="AF128" s="79">
        <v>45148.36515046296</v>
      </c>
      <c r="AG128" s="85">
        <v>45148</v>
      </c>
      <c r="AH128" s="81" t="s">
        <v>878</v>
      </c>
      <c r="AI128" s="77" t="b">
        <v>0</v>
      </c>
      <c r="AJ128" s="77"/>
      <c r="AK128" s="77"/>
      <c r="AL128" s="77"/>
      <c r="AM128" s="77"/>
      <c r="AN128" s="77"/>
      <c r="AO128" s="77"/>
      <c r="AP128" s="77"/>
      <c r="AQ128" s="77"/>
      <c r="AR128" s="77"/>
      <c r="AS128" s="77"/>
      <c r="AT128" s="77"/>
      <c r="AU128" s="77"/>
      <c r="AV128" s="83" t="str">
        <f>HYPERLINK("https://pbs.twimg.com/profile_images/1310352185679654912/xskSwHii_normal.jpg")</f>
        <v>https://pbs.twimg.com/profile_images/1310352185679654912/xskSwHii_normal.jpg</v>
      </c>
      <c r="AW128" s="81" t="s">
        <v>1033</v>
      </c>
      <c r="AX128" s="81" t="s">
        <v>1153</v>
      </c>
      <c r="AY128" s="81" t="s">
        <v>1173</v>
      </c>
      <c r="AZ128" s="81" t="s">
        <v>1034</v>
      </c>
      <c r="BA128" s="81" t="s">
        <v>1040</v>
      </c>
      <c r="BB128" s="81" t="s">
        <v>1190</v>
      </c>
      <c r="BC128" s="81" t="s">
        <v>1034</v>
      </c>
      <c r="BD128" s="81" t="s">
        <v>1173</v>
      </c>
      <c r="BE128" s="77"/>
      <c r="BF128" s="77"/>
      <c r="BG128" s="77"/>
      <c r="BH128" s="77"/>
      <c r="BI128" s="77"/>
      <c r="BJ128">
        <v>4</v>
      </c>
      <c r="BK128" s="76" t="str">
        <f>REPLACE(INDEX(GroupVertices[Group],MATCH(Edges[[#This Row],[Vertex 1]],GroupVertices[Vertex],0)),1,1,"")</f>
        <v>4</v>
      </c>
      <c r="BL128" s="76" t="str">
        <f>REPLACE(INDEX(GroupVertices[Group],MATCH(Edges[[#This Row],[Vertex 2]],GroupVertices[Vertex],0)),1,1,"")</f>
        <v>4</v>
      </c>
      <c r="BM128" s="45"/>
      <c r="BN128" s="46"/>
      <c r="BO128" s="45"/>
      <c r="BP128" s="46"/>
      <c r="BQ128" s="45"/>
      <c r="BR128" s="46"/>
      <c r="BS128" s="45"/>
      <c r="BT128" s="46"/>
      <c r="BU128" s="45"/>
    </row>
    <row r="129" spans="1:73" ht="15">
      <c r="A129" s="61" t="s">
        <v>227</v>
      </c>
      <c r="B129" s="61" t="s">
        <v>302</v>
      </c>
      <c r="C129" s="62" t="s">
        <v>11695</v>
      </c>
      <c r="D129" s="63">
        <v>7.2</v>
      </c>
      <c r="E129" s="64" t="s">
        <v>132</v>
      </c>
      <c r="F129" s="65">
        <v>18.8</v>
      </c>
      <c r="G129" s="62"/>
      <c r="H129" s="66"/>
      <c r="I129" s="67"/>
      <c r="J129" s="67"/>
      <c r="K129" s="31" t="s">
        <v>65</v>
      </c>
      <c r="L129" s="75">
        <v>129</v>
      </c>
      <c r="M129" s="75"/>
      <c r="N129" s="69"/>
      <c r="O129" s="77" t="s">
        <v>541</v>
      </c>
      <c r="P129" s="79">
        <v>45148.35780092593</v>
      </c>
      <c r="Q129" s="77" t="s">
        <v>552</v>
      </c>
      <c r="R129" s="77">
        <v>0</v>
      </c>
      <c r="S129" s="77">
        <v>0</v>
      </c>
      <c r="T129" s="77">
        <v>1</v>
      </c>
      <c r="U129" s="77">
        <v>0</v>
      </c>
      <c r="V129" s="77">
        <v>80</v>
      </c>
      <c r="W129" s="81" t="s">
        <v>670</v>
      </c>
      <c r="X129" s="77" t="s">
        <v>729</v>
      </c>
      <c r="Y129" s="77" t="s">
        <v>735</v>
      </c>
      <c r="Z129" s="77" t="s">
        <v>753</v>
      </c>
      <c r="AA129" s="77"/>
      <c r="AB129" s="77"/>
      <c r="AC129" s="81" t="s">
        <v>853</v>
      </c>
      <c r="AD129" s="77" t="s">
        <v>859</v>
      </c>
      <c r="AE129" s="83" t="str">
        <f>HYPERLINK("https://twitter.com/charpy73/status/1689555994278330368")</f>
        <v>https://twitter.com/charpy73/status/1689555994278330368</v>
      </c>
      <c r="AF129" s="79">
        <v>45148.35780092593</v>
      </c>
      <c r="AG129" s="85">
        <v>45148</v>
      </c>
      <c r="AH129" s="81" t="s">
        <v>879</v>
      </c>
      <c r="AI129" s="77" t="b">
        <v>0</v>
      </c>
      <c r="AJ129" s="77"/>
      <c r="AK129" s="77"/>
      <c r="AL129" s="77"/>
      <c r="AM129" s="77"/>
      <c r="AN129" s="77"/>
      <c r="AO129" s="77"/>
      <c r="AP129" s="77"/>
      <c r="AQ129" s="77"/>
      <c r="AR129" s="77"/>
      <c r="AS129" s="77"/>
      <c r="AT129" s="77"/>
      <c r="AU129" s="77"/>
      <c r="AV129" s="83" t="str">
        <f>HYPERLINK("https://pbs.twimg.com/profile_images/1310352185679654912/xskSwHii_normal.jpg")</f>
        <v>https://pbs.twimg.com/profile_images/1310352185679654912/xskSwHii_normal.jpg</v>
      </c>
      <c r="AW129" s="81" t="s">
        <v>1034</v>
      </c>
      <c r="AX129" s="81" t="s">
        <v>1153</v>
      </c>
      <c r="AY129" s="81" t="s">
        <v>1173</v>
      </c>
      <c r="AZ129" s="81" t="s">
        <v>1036</v>
      </c>
      <c r="BA129" s="81" t="s">
        <v>1041</v>
      </c>
      <c r="BB129" s="81" t="s">
        <v>1190</v>
      </c>
      <c r="BC129" s="81" t="s">
        <v>1036</v>
      </c>
      <c r="BD129" s="81" t="s">
        <v>1173</v>
      </c>
      <c r="BE129" s="77"/>
      <c r="BF129" s="77"/>
      <c r="BG129" s="77"/>
      <c r="BH129" s="77"/>
      <c r="BI129" s="77"/>
      <c r="BJ129">
        <v>4</v>
      </c>
      <c r="BK129" s="76" t="str">
        <f>REPLACE(INDEX(GroupVertices[Group],MATCH(Edges[[#This Row],[Vertex 1]],GroupVertices[Vertex],0)),1,1,"")</f>
        <v>4</v>
      </c>
      <c r="BL129" s="76" t="str">
        <f>REPLACE(INDEX(GroupVertices[Group],MATCH(Edges[[#This Row],[Vertex 2]],GroupVertices[Vertex],0)),1,1,"")</f>
        <v>4</v>
      </c>
      <c r="BM129" s="45"/>
      <c r="BN129" s="46"/>
      <c r="BO129" s="45"/>
      <c r="BP129" s="46"/>
      <c r="BQ129" s="45"/>
      <c r="BR129" s="46"/>
      <c r="BS129" s="45"/>
      <c r="BT129" s="46"/>
      <c r="BU129" s="45"/>
    </row>
    <row r="130" spans="1:73" ht="15">
      <c r="A130" s="61" t="s">
        <v>227</v>
      </c>
      <c r="B130" s="61" t="s">
        <v>228</v>
      </c>
      <c r="C130" s="62" t="s">
        <v>11694</v>
      </c>
      <c r="D130" s="63">
        <v>5.8</v>
      </c>
      <c r="E130" s="64" t="s">
        <v>132</v>
      </c>
      <c r="F130" s="65">
        <v>23.2</v>
      </c>
      <c r="G130" s="62"/>
      <c r="H130" s="66"/>
      <c r="I130" s="67"/>
      <c r="J130" s="67"/>
      <c r="K130" s="31" t="s">
        <v>65</v>
      </c>
      <c r="L130" s="75">
        <v>130</v>
      </c>
      <c r="M130" s="75"/>
      <c r="N130" s="69"/>
      <c r="O130" s="77" t="s">
        <v>543</v>
      </c>
      <c r="P130" s="79">
        <v>45148.35189814815</v>
      </c>
      <c r="Q130" s="77" t="s">
        <v>553</v>
      </c>
      <c r="R130" s="77">
        <v>0</v>
      </c>
      <c r="S130" s="77">
        <v>0</v>
      </c>
      <c r="T130" s="77">
        <v>1</v>
      </c>
      <c r="U130" s="77">
        <v>0</v>
      </c>
      <c r="V130" s="77">
        <v>17</v>
      </c>
      <c r="W130" s="77"/>
      <c r="X130" s="83" t="str">
        <f>HYPERLINK("https://www.nodexlgraphgallery.org/Pages/Graph.aspx?graphID=254623")</f>
        <v>https://www.nodexlgraphgallery.org/Pages/Graph.aspx?graphID=254623</v>
      </c>
      <c r="Y130" s="77" t="s">
        <v>732</v>
      </c>
      <c r="Z130" s="77" t="s">
        <v>754</v>
      </c>
      <c r="AA130" s="77"/>
      <c r="AB130" s="77"/>
      <c r="AC130" s="81" t="s">
        <v>853</v>
      </c>
      <c r="AD130" s="77" t="s">
        <v>862</v>
      </c>
      <c r="AE130" s="83" t="str">
        <f>HYPERLINK("https://twitter.com/charpy73/status/1689553858408693762")</f>
        <v>https://twitter.com/charpy73/status/1689553858408693762</v>
      </c>
      <c r="AF130" s="79">
        <v>45148.35189814815</v>
      </c>
      <c r="AG130" s="85">
        <v>45148</v>
      </c>
      <c r="AH130" s="81" t="s">
        <v>880</v>
      </c>
      <c r="AI130" s="77" t="b">
        <v>0</v>
      </c>
      <c r="AJ130" s="77"/>
      <c r="AK130" s="77"/>
      <c r="AL130" s="77"/>
      <c r="AM130" s="77"/>
      <c r="AN130" s="77"/>
      <c r="AO130" s="77"/>
      <c r="AP130" s="77"/>
      <c r="AQ130" s="77"/>
      <c r="AR130" s="77"/>
      <c r="AS130" s="77"/>
      <c r="AT130" s="77"/>
      <c r="AU130" s="77"/>
      <c r="AV130" s="83" t="str">
        <f>HYPERLINK("https://pbs.twimg.com/profile_images/1310352185679654912/xskSwHii_normal.jpg")</f>
        <v>https://pbs.twimg.com/profile_images/1310352185679654912/xskSwHii_normal.jpg</v>
      </c>
      <c r="AW130" s="81" t="s">
        <v>1035</v>
      </c>
      <c r="AX130" s="81" t="s">
        <v>1153</v>
      </c>
      <c r="AY130" s="81" t="s">
        <v>1173</v>
      </c>
      <c r="AZ130" s="81" t="s">
        <v>1038</v>
      </c>
      <c r="BA130" s="81" t="s">
        <v>1190</v>
      </c>
      <c r="BB130" s="81" t="s">
        <v>1190</v>
      </c>
      <c r="BC130" s="81" t="s">
        <v>1038</v>
      </c>
      <c r="BD130" s="81" t="s">
        <v>1173</v>
      </c>
      <c r="BE130" s="77"/>
      <c r="BF130" s="77"/>
      <c r="BG130" s="77"/>
      <c r="BH130" s="77"/>
      <c r="BI130" s="77"/>
      <c r="BJ130">
        <v>3</v>
      </c>
      <c r="BK130" s="76" t="str">
        <f>REPLACE(INDEX(GroupVertices[Group],MATCH(Edges[[#This Row],[Vertex 1]],GroupVertices[Vertex],0)),1,1,"")</f>
        <v>4</v>
      </c>
      <c r="BL130" s="76" t="str">
        <f>REPLACE(INDEX(GroupVertices[Group],MATCH(Edges[[#This Row],[Vertex 2]],GroupVertices[Vertex],0)),1,1,"")</f>
        <v>2</v>
      </c>
      <c r="BM130" s="45"/>
      <c r="BN130" s="46"/>
      <c r="BO130" s="45"/>
      <c r="BP130" s="46"/>
      <c r="BQ130" s="45"/>
      <c r="BR130" s="46"/>
      <c r="BS130" s="45"/>
      <c r="BT130" s="46"/>
      <c r="BU130" s="45"/>
    </row>
    <row r="131" spans="1:73" ht="15">
      <c r="A131" s="61" t="s">
        <v>227</v>
      </c>
      <c r="B131" s="61" t="s">
        <v>228</v>
      </c>
      <c r="C131" s="62" t="s">
        <v>11694</v>
      </c>
      <c r="D131" s="63">
        <v>5.8</v>
      </c>
      <c r="E131" s="64" t="s">
        <v>132</v>
      </c>
      <c r="F131" s="65">
        <v>23.2</v>
      </c>
      <c r="G131" s="62"/>
      <c r="H131" s="66"/>
      <c r="I131" s="67"/>
      <c r="J131" s="67"/>
      <c r="K131" s="31" t="s">
        <v>65</v>
      </c>
      <c r="L131" s="75">
        <v>131</v>
      </c>
      <c r="M131" s="75"/>
      <c r="N131" s="69"/>
      <c r="O131" s="77" t="s">
        <v>543</v>
      </c>
      <c r="P131" s="79">
        <v>45148.35189814815</v>
      </c>
      <c r="Q131" s="77" t="s">
        <v>553</v>
      </c>
      <c r="R131" s="77">
        <v>0</v>
      </c>
      <c r="S131" s="77">
        <v>0</v>
      </c>
      <c r="T131" s="77">
        <v>1</v>
      </c>
      <c r="U131" s="77">
        <v>0</v>
      </c>
      <c r="V131" s="77">
        <v>17</v>
      </c>
      <c r="W131" s="77"/>
      <c r="X131" s="83" t="str">
        <f>HYPERLINK("https://www.nodexlgraphgallery.org/Pages/Graph.aspx?graphID=254623")</f>
        <v>https://www.nodexlgraphgallery.org/Pages/Graph.aspx?graphID=254623</v>
      </c>
      <c r="Y131" s="77" t="s">
        <v>732</v>
      </c>
      <c r="Z131" s="77" t="s">
        <v>754</v>
      </c>
      <c r="AA131" s="77"/>
      <c r="AB131" s="77"/>
      <c r="AC131" s="81" t="s">
        <v>853</v>
      </c>
      <c r="AD131" s="77" t="s">
        <v>862</v>
      </c>
      <c r="AE131" s="83" t="str">
        <f>HYPERLINK("https://twitter.com/charpy73/status/1689553858408693762")</f>
        <v>https://twitter.com/charpy73/status/1689553858408693762</v>
      </c>
      <c r="AF131" s="79">
        <v>45148.35189814815</v>
      </c>
      <c r="AG131" s="85">
        <v>45148</v>
      </c>
      <c r="AH131" s="81" t="s">
        <v>880</v>
      </c>
      <c r="AI131" s="77" t="b">
        <v>0</v>
      </c>
      <c r="AJ131" s="77"/>
      <c r="AK131" s="77"/>
      <c r="AL131" s="77"/>
      <c r="AM131" s="77"/>
      <c r="AN131" s="77"/>
      <c r="AO131" s="77"/>
      <c r="AP131" s="77"/>
      <c r="AQ131" s="77"/>
      <c r="AR131" s="77"/>
      <c r="AS131" s="77"/>
      <c r="AT131" s="77"/>
      <c r="AU131" s="77"/>
      <c r="AV131" s="83" t="str">
        <f>HYPERLINK("https://pbs.twimg.com/profile_images/1310352185679654912/xskSwHii_normal.jpg")</f>
        <v>https://pbs.twimg.com/profile_images/1310352185679654912/xskSwHii_normal.jpg</v>
      </c>
      <c r="AW131" s="81" t="s">
        <v>1035</v>
      </c>
      <c r="AX131" s="81" t="s">
        <v>1153</v>
      </c>
      <c r="AY131" s="81" t="s">
        <v>1173</v>
      </c>
      <c r="AZ131" s="81" t="s">
        <v>1038</v>
      </c>
      <c r="BA131" s="81" t="s">
        <v>1190</v>
      </c>
      <c r="BB131" s="81" t="s">
        <v>1190</v>
      </c>
      <c r="BC131" s="81" t="s">
        <v>1038</v>
      </c>
      <c r="BD131" s="81" t="s">
        <v>1173</v>
      </c>
      <c r="BE131" s="77"/>
      <c r="BF131" s="77"/>
      <c r="BG131" s="77"/>
      <c r="BH131" s="77"/>
      <c r="BI131" s="77"/>
      <c r="BJ131">
        <v>3</v>
      </c>
      <c r="BK131" s="76" t="str">
        <f>REPLACE(INDEX(GroupVertices[Group],MATCH(Edges[[#This Row],[Vertex 1]],GroupVertices[Vertex],0)),1,1,"")</f>
        <v>4</v>
      </c>
      <c r="BL131" s="76" t="str">
        <f>REPLACE(INDEX(GroupVertices[Group],MATCH(Edges[[#This Row],[Vertex 2]],GroupVertices[Vertex],0)),1,1,"")</f>
        <v>2</v>
      </c>
      <c r="BM131" s="45"/>
      <c r="BN131" s="46"/>
      <c r="BO131" s="45"/>
      <c r="BP131" s="46"/>
      <c r="BQ131" s="45"/>
      <c r="BR131" s="46"/>
      <c r="BS131" s="45"/>
      <c r="BT131" s="46"/>
      <c r="BU131" s="45"/>
    </row>
    <row r="132" spans="1:73" ht="15">
      <c r="A132" s="61" t="s">
        <v>227</v>
      </c>
      <c r="B132" s="61" t="s">
        <v>255</v>
      </c>
      <c r="C132" s="62" t="s">
        <v>11693</v>
      </c>
      <c r="D132" s="63">
        <v>4.4</v>
      </c>
      <c r="E132" s="64" t="s">
        <v>132</v>
      </c>
      <c r="F132" s="65">
        <v>27.6</v>
      </c>
      <c r="G132" s="62"/>
      <c r="H132" s="66"/>
      <c r="I132" s="67"/>
      <c r="J132" s="67"/>
      <c r="K132" s="31" t="s">
        <v>65</v>
      </c>
      <c r="L132" s="75">
        <v>132</v>
      </c>
      <c r="M132" s="75"/>
      <c r="N132" s="69"/>
      <c r="O132" s="77" t="s">
        <v>543</v>
      </c>
      <c r="P132" s="79">
        <v>45148.35189814815</v>
      </c>
      <c r="Q132" s="77" t="s">
        <v>553</v>
      </c>
      <c r="R132" s="77">
        <v>0</v>
      </c>
      <c r="S132" s="77">
        <v>0</v>
      </c>
      <c r="T132" s="77">
        <v>1</v>
      </c>
      <c r="U132" s="77">
        <v>0</v>
      </c>
      <c r="V132" s="77">
        <v>17</v>
      </c>
      <c r="W132" s="77"/>
      <c r="X132" s="83" t="str">
        <f>HYPERLINK("https://www.nodexlgraphgallery.org/Pages/Graph.aspx?graphID=254623")</f>
        <v>https://www.nodexlgraphgallery.org/Pages/Graph.aspx?graphID=254623</v>
      </c>
      <c r="Y132" s="77" t="s">
        <v>732</v>
      </c>
      <c r="Z132" s="77" t="s">
        <v>754</v>
      </c>
      <c r="AA132" s="77"/>
      <c r="AB132" s="77"/>
      <c r="AC132" s="81" t="s">
        <v>853</v>
      </c>
      <c r="AD132" s="77" t="s">
        <v>862</v>
      </c>
      <c r="AE132" s="83" t="str">
        <f>HYPERLINK("https://twitter.com/charpy73/status/1689553858408693762")</f>
        <v>https://twitter.com/charpy73/status/1689553858408693762</v>
      </c>
      <c r="AF132" s="79">
        <v>45148.35189814815</v>
      </c>
      <c r="AG132" s="85">
        <v>45148</v>
      </c>
      <c r="AH132" s="81" t="s">
        <v>880</v>
      </c>
      <c r="AI132" s="77" t="b">
        <v>0</v>
      </c>
      <c r="AJ132" s="77"/>
      <c r="AK132" s="77"/>
      <c r="AL132" s="77"/>
      <c r="AM132" s="77"/>
      <c r="AN132" s="77"/>
      <c r="AO132" s="77"/>
      <c r="AP132" s="77"/>
      <c r="AQ132" s="77"/>
      <c r="AR132" s="77"/>
      <c r="AS132" s="77"/>
      <c r="AT132" s="77"/>
      <c r="AU132" s="77"/>
      <c r="AV132" s="83" t="str">
        <f>HYPERLINK("https://pbs.twimg.com/profile_images/1310352185679654912/xskSwHii_normal.jpg")</f>
        <v>https://pbs.twimg.com/profile_images/1310352185679654912/xskSwHii_normal.jpg</v>
      </c>
      <c r="AW132" s="81" t="s">
        <v>1035</v>
      </c>
      <c r="AX132" s="81" t="s">
        <v>1153</v>
      </c>
      <c r="AY132" s="81" t="s">
        <v>1173</v>
      </c>
      <c r="AZ132" s="81" t="s">
        <v>1038</v>
      </c>
      <c r="BA132" s="81" t="s">
        <v>1190</v>
      </c>
      <c r="BB132" s="81" t="s">
        <v>1190</v>
      </c>
      <c r="BC132" s="81" t="s">
        <v>1038</v>
      </c>
      <c r="BD132" s="81" t="s">
        <v>1173</v>
      </c>
      <c r="BE132" s="77"/>
      <c r="BF132" s="77"/>
      <c r="BG132" s="77"/>
      <c r="BH132" s="77"/>
      <c r="BI132" s="77"/>
      <c r="BJ132">
        <v>2</v>
      </c>
      <c r="BK132" s="76" t="str">
        <f>REPLACE(INDEX(GroupVertices[Group],MATCH(Edges[[#This Row],[Vertex 1]],GroupVertices[Vertex],0)),1,1,"")</f>
        <v>4</v>
      </c>
      <c r="BL132" s="76" t="str">
        <f>REPLACE(INDEX(GroupVertices[Group],MATCH(Edges[[#This Row],[Vertex 2]],GroupVertices[Vertex],0)),1,1,"")</f>
        <v>5</v>
      </c>
      <c r="BM132" s="45">
        <v>0</v>
      </c>
      <c r="BN132" s="46">
        <v>0</v>
      </c>
      <c r="BO132" s="45">
        <v>0</v>
      </c>
      <c r="BP132" s="46">
        <v>0</v>
      </c>
      <c r="BQ132" s="45">
        <v>0</v>
      </c>
      <c r="BR132" s="46">
        <v>0</v>
      </c>
      <c r="BS132" s="45">
        <v>24</v>
      </c>
      <c r="BT132" s="46">
        <v>100</v>
      </c>
      <c r="BU132" s="45">
        <v>24</v>
      </c>
    </row>
    <row r="133" spans="1:73" ht="15">
      <c r="A133" s="61" t="s">
        <v>227</v>
      </c>
      <c r="B133" s="61" t="s">
        <v>227</v>
      </c>
      <c r="C133" s="62" t="s">
        <v>11697</v>
      </c>
      <c r="D133" s="63">
        <v>10</v>
      </c>
      <c r="E133" s="64" t="s">
        <v>136</v>
      </c>
      <c r="F133" s="65">
        <v>10</v>
      </c>
      <c r="G133" s="62"/>
      <c r="H133" s="66"/>
      <c r="I133" s="67"/>
      <c r="J133" s="67"/>
      <c r="K133" s="31" t="s">
        <v>65</v>
      </c>
      <c r="L133" s="75">
        <v>133</v>
      </c>
      <c r="M133" s="75"/>
      <c r="N133" s="69"/>
      <c r="O133" s="77" t="s">
        <v>540</v>
      </c>
      <c r="P133" s="79">
        <v>45148.35189814815</v>
      </c>
      <c r="Q133" s="77" t="s">
        <v>553</v>
      </c>
      <c r="R133" s="77">
        <v>0</v>
      </c>
      <c r="S133" s="77">
        <v>0</v>
      </c>
      <c r="T133" s="77">
        <v>1</v>
      </c>
      <c r="U133" s="77">
        <v>0</v>
      </c>
      <c r="V133" s="77">
        <v>17</v>
      </c>
      <c r="W133" s="77"/>
      <c r="X133" s="83" t="str">
        <f>HYPERLINK("https://www.nodexlgraphgallery.org/Pages/Graph.aspx?graphID=254623")</f>
        <v>https://www.nodexlgraphgallery.org/Pages/Graph.aspx?graphID=254623</v>
      </c>
      <c r="Y133" s="77" t="s">
        <v>732</v>
      </c>
      <c r="Z133" s="77" t="s">
        <v>754</v>
      </c>
      <c r="AA133" s="77"/>
      <c r="AB133" s="77"/>
      <c r="AC133" s="81" t="s">
        <v>853</v>
      </c>
      <c r="AD133" s="77" t="s">
        <v>862</v>
      </c>
      <c r="AE133" s="83" t="str">
        <f>HYPERLINK("https://twitter.com/charpy73/status/1689553858408693762")</f>
        <v>https://twitter.com/charpy73/status/1689553858408693762</v>
      </c>
      <c r="AF133" s="79">
        <v>45148.35189814815</v>
      </c>
      <c r="AG133" s="85">
        <v>45148</v>
      </c>
      <c r="AH133" s="81" t="s">
        <v>880</v>
      </c>
      <c r="AI133" s="77" t="b">
        <v>0</v>
      </c>
      <c r="AJ133" s="77"/>
      <c r="AK133" s="77"/>
      <c r="AL133" s="77"/>
      <c r="AM133" s="77"/>
      <c r="AN133" s="77"/>
      <c r="AO133" s="77"/>
      <c r="AP133" s="77"/>
      <c r="AQ133" s="77"/>
      <c r="AR133" s="77"/>
      <c r="AS133" s="77"/>
      <c r="AT133" s="77"/>
      <c r="AU133" s="77"/>
      <c r="AV133" s="83" t="str">
        <f>HYPERLINK("https://pbs.twimg.com/profile_images/1310352185679654912/xskSwHii_normal.jpg")</f>
        <v>https://pbs.twimg.com/profile_images/1310352185679654912/xskSwHii_normal.jpg</v>
      </c>
      <c r="AW133" s="81" t="s">
        <v>1035</v>
      </c>
      <c r="AX133" s="81" t="s">
        <v>1153</v>
      </c>
      <c r="AY133" s="81" t="s">
        <v>1173</v>
      </c>
      <c r="AZ133" s="81" t="s">
        <v>1038</v>
      </c>
      <c r="BA133" s="81" t="s">
        <v>1190</v>
      </c>
      <c r="BB133" s="81" t="s">
        <v>1190</v>
      </c>
      <c r="BC133" s="81" t="s">
        <v>1038</v>
      </c>
      <c r="BD133" s="81" t="s">
        <v>1173</v>
      </c>
      <c r="BE133" s="77"/>
      <c r="BF133" s="77"/>
      <c r="BG133" s="77"/>
      <c r="BH133" s="77"/>
      <c r="BI133" s="77"/>
      <c r="BJ133">
        <v>8</v>
      </c>
      <c r="BK133" s="76" t="str">
        <f>REPLACE(INDEX(GroupVertices[Group],MATCH(Edges[[#This Row],[Vertex 1]],GroupVertices[Vertex],0)),1,1,"")</f>
        <v>4</v>
      </c>
      <c r="BL133" s="76" t="str">
        <f>REPLACE(INDEX(GroupVertices[Group],MATCH(Edges[[#This Row],[Vertex 2]],GroupVertices[Vertex],0)),1,1,"")</f>
        <v>4</v>
      </c>
      <c r="BM133" s="45"/>
      <c r="BN133" s="46"/>
      <c r="BO133" s="45"/>
      <c r="BP133" s="46"/>
      <c r="BQ133" s="45"/>
      <c r="BR133" s="46"/>
      <c r="BS133" s="45"/>
      <c r="BT133" s="46"/>
      <c r="BU133" s="45"/>
    </row>
    <row r="134" spans="1:73" ht="15">
      <c r="A134" s="61" t="s">
        <v>227</v>
      </c>
      <c r="B134" s="61" t="s">
        <v>228</v>
      </c>
      <c r="C134" s="62" t="s">
        <v>11694</v>
      </c>
      <c r="D134" s="63">
        <v>5.8</v>
      </c>
      <c r="E134" s="64" t="s">
        <v>132</v>
      </c>
      <c r="F134" s="65">
        <v>23.2</v>
      </c>
      <c r="G134" s="62"/>
      <c r="H134" s="66"/>
      <c r="I134" s="67"/>
      <c r="J134" s="67"/>
      <c r="K134" s="31" t="s">
        <v>65</v>
      </c>
      <c r="L134" s="75">
        <v>134</v>
      </c>
      <c r="M134" s="75"/>
      <c r="N134" s="69"/>
      <c r="O134" s="77" t="s">
        <v>543</v>
      </c>
      <c r="P134" s="79">
        <v>45148.30626157407</v>
      </c>
      <c r="Q134" s="77" t="s">
        <v>556</v>
      </c>
      <c r="R134" s="77">
        <v>1</v>
      </c>
      <c r="S134" s="77">
        <v>0</v>
      </c>
      <c r="T134" s="77">
        <v>1</v>
      </c>
      <c r="U134" s="77">
        <v>0</v>
      </c>
      <c r="V134" s="77">
        <v>30</v>
      </c>
      <c r="W134" s="77"/>
      <c r="X134" s="77" t="s">
        <v>730</v>
      </c>
      <c r="Y134" s="77" t="s">
        <v>736</v>
      </c>
      <c r="Z134" s="77" t="s">
        <v>756</v>
      </c>
      <c r="AA134" s="77"/>
      <c r="AB134" s="77"/>
      <c r="AC134" s="81" t="s">
        <v>853</v>
      </c>
      <c r="AD134" s="77" t="s">
        <v>863</v>
      </c>
      <c r="AE134" s="83" t="str">
        <f>HYPERLINK("https://twitter.com/charpy73/status/1689537316866383872")</f>
        <v>https://twitter.com/charpy73/status/1689537316866383872</v>
      </c>
      <c r="AF134" s="79">
        <v>45148.30626157407</v>
      </c>
      <c r="AG134" s="85">
        <v>45148</v>
      </c>
      <c r="AH134" s="81" t="s">
        <v>883</v>
      </c>
      <c r="AI134" s="77" t="b">
        <v>0</v>
      </c>
      <c r="AJ134" s="77"/>
      <c r="AK134" s="77"/>
      <c r="AL134" s="77"/>
      <c r="AM134" s="77"/>
      <c r="AN134" s="77"/>
      <c r="AO134" s="77"/>
      <c r="AP134" s="77"/>
      <c r="AQ134" s="77"/>
      <c r="AR134" s="77"/>
      <c r="AS134" s="77"/>
      <c r="AT134" s="77"/>
      <c r="AU134" s="77"/>
      <c r="AV134" s="83" t="str">
        <f>HYPERLINK("https://pbs.twimg.com/profile_images/1310352185679654912/xskSwHii_normal.jpg")</f>
        <v>https://pbs.twimg.com/profile_images/1310352185679654912/xskSwHii_normal.jpg</v>
      </c>
      <c r="AW134" s="81" t="s">
        <v>1038</v>
      </c>
      <c r="AX134" s="81" t="s">
        <v>1153</v>
      </c>
      <c r="AY134" s="81" t="s">
        <v>1173</v>
      </c>
      <c r="AZ134" s="81" t="s">
        <v>1191</v>
      </c>
      <c r="BA134" s="81" t="s">
        <v>1190</v>
      </c>
      <c r="BB134" s="81" t="s">
        <v>1190</v>
      </c>
      <c r="BC134" s="81" t="s">
        <v>1191</v>
      </c>
      <c r="BD134" s="81" t="s">
        <v>1173</v>
      </c>
      <c r="BE134" s="77"/>
      <c r="BF134" s="77"/>
      <c r="BG134" s="77"/>
      <c r="BH134" s="77"/>
      <c r="BI134" s="77"/>
      <c r="BJ134">
        <v>3</v>
      </c>
      <c r="BK134" s="76" t="str">
        <f>REPLACE(INDEX(GroupVertices[Group],MATCH(Edges[[#This Row],[Vertex 1]],GroupVertices[Vertex],0)),1,1,"")</f>
        <v>4</v>
      </c>
      <c r="BL134" s="76" t="str">
        <f>REPLACE(INDEX(GroupVertices[Group],MATCH(Edges[[#This Row],[Vertex 2]],GroupVertices[Vertex],0)),1,1,"")</f>
        <v>2</v>
      </c>
      <c r="BM134" s="45"/>
      <c r="BN134" s="46"/>
      <c r="BO134" s="45"/>
      <c r="BP134" s="46"/>
      <c r="BQ134" s="45"/>
      <c r="BR134" s="46"/>
      <c r="BS134" s="45"/>
      <c r="BT134" s="46"/>
      <c r="BU134" s="45"/>
    </row>
    <row r="135" spans="1:73" ht="15">
      <c r="A135" s="61" t="s">
        <v>227</v>
      </c>
      <c r="B135" s="61" t="s">
        <v>255</v>
      </c>
      <c r="C135" s="62" t="s">
        <v>11693</v>
      </c>
      <c r="D135" s="63">
        <v>4.4</v>
      </c>
      <c r="E135" s="64" t="s">
        <v>132</v>
      </c>
      <c r="F135" s="65">
        <v>27.6</v>
      </c>
      <c r="G135" s="62"/>
      <c r="H135" s="66"/>
      <c r="I135" s="67"/>
      <c r="J135" s="67"/>
      <c r="K135" s="31" t="s">
        <v>65</v>
      </c>
      <c r="L135" s="75">
        <v>135</v>
      </c>
      <c r="M135" s="75"/>
      <c r="N135" s="69"/>
      <c r="O135" s="77" t="s">
        <v>543</v>
      </c>
      <c r="P135" s="79">
        <v>45148.30626157407</v>
      </c>
      <c r="Q135" s="77" t="s">
        <v>556</v>
      </c>
      <c r="R135" s="77">
        <v>1</v>
      </c>
      <c r="S135" s="77">
        <v>0</v>
      </c>
      <c r="T135" s="77">
        <v>1</v>
      </c>
      <c r="U135" s="77">
        <v>0</v>
      </c>
      <c r="V135" s="77">
        <v>30</v>
      </c>
      <c r="W135" s="77"/>
      <c r="X135" s="77" t="s">
        <v>730</v>
      </c>
      <c r="Y135" s="77" t="s">
        <v>736</v>
      </c>
      <c r="Z135" s="77" t="s">
        <v>756</v>
      </c>
      <c r="AA135" s="77"/>
      <c r="AB135" s="77"/>
      <c r="AC135" s="81" t="s">
        <v>853</v>
      </c>
      <c r="AD135" s="77" t="s">
        <v>863</v>
      </c>
      <c r="AE135" s="83" t="str">
        <f>HYPERLINK("https://twitter.com/charpy73/status/1689537316866383872")</f>
        <v>https://twitter.com/charpy73/status/1689537316866383872</v>
      </c>
      <c r="AF135" s="79">
        <v>45148.30626157407</v>
      </c>
      <c r="AG135" s="85">
        <v>45148</v>
      </c>
      <c r="AH135" s="81" t="s">
        <v>883</v>
      </c>
      <c r="AI135" s="77" t="b">
        <v>0</v>
      </c>
      <c r="AJ135" s="77"/>
      <c r="AK135" s="77"/>
      <c r="AL135" s="77"/>
      <c r="AM135" s="77"/>
      <c r="AN135" s="77"/>
      <c r="AO135" s="77"/>
      <c r="AP135" s="77"/>
      <c r="AQ135" s="77"/>
      <c r="AR135" s="77"/>
      <c r="AS135" s="77"/>
      <c r="AT135" s="77"/>
      <c r="AU135" s="77"/>
      <c r="AV135" s="83" t="str">
        <f>HYPERLINK("https://pbs.twimg.com/profile_images/1310352185679654912/xskSwHii_normal.jpg")</f>
        <v>https://pbs.twimg.com/profile_images/1310352185679654912/xskSwHii_normal.jpg</v>
      </c>
      <c r="AW135" s="81" t="s">
        <v>1038</v>
      </c>
      <c r="AX135" s="81" t="s">
        <v>1153</v>
      </c>
      <c r="AY135" s="81" t="s">
        <v>1173</v>
      </c>
      <c r="AZ135" s="81" t="s">
        <v>1191</v>
      </c>
      <c r="BA135" s="81" t="s">
        <v>1190</v>
      </c>
      <c r="BB135" s="81" t="s">
        <v>1190</v>
      </c>
      <c r="BC135" s="81" t="s">
        <v>1191</v>
      </c>
      <c r="BD135" s="81" t="s">
        <v>1173</v>
      </c>
      <c r="BE135" s="77"/>
      <c r="BF135" s="77"/>
      <c r="BG135" s="77"/>
      <c r="BH135" s="77"/>
      <c r="BI135" s="77"/>
      <c r="BJ135">
        <v>2</v>
      </c>
      <c r="BK135" s="76" t="str">
        <f>REPLACE(INDEX(GroupVertices[Group],MATCH(Edges[[#This Row],[Vertex 1]],GroupVertices[Vertex],0)),1,1,"")</f>
        <v>4</v>
      </c>
      <c r="BL135" s="76" t="str">
        <f>REPLACE(INDEX(GroupVertices[Group],MATCH(Edges[[#This Row],[Vertex 2]],GroupVertices[Vertex],0)),1,1,"")</f>
        <v>5</v>
      </c>
      <c r="BM135" s="45">
        <v>0</v>
      </c>
      <c r="BN135" s="46">
        <v>0</v>
      </c>
      <c r="BO135" s="45">
        <v>0</v>
      </c>
      <c r="BP135" s="46">
        <v>0</v>
      </c>
      <c r="BQ135" s="45">
        <v>0</v>
      </c>
      <c r="BR135" s="46">
        <v>0</v>
      </c>
      <c r="BS135" s="45">
        <v>6</v>
      </c>
      <c r="BT135" s="46">
        <v>100</v>
      </c>
      <c r="BU135" s="45">
        <v>6</v>
      </c>
    </row>
    <row r="136" spans="1:73" ht="15">
      <c r="A136" s="61" t="s">
        <v>227</v>
      </c>
      <c r="B136" s="61" t="s">
        <v>227</v>
      </c>
      <c r="C136" s="62" t="s">
        <v>11697</v>
      </c>
      <c r="D136" s="63">
        <v>10</v>
      </c>
      <c r="E136" s="64" t="s">
        <v>136</v>
      </c>
      <c r="F136" s="65">
        <v>10</v>
      </c>
      <c r="G136" s="62"/>
      <c r="H136" s="66"/>
      <c r="I136" s="67"/>
      <c r="J136" s="67"/>
      <c r="K136" s="31" t="s">
        <v>65</v>
      </c>
      <c r="L136" s="75">
        <v>136</v>
      </c>
      <c r="M136" s="75"/>
      <c r="N136" s="69"/>
      <c r="O136" s="77" t="s">
        <v>540</v>
      </c>
      <c r="P136" s="79">
        <v>45148.30626157407</v>
      </c>
      <c r="Q136" s="77" t="s">
        <v>556</v>
      </c>
      <c r="R136" s="77">
        <v>1</v>
      </c>
      <c r="S136" s="77">
        <v>0</v>
      </c>
      <c r="T136" s="77">
        <v>1</v>
      </c>
      <c r="U136" s="77">
        <v>0</v>
      </c>
      <c r="V136" s="77">
        <v>30</v>
      </c>
      <c r="W136" s="77"/>
      <c r="X136" s="77" t="s">
        <v>730</v>
      </c>
      <c r="Y136" s="77" t="s">
        <v>736</v>
      </c>
      <c r="Z136" s="77" t="s">
        <v>756</v>
      </c>
      <c r="AA136" s="77"/>
      <c r="AB136" s="77"/>
      <c r="AC136" s="81" t="s">
        <v>853</v>
      </c>
      <c r="AD136" s="77" t="s">
        <v>863</v>
      </c>
      <c r="AE136" s="83" t="str">
        <f>HYPERLINK("https://twitter.com/charpy73/status/1689537316866383872")</f>
        <v>https://twitter.com/charpy73/status/1689537316866383872</v>
      </c>
      <c r="AF136" s="79">
        <v>45148.30626157407</v>
      </c>
      <c r="AG136" s="85">
        <v>45148</v>
      </c>
      <c r="AH136" s="81" t="s">
        <v>883</v>
      </c>
      <c r="AI136" s="77" t="b">
        <v>0</v>
      </c>
      <c r="AJ136" s="77"/>
      <c r="AK136" s="77"/>
      <c r="AL136" s="77"/>
      <c r="AM136" s="77"/>
      <c r="AN136" s="77"/>
      <c r="AO136" s="77"/>
      <c r="AP136" s="77"/>
      <c r="AQ136" s="77"/>
      <c r="AR136" s="77"/>
      <c r="AS136" s="77"/>
      <c r="AT136" s="77"/>
      <c r="AU136" s="77"/>
      <c r="AV136" s="83" t="str">
        <f>HYPERLINK("https://pbs.twimg.com/profile_images/1310352185679654912/xskSwHii_normal.jpg")</f>
        <v>https://pbs.twimg.com/profile_images/1310352185679654912/xskSwHii_normal.jpg</v>
      </c>
      <c r="AW136" s="81" t="s">
        <v>1038</v>
      </c>
      <c r="AX136" s="81" t="s">
        <v>1153</v>
      </c>
      <c r="AY136" s="81" t="s">
        <v>1173</v>
      </c>
      <c r="AZ136" s="81" t="s">
        <v>1191</v>
      </c>
      <c r="BA136" s="81" t="s">
        <v>1190</v>
      </c>
      <c r="BB136" s="81" t="s">
        <v>1190</v>
      </c>
      <c r="BC136" s="81" t="s">
        <v>1191</v>
      </c>
      <c r="BD136" s="81" t="s">
        <v>1173</v>
      </c>
      <c r="BE136" s="77"/>
      <c r="BF136" s="77"/>
      <c r="BG136" s="77"/>
      <c r="BH136" s="77"/>
      <c r="BI136" s="77"/>
      <c r="BJ136">
        <v>8</v>
      </c>
      <c r="BK136" s="76" t="str">
        <f>REPLACE(INDEX(GroupVertices[Group],MATCH(Edges[[#This Row],[Vertex 1]],GroupVertices[Vertex],0)),1,1,"")</f>
        <v>4</v>
      </c>
      <c r="BL136" s="76" t="str">
        <f>REPLACE(INDEX(GroupVertices[Group],MATCH(Edges[[#This Row],[Vertex 2]],GroupVertices[Vertex],0)),1,1,"")</f>
        <v>4</v>
      </c>
      <c r="BM136" s="45"/>
      <c r="BN136" s="46"/>
      <c r="BO136" s="45"/>
      <c r="BP136" s="46"/>
      <c r="BQ136" s="45"/>
      <c r="BR136" s="46"/>
      <c r="BS136" s="45"/>
      <c r="BT136" s="46"/>
      <c r="BU136" s="45"/>
    </row>
    <row r="137" spans="1:73" ht="15">
      <c r="A137" s="61" t="s">
        <v>227</v>
      </c>
      <c r="B137" s="61" t="s">
        <v>227</v>
      </c>
      <c r="C137" s="62" t="s">
        <v>11697</v>
      </c>
      <c r="D137" s="63">
        <v>10</v>
      </c>
      <c r="E137" s="64" t="s">
        <v>136</v>
      </c>
      <c r="F137" s="65">
        <v>10</v>
      </c>
      <c r="G137" s="62"/>
      <c r="H137" s="66"/>
      <c r="I137" s="67"/>
      <c r="J137" s="67"/>
      <c r="K137" s="31" t="s">
        <v>65</v>
      </c>
      <c r="L137" s="75">
        <v>137</v>
      </c>
      <c r="M137" s="75"/>
      <c r="N137" s="69"/>
      <c r="O137" s="77" t="s">
        <v>540</v>
      </c>
      <c r="P137" s="79">
        <v>43471.08993055556</v>
      </c>
      <c r="Q137" s="77" t="s">
        <v>557</v>
      </c>
      <c r="R137" s="77">
        <v>11</v>
      </c>
      <c r="S137" s="77">
        <v>0</v>
      </c>
      <c r="T137" s="77">
        <v>10</v>
      </c>
      <c r="U137" s="77">
        <v>1</v>
      </c>
      <c r="V137" s="77"/>
      <c r="W137" s="77"/>
      <c r="X137" s="77" t="s">
        <v>731</v>
      </c>
      <c r="Y137" s="77" t="s">
        <v>737</v>
      </c>
      <c r="Z137" s="77"/>
      <c r="AA137" s="77" t="s">
        <v>824</v>
      </c>
      <c r="AB137" s="77" t="s">
        <v>849</v>
      </c>
      <c r="AC137" s="81" t="s">
        <v>856</v>
      </c>
      <c r="AD137" s="77" t="s">
        <v>859</v>
      </c>
      <c r="AE137" s="83" t="str">
        <f>HYPERLINK("https://twitter.com/charpy73/status/1081734473513869312")</f>
        <v>https://twitter.com/charpy73/status/1081734473513869312</v>
      </c>
      <c r="AF137" s="79">
        <v>43471.08993055556</v>
      </c>
      <c r="AG137" s="85">
        <v>43471</v>
      </c>
      <c r="AH137" s="81" t="s">
        <v>884</v>
      </c>
      <c r="AI137" s="77" t="b">
        <v>0</v>
      </c>
      <c r="AJ137" s="77"/>
      <c r="AK137" s="77"/>
      <c r="AL137" s="77"/>
      <c r="AM137" s="77"/>
      <c r="AN137" s="77"/>
      <c r="AO137" s="77"/>
      <c r="AP137" s="77"/>
      <c r="AQ137" s="77" t="s">
        <v>1003</v>
      </c>
      <c r="AR137" s="77"/>
      <c r="AS137" s="77"/>
      <c r="AT137" s="77"/>
      <c r="AU137" s="77"/>
      <c r="AV137" s="83" t="str">
        <f>HYPERLINK("https://pbs.twimg.com/media/DwMU-gOV4AAaVk-.jpg")</f>
        <v>https://pbs.twimg.com/media/DwMU-gOV4AAaVk-.jpg</v>
      </c>
      <c r="AW137" s="81" t="s">
        <v>1039</v>
      </c>
      <c r="AX137" s="81" t="s">
        <v>1154</v>
      </c>
      <c r="AY137" s="81" t="s">
        <v>1173</v>
      </c>
      <c r="AZ137" s="81" t="s">
        <v>1154</v>
      </c>
      <c r="BA137" s="81" t="s">
        <v>1190</v>
      </c>
      <c r="BB137" s="81" t="s">
        <v>1190</v>
      </c>
      <c r="BC137" s="81" t="s">
        <v>1154</v>
      </c>
      <c r="BD137" s="81" t="s">
        <v>1173</v>
      </c>
      <c r="BE137" s="77"/>
      <c r="BF137" s="77"/>
      <c r="BG137" s="77"/>
      <c r="BH137" s="77"/>
      <c r="BI137" s="77"/>
      <c r="BJ137">
        <v>8</v>
      </c>
      <c r="BK137" s="76" t="str">
        <f>REPLACE(INDEX(GroupVertices[Group],MATCH(Edges[[#This Row],[Vertex 1]],GroupVertices[Vertex],0)),1,1,"")</f>
        <v>4</v>
      </c>
      <c r="BL137" s="76" t="str">
        <f>REPLACE(INDEX(GroupVertices[Group],MATCH(Edges[[#This Row],[Vertex 2]],GroupVertices[Vertex],0)),1,1,"")</f>
        <v>4</v>
      </c>
      <c r="BM137" s="45">
        <v>0</v>
      </c>
      <c r="BN137" s="46">
        <v>0</v>
      </c>
      <c r="BO137" s="45">
        <v>0</v>
      </c>
      <c r="BP137" s="46">
        <v>0</v>
      </c>
      <c r="BQ137" s="45">
        <v>0</v>
      </c>
      <c r="BR137" s="46">
        <v>0</v>
      </c>
      <c r="BS137" s="45">
        <v>18</v>
      </c>
      <c r="BT137" s="46">
        <v>54.54545454545455</v>
      </c>
      <c r="BU137" s="45">
        <v>33</v>
      </c>
    </row>
    <row r="138" spans="1:73" ht="15">
      <c r="A138" s="61" t="s">
        <v>227</v>
      </c>
      <c r="B138" s="61" t="s">
        <v>228</v>
      </c>
      <c r="C138" s="62" t="s">
        <v>11695</v>
      </c>
      <c r="D138" s="63">
        <v>7.2</v>
      </c>
      <c r="E138" s="64" t="s">
        <v>132</v>
      </c>
      <c r="F138" s="65">
        <v>18.8</v>
      </c>
      <c r="G138" s="62"/>
      <c r="H138" s="66"/>
      <c r="I138" s="67"/>
      <c r="J138" s="67"/>
      <c r="K138" s="31" t="s">
        <v>65</v>
      </c>
      <c r="L138" s="75">
        <v>138</v>
      </c>
      <c r="M138" s="75"/>
      <c r="N138" s="69"/>
      <c r="O138" s="77" t="s">
        <v>541</v>
      </c>
      <c r="P138" s="79">
        <v>45148.353993055556</v>
      </c>
      <c r="Q138" s="77" t="s">
        <v>554</v>
      </c>
      <c r="R138" s="77">
        <v>0</v>
      </c>
      <c r="S138" s="77">
        <v>0</v>
      </c>
      <c r="T138" s="77">
        <v>1</v>
      </c>
      <c r="U138" s="77">
        <v>0</v>
      </c>
      <c r="V138" s="77">
        <v>21</v>
      </c>
      <c r="W138" s="77"/>
      <c r="X138" s="83" t="str">
        <f>HYPERLINK("https://twitter.com/Charpy73/status/1081734473513869312?s=20")</f>
        <v>https://twitter.com/Charpy73/status/1081734473513869312?s=20</v>
      </c>
      <c r="Y138" s="77" t="s">
        <v>733</v>
      </c>
      <c r="Z138" s="77" t="s">
        <v>755</v>
      </c>
      <c r="AA138" s="77"/>
      <c r="AB138" s="77"/>
      <c r="AC138" s="81" t="s">
        <v>853</v>
      </c>
      <c r="AD138" s="77" t="s">
        <v>862</v>
      </c>
      <c r="AE138" s="83" t="str">
        <f>HYPERLINK("https://twitter.com/charpy73/status/1689554615862255616")</f>
        <v>https://twitter.com/charpy73/status/1689554615862255616</v>
      </c>
      <c r="AF138" s="79">
        <v>45148.353993055556</v>
      </c>
      <c r="AG138" s="85">
        <v>45148</v>
      </c>
      <c r="AH138" s="81" t="s">
        <v>881</v>
      </c>
      <c r="AI138" s="77" t="b">
        <v>0</v>
      </c>
      <c r="AJ138" s="77"/>
      <c r="AK138" s="77"/>
      <c r="AL138" s="77"/>
      <c r="AM138" s="77"/>
      <c r="AN138" s="77"/>
      <c r="AO138" s="77"/>
      <c r="AP138" s="77"/>
      <c r="AQ138" s="77"/>
      <c r="AR138" s="77"/>
      <c r="AS138" s="77"/>
      <c r="AT138" s="77"/>
      <c r="AU138" s="77"/>
      <c r="AV138" s="83" t="str">
        <f>HYPERLINK("https://pbs.twimg.com/profile_images/1310352185679654912/xskSwHii_normal.jpg")</f>
        <v>https://pbs.twimg.com/profile_images/1310352185679654912/xskSwHii_normal.jpg</v>
      </c>
      <c r="AW138" s="81" t="s">
        <v>1036</v>
      </c>
      <c r="AX138" s="81" t="s">
        <v>1153</v>
      </c>
      <c r="AY138" s="81" t="s">
        <v>1173</v>
      </c>
      <c r="AZ138" s="81" t="s">
        <v>1037</v>
      </c>
      <c r="BA138" s="81" t="s">
        <v>1039</v>
      </c>
      <c r="BB138" s="81" t="s">
        <v>1190</v>
      </c>
      <c r="BC138" s="81" t="s">
        <v>1037</v>
      </c>
      <c r="BD138" s="81" t="s">
        <v>1173</v>
      </c>
      <c r="BE138" s="77"/>
      <c r="BF138" s="77"/>
      <c r="BG138" s="77"/>
      <c r="BH138" s="77"/>
      <c r="BI138" s="77"/>
      <c r="BJ138">
        <v>4</v>
      </c>
      <c r="BK138" s="76" t="str">
        <f>REPLACE(INDEX(GroupVertices[Group],MATCH(Edges[[#This Row],[Vertex 1]],GroupVertices[Vertex],0)),1,1,"")</f>
        <v>4</v>
      </c>
      <c r="BL138" s="76" t="str">
        <f>REPLACE(INDEX(GroupVertices[Group],MATCH(Edges[[#This Row],[Vertex 2]],GroupVertices[Vertex],0)),1,1,"")</f>
        <v>2</v>
      </c>
      <c r="BM138" s="45"/>
      <c r="BN138" s="46"/>
      <c r="BO138" s="45"/>
      <c r="BP138" s="46"/>
      <c r="BQ138" s="45"/>
      <c r="BR138" s="46"/>
      <c r="BS138" s="45"/>
      <c r="BT138" s="46"/>
      <c r="BU138" s="45"/>
    </row>
    <row r="139" spans="1:73" ht="15">
      <c r="A139" s="61" t="s">
        <v>227</v>
      </c>
      <c r="B139" s="61" t="s">
        <v>255</v>
      </c>
      <c r="C139" s="62" t="s">
        <v>11695</v>
      </c>
      <c r="D139" s="63">
        <v>7.2</v>
      </c>
      <c r="E139" s="64" t="s">
        <v>132</v>
      </c>
      <c r="F139" s="65">
        <v>18.8</v>
      </c>
      <c r="G139" s="62"/>
      <c r="H139" s="66"/>
      <c r="I139" s="67"/>
      <c r="J139" s="67"/>
      <c r="K139" s="31" t="s">
        <v>65</v>
      </c>
      <c r="L139" s="75">
        <v>139</v>
      </c>
      <c r="M139" s="75"/>
      <c r="N139" s="69"/>
      <c r="O139" s="77" t="s">
        <v>541</v>
      </c>
      <c r="P139" s="79">
        <v>45148.353993055556</v>
      </c>
      <c r="Q139" s="77" t="s">
        <v>554</v>
      </c>
      <c r="R139" s="77">
        <v>0</v>
      </c>
      <c r="S139" s="77">
        <v>0</v>
      </c>
      <c r="T139" s="77">
        <v>1</v>
      </c>
      <c r="U139" s="77">
        <v>0</v>
      </c>
      <c r="V139" s="77">
        <v>21</v>
      </c>
      <c r="W139" s="77"/>
      <c r="X139" s="83" t="str">
        <f>HYPERLINK("https://twitter.com/Charpy73/status/1081734473513869312?s=20")</f>
        <v>https://twitter.com/Charpy73/status/1081734473513869312?s=20</v>
      </c>
      <c r="Y139" s="77" t="s">
        <v>733</v>
      </c>
      <c r="Z139" s="77" t="s">
        <v>755</v>
      </c>
      <c r="AA139" s="77"/>
      <c r="AB139" s="77"/>
      <c r="AC139" s="81" t="s">
        <v>853</v>
      </c>
      <c r="AD139" s="77" t="s">
        <v>862</v>
      </c>
      <c r="AE139" s="83" t="str">
        <f>HYPERLINK("https://twitter.com/charpy73/status/1689554615862255616")</f>
        <v>https://twitter.com/charpy73/status/1689554615862255616</v>
      </c>
      <c r="AF139" s="79">
        <v>45148.353993055556</v>
      </c>
      <c r="AG139" s="85">
        <v>45148</v>
      </c>
      <c r="AH139" s="81" t="s">
        <v>881</v>
      </c>
      <c r="AI139" s="77" t="b">
        <v>0</v>
      </c>
      <c r="AJ139" s="77"/>
      <c r="AK139" s="77"/>
      <c r="AL139" s="77"/>
      <c r="AM139" s="77"/>
      <c r="AN139" s="77"/>
      <c r="AO139" s="77"/>
      <c r="AP139" s="77"/>
      <c r="AQ139" s="77"/>
      <c r="AR139" s="77"/>
      <c r="AS139" s="77"/>
      <c r="AT139" s="77"/>
      <c r="AU139" s="77"/>
      <c r="AV139" s="83" t="str">
        <f>HYPERLINK("https://pbs.twimg.com/profile_images/1310352185679654912/xskSwHii_normal.jpg")</f>
        <v>https://pbs.twimg.com/profile_images/1310352185679654912/xskSwHii_normal.jpg</v>
      </c>
      <c r="AW139" s="81" t="s">
        <v>1036</v>
      </c>
      <c r="AX139" s="81" t="s">
        <v>1153</v>
      </c>
      <c r="AY139" s="81" t="s">
        <v>1173</v>
      </c>
      <c r="AZ139" s="81" t="s">
        <v>1037</v>
      </c>
      <c r="BA139" s="81" t="s">
        <v>1039</v>
      </c>
      <c r="BB139" s="81" t="s">
        <v>1190</v>
      </c>
      <c r="BC139" s="81" t="s">
        <v>1037</v>
      </c>
      <c r="BD139" s="81" t="s">
        <v>1173</v>
      </c>
      <c r="BE139" s="77"/>
      <c r="BF139" s="77"/>
      <c r="BG139" s="77"/>
      <c r="BH139" s="77"/>
      <c r="BI139" s="77"/>
      <c r="BJ139">
        <v>4</v>
      </c>
      <c r="BK139" s="76" t="str">
        <f>REPLACE(INDEX(GroupVertices[Group],MATCH(Edges[[#This Row],[Vertex 1]],GroupVertices[Vertex],0)),1,1,"")</f>
        <v>4</v>
      </c>
      <c r="BL139" s="76" t="str">
        <f>REPLACE(INDEX(GroupVertices[Group],MATCH(Edges[[#This Row],[Vertex 2]],GroupVertices[Vertex],0)),1,1,"")</f>
        <v>5</v>
      </c>
      <c r="BM139" s="45">
        <v>0</v>
      </c>
      <c r="BN139" s="46">
        <v>0</v>
      </c>
      <c r="BO139" s="45">
        <v>0</v>
      </c>
      <c r="BP139" s="46">
        <v>0</v>
      </c>
      <c r="BQ139" s="45">
        <v>0</v>
      </c>
      <c r="BR139" s="46">
        <v>0</v>
      </c>
      <c r="BS139" s="45">
        <v>20</v>
      </c>
      <c r="BT139" s="46">
        <v>100</v>
      </c>
      <c r="BU139" s="45">
        <v>20</v>
      </c>
    </row>
    <row r="140" spans="1:73" ht="15">
      <c r="A140" s="61" t="s">
        <v>227</v>
      </c>
      <c r="B140" s="61" t="s">
        <v>227</v>
      </c>
      <c r="C140" s="62" t="s">
        <v>11695</v>
      </c>
      <c r="D140" s="63">
        <v>7.2</v>
      </c>
      <c r="E140" s="64" t="s">
        <v>132</v>
      </c>
      <c r="F140" s="65">
        <v>18.8</v>
      </c>
      <c r="G140" s="62"/>
      <c r="H140" s="66"/>
      <c r="I140" s="67"/>
      <c r="J140" s="67"/>
      <c r="K140" s="31" t="s">
        <v>65</v>
      </c>
      <c r="L140" s="75">
        <v>140</v>
      </c>
      <c r="M140" s="75"/>
      <c r="N140" s="69"/>
      <c r="O140" s="77" t="s">
        <v>542</v>
      </c>
      <c r="P140" s="79">
        <v>45148.353993055556</v>
      </c>
      <c r="Q140" s="77" t="s">
        <v>554</v>
      </c>
      <c r="R140" s="77">
        <v>0</v>
      </c>
      <c r="S140" s="77">
        <v>0</v>
      </c>
      <c r="T140" s="77">
        <v>1</v>
      </c>
      <c r="U140" s="77">
        <v>0</v>
      </c>
      <c r="V140" s="77">
        <v>21</v>
      </c>
      <c r="W140" s="77"/>
      <c r="X140" s="83" t="str">
        <f>HYPERLINK("https://twitter.com/Charpy73/status/1081734473513869312?s=20")</f>
        <v>https://twitter.com/Charpy73/status/1081734473513869312?s=20</v>
      </c>
      <c r="Y140" s="77" t="s">
        <v>733</v>
      </c>
      <c r="Z140" s="77" t="s">
        <v>755</v>
      </c>
      <c r="AA140" s="77"/>
      <c r="AB140" s="77"/>
      <c r="AC140" s="81" t="s">
        <v>853</v>
      </c>
      <c r="AD140" s="77" t="s">
        <v>862</v>
      </c>
      <c r="AE140" s="83" t="str">
        <f>HYPERLINK("https://twitter.com/charpy73/status/1689554615862255616")</f>
        <v>https://twitter.com/charpy73/status/1689554615862255616</v>
      </c>
      <c r="AF140" s="79">
        <v>45148.353993055556</v>
      </c>
      <c r="AG140" s="85">
        <v>45148</v>
      </c>
      <c r="AH140" s="81" t="s">
        <v>881</v>
      </c>
      <c r="AI140" s="77" t="b">
        <v>0</v>
      </c>
      <c r="AJ140" s="77"/>
      <c r="AK140" s="77"/>
      <c r="AL140" s="77"/>
      <c r="AM140" s="77"/>
      <c r="AN140" s="77"/>
      <c r="AO140" s="77"/>
      <c r="AP140" s="77"/>
      <c r="AQ140" s="77"/>
      <c r="AR140" s="77"/>
      <c r="AS140" s="77"/>
      <c r="AT140" s="77"/>
      <c r="AU140" s="77"/>
      <c r="AV140" s="83" t="str">
        <f>HYPERLINK("https://pbs.twimg.com/profile_images/1310352185679654912/xskSwHii_normal.jpg")</f>
        <v>https://pbs.twimg.com/profile_images/1310352185679654912/xskSwHii_normal.jpg</v>
      </c>
      <c r="AW140" s="81" t="s">
        <v>1036</v>
      </c>
      <c r="AX140" s="81" t="s">
        <v>1153</v>
      </c>
      <c r="AY140" s="81" t="s">
        <v>1173</v>
      </c>
      <c r="AZ140" s="81" t="s">
        <v>1037</v>
      </c>
      <c r="BA140" s="81" t="s">
        <v>1039</v>
      </c>
      <c r="BB140" s="81" t="s">
        <v>1190</v>
      </c>
      <c r="BC140" s="81" t="s">
        <v>1037</v>
      </c>
      <c r="BD140" s="81" t="s">
        <v>1173</v>
      </c>
      <c r="BE140" s="77"/>
      <c r="BF140" s="77"/>
      <c r="BG140" s="77"/>
      <c r="BH140" s="77"/>
      <c r="BI140" s="77"/>
      <c r="BJ140">
        <v>4</v>
      </c>
      <c r="BK140" s="76" t="str">
        <f>REPLACE(INDEX(GroupVertices[Group],MATCH(Edges[[#This Row],[Vertex 1]],GroupVertices[Vertex],0)),1,1,"")</f>
        <v>4</v>
      </c>
      <c r="BL140" s="76" t="str">
        <f>REPLACE(INDEX(GroupVertices[Group],MATCH(Edges[[#This Row],[Vertex 2]],GroupVertices[Vertex],0)),1,1,"")</f>
        <v>4</v>
      </c>
      <c r="BM140" s="45"/>
      <c r="BN140" s="46"/>
      <c r="BO140" s="45"/>
      <c r="BP140" s="46"/>
      <c r="BQ140" s="45"/>
      <c r="BR140" s="46"/>
      <c r="BS140" s="45"/>
      <c r="BT140" s="46"/>
      <c r="BU140" s="45"/>
    </row>
    <row r="141" spans="1:73" ht="15">
      <c r="A141" s="61" t="s">
        <v>227</v>
      </c>
      <c r="B141" s="61" t="s">
        <v>227</v>
      </c>
      <c r="C141" s="62" t="s">
        <v>11697</v>
      </c>
      <c r="D141" s="63">
        <v>10</v>
      </c>
      <c r="E141" s="64" t="s">
        <v>136</v>
      </c>
      <c r="F141" s="65">
        <v>10</v>
      </c>
      <c r="G141" s="62"/>
      <c r="H141" s="66"/>
      <c r="I141" s="67"/>
      <c r="J141" s="67"/>
      <c r="K141" s="31" t="s">
        <v>65</v>
      </c>
      <c r="L141" s="75">
        <v>141</v>
      </c>
      <c r="M141" s="75"/>
      <c r="N141" s="69"/>
      <c r="O141" s="77" t="s">
        <v>540</v>
      </c>
      <c r="P141" s="79">
        <v>45148.353993055556</v>
      </c>
      <c r="Q141" s="77" t="s">
        <v>554</v>
      </c>
      <c r="R141" s="77">
        <v>0</v>
      </c>
      <c r="S141" s="77">
        <v>0</v>
      </c>
      <c r="T141" s="77">
        <v>1</v>
      </c>
      <c r="U141" s="77">
        <v>0</v>
      </c>
      <c r="V141" s="77">
        <v>21</v>
      </c>
      <c r="W141" s="77"/>
      <c r="X141" s="83" t="str">
        <f>HYPERLINK("https://twitter.com/Charpy73/status/1081734473513869312?s=20")</f>
        <v>https://twitter.com/Charpy73/status/1081734473513869312?s=20</v>
      </c>
      <c r="Y141" s="77" t="s">
        <v>733</v>
      </c>
      <c r="Z141" s="77" t="s">
        <v>755</v>
      </c>
      <c r="AA141" s="77"/>
      <c r="AB141" s="77"/>
      <c r="AC141" s="81" t="s">
        <v>853</v>
      </c>
      <c r="AD141" s="77" t="s">
        <v>862</v>
      </c>
      <c r="AE141" s="83" t="str">
        <f>HYPERLINK("https://twitter.com/charpy73/status/1689554615862255616")</f>
        <v>https://twitter.com/charpy73/status/1689554615862255616</v>
      </c>
      <c r="AF141" s="79">
        <v>45148.353993055556</v>
      </c>
      <c r="AG141" s="85">
        <v>45148</v>
      </c>
      <c r="AH141" s="81" t="s">
        <v>881</v>
      </c>
      <c r="AI141" s="77" t="b">
        <v>0</v>
      </c>
      <c r="AJ141" s="77"/>
      <c r="AK141" s="77"/>
      <c r="AL141" s="77"/>
      <c r="AM141" s="77"/>
      <c r="AN141" s="77"/>
      <c r="AO141" s="77"/>
      <c r="AP141" s="77"/>
      <c r="AQ141" s="77"/>
      <c r="AR141" s="77"/>
      <c r="AS141" s="77"/>
      <c r="AT141" s="77"/>
      <c r="AU141" s="77"/>
      <c r="AV141" s="83" t="str">
        <f>HYPERLINK("https://pbs.twimg.com/profile_images/1310352185679654912/xskSwHii_normal.jpg")</f>
        <v>https://pbs.twimg.com/profile_images/1310352185679654912/xskSwHii_normal.jpg</v>
      </c>
      <c r="AW141" s="81" t="s">
        <v>1036</v>
      </c>
      <c r="AX141" s="81" t="s">
        <v>1153</v>
      </c>
      <c r="AY141" s="81" t="s">
        <v>1173</v>
      </c>
      <c r="AZ141" s="81" t="s">
        <v>1037</v>
      </c>
      <c r="BA141" s="81" t="s">
        <v>1039</v>
      </c>
      <c r="BB141" s="81" t="s">
        <v>1190</v>
      </c>
      <c r="BC141" s="81" t="s">
        <v>1037</v>
      </c>
      <c r="BD141" s="81" t="s">
        <v>1173</v>
      </c>
      <c r="BE141" s="77"/>
      <c r="BF141" s="77"/>
      <c r="BG141" s="77"/>
      <c r="BH141" s="77"/>
      <c r="BI141" s="77"/>
      <c r="BJ141">
        <v>8</v>
      </c>
      <c r="BK141" s="76" t="str">
        <f>REPLACE(INDEX(GroupVertices[Group],MATCH(Edges[[#This Row],[Vertex 1]],GroupVertices[Vertex],0)),1,1,"")</f>
        <v>4</v>
      </c>
      <c r="BL141" s="76" t="str">
        <f>REPLACE(INDEX(GroupVertices[Group],MATCH(Edges[[#This Row],[Vertex 2]],GroupVertices[Vertex],0)),1,1,"")</f>
        <v>4</v>
      </c>
      <c r="BM141" s="45"/>
      <c r="BN141" s="46"/>
      <c r="BO141" s="45"/>
      <c r="BP141" s="46"/>
      <c r="BQ141" s="45"/>
      <c r="BR141" s="46"/>
      <c r="BS141" s="45"/>
      <c r="BT141" s="46"/>
      <c r="BU141" s="45"/>
    </row>
    <row r="142" spans="1:73" ht="15">
      <c r="A142" s="61" t="s">
        <v>227</v>
      </c>
      <c r="B142" s="61" t="s">
        <v>228</v>
      </c>
      <c r="C142" s="62" t="s">
        <v>11695</v>
      </c>
      <c r="D142" s="63">
        <v>7.2</v>
      </c>
      <c r="E142" s="64" t="s">
        <v>132</v>
      </c>
      <c r="F142" s="65">
        <v>18.8</v>
      </c>
      <c r="G142" s="62"/>
      <c r="H142" s="66"/>
      <c r="I142" s="67"/>
      <c r="J142" s="67"/>
      <c r="K142" s="31" t="s">
        <v>65</v>
      </c>
      <c r="L142" s="75">
        <v>142</v>
      </c>
      <c r="M142" s="75"/>
      <c r="N142" s="69"/>
      <c r="O142" s="77" t="s">
        <v>541</v>
      </c>
      <c r="P142" s="79">
        <v>45148.353738425925</v>
      </c>
      <c r="Q142" s="77" t="s">
        <v>555</v>
      </c>
      <c r="R142" s="77">
        <v>0</v>
      </c>
      <c r="S142" s="77">
        <v>0</v>
      </c>
      <c r="T142" s="77">
        <v>1</v>
      </c>
      <c r="U142" s="77">
        <v>0</v>
      </c>
      <c r="V142" s="77">
        <v>17</v>
      </c>
      <c r="W142" s="77"/>
      <c r="X142" s="83" t="str">
        <f>HYPERLINK("https://twitter.com/Charpy73/status/1677875566521864193?s=20")</f>
        <v>https://twitter.com/Charpy73/status/1677875566521864193?s=20</v>
      </c>
      <c r="Y142" s="77" t="s">
        <v>733</v>
      </c>
      <c r="Z142" s="77" t="s">
        <v>755</v>
      </c>
      <c r="AA142" s="77"/>
      <c r="AB142" s="77"/>
      <c r="AC142" s="81" t="s">
        <v>853</v>
      </c>
      <c r="AD142" s="77" t="s">
        <v>862</v>
      </c>
      <c r="AE142" s="83" t="str">
        <f>HYPERLINK("https://twitter.com/charpy73/status/1689554525403643904")</f>
        <v>https://twitter.com/charpy73/status/1689554525403643904</v>
      </c>
      <c r="AF142" s="79">
        <v>45148.353738425925</v>
      </c>
      <c r="AG142" s="85">
        <v>45148</v>
      </c>
      <c r="AH142" s="81" t="s">
        <v>882</v>
      </c>
      <c r="AI142" s="77" t="b">
        <v>0</v>
      </c>
      <c r="AJ142" s="77"/>
      <c r="AK142" s="77"/>
      <c r="AL142" s="77"/>
      <c r="AM142" s="77"/>
      <c r="AN142" s="77"/>
      <c r="AO142" s="77"/>
      <c r="AP142" s="77"/>
      <c r="AQ142" s="77"/>
      <c r="AR142" s="77"/>
      <c r="AS142" s="77"/>
      <c r="AT142" s="77"/>
      <c r="AU142" s="77"/>
      <c r="AV142" s="83" t="str">
        <f>HYPERLINK("https://pbs.twimg.com/profile_images/1310352185679654912/xskSwHii_normal.jpg")</f>
        <v>https://pbs.twimg.com/profile_images/1310352185679654912/xskSwHii_normal.jpg</v>
      </c>
      <c r="AW142" s="81" t="s">
        <v>1037</v>
      </c>
      <c r="AX142" s="81" t="s">
        <v>1153</v>
      </c>
      <c r="AY142" s="81" t="s">
        <v>1173</v>
      </c>
      <c r="AZ142" s="81" t="s">
        <v>1035</v>
      </c>
      <c r="BA142" s="81" t="s">
        <v>1032</v>
      </c>
      <c r="BB142" s="81" t="s">
        <v>1190</v>
      </c>
      <c r="BC142" s="81" t="s">
        <v>1035</v>
      </c>
      <c r="BD142" s="81" t="s">
        <v>1173</v>
      </c>
      <c r="BE142" s="77"/>
      <c r="BF142" s="77"/>
      <c r="BG142" s="77"/>
      <c r="BH142" s="77"/>
      <c r="BI142" s="77"/>
      <c r="BJ142">
        <v>4</v>
      </c>
      <c r="BK142" s="76" t="str">
        <f>REPLACE(INDEX(GroupVertices[Group],MATCH(Edges[[#This Row],[Vertex 1]],GroupVertices[Vertex],0)),1,1,"")</f>
        <v>4</v>
      </c>
      <c r="BL142" s="76" t="str">
        <f>REPLACE(INDEX(GroupVertices[Group],MATCH(Edges[[#This Row],[Vertex 2]],GroupVertices[Vertex],0)),1,1,"")</f>
        <v>2</v>
      </c>
      <c r="BM142" s="45"/>
      <c r="BN142" s="46"/>
      <c r="BO142" s="45"/>
      <c r="BP142" s="46"/>
      <c r="BQ142" s="45"/>
      <c r="BR142" s="46"/>
      <c r="BS142" s="45"/>
      <c r="BT142" s="46"/>
      <c r="BU142" s="45"/>
    </row>
    <row r="143" spans="1:73" ht="15">
      <c r="A143" s="61" t="s">
        <v>227</v>
      </c>
      <c r="B143" s="61" t="s">
        <v>255</v>
      </c>
      <c r="C143" s="62" t="s">
        <v>11695</v>
      </c>
      <c r="D143" s="63">
        <v>7.2</v>
      </c>
      <c r="E143" s="64" t="s">
        <v>132</v>
      </c>
      <c r="F143" s="65">
        <v>18.8</v>
      </c>
      <c r="G143" s="62"/>
      <c r="H143" s="66"/>
      <c r="I143" s="67"/>
      <c r="J143" s="67"/>
      <c r="K143" s="31" t="s">
        <v>65</v>
      </c>
      <c r="L143" s="75">
        <v>143</v>
      </c>
      <c r="M143" s="75"/>
      <c r="N143" s="69"/>
      <c r="O143" s="77" t="s">
        <v>541</v>
      </c>
      <c r="P143" s="79">
        <v>45148.353738425925</v>
      </c>
      <c r="Q143" s="77" t="s">
        <v>555</v>
      </c>
      <c r="R143" s="77">
        <v>0</v>
      </c>
      <c r="S143" s="77">
        <v>0</v>
      </c>
      <c r="T143" s="77">
        <v>1</v>
      </c>
      <c r="U143" s="77">
        <v>0</v>
      </c>
      <c r="V143" s="77">
        <v>17</v>
      </c>
      <c r="W143" s="77"/>
      <c r="X143" s="83" t="str">
        <f>HYPERLINK("https://twitter.com/Charpy73/status/1677875566521864193?s=20")</f>
        <v>https://twitter.com/Charpy73/status/1677875566521864193?s=20</v>
      </c>
      <c r="Y143" s="77" t="s">
        <v>733</v>
      </c>
      <c r="Z143" s="77" t="s">
        <v>755</v>
      </c>
      <c r="AA143" s="77"/>
      <c r="AB143" s="77"/>
      <c r="AC143" s="81" t="s">
        <v>853</v>
      </c>
      <c r="AD143" s="77" t="s">
        <v>862</v>
      </c>
      <c r="AE143" s="83" t="str">
        <f>HYPERLINK("https://twitter.com/charpy73/status/1689554525403643904")</f>
        <v>https://twitter.com/charpy73/status/1689554525403643904</v>
      </c>
      <c r="AF143" s="79">
        <v>45148.353738425925</v>
      </c>
      <c r="AG143" s="85">
        <v>45148</v>
      </c>
      <c r="AH143" s="81" t="s">
        <v>882</v>
      </c>
      <c r="AI143" s="77" t="b">
        <v>0</v>
      </c>
      <c r="AJ143" s="77"/>
      <c r="AK143" s="77"/>
      <c r="AL143" s="77"/>
      <c r="AM143" s="77"/>
      <c r="AN143" s="77"/>
      <c r="AO143" s="77"/>
      <c r="AP143" s="77"/>
      <c r="AQ143" s="77"/>
      <c r="AR143" s="77"/>
      <c r="AS143" s="77"/>
      <c r="AT143" s="77"/>
      <c r="AU143" s="77"/>
      <c r="AV143" s="83" t="str">
        <f>HYPERLINK("https://pbs.twimg.com/profile_images/1310352185679654912/xskSwHii_normal.jpg")</f>
        <v>https://pbs.twimg.com/profile_images/1310352185679654912/xskSwHii_normal.jpg</v>
      </c>
      <c r="AW143" s="81" t="s">
        <v>1037</v>
      </c>
      <c r="AX143" s="81" t="s">
        <v>1153</v>
      </c>
      <c r="AY143" s="81" t="s">
        <v>1173</v>
      </c>
      <c r="AZ143" s="81" t="s">
        <v>1035</v>
      </c>
      <c r="BA143" s="81" t="s">
        <v>1032</v>
      </c>
      <c r="BB143" s="81" t="s">
        <v>1190</v>
      </c>
      <c r="BC143" s="81" t="s">
        <v>1035</v>
      </c>
      <c r="BD143" s="81" t="s">
        <v>1173</v>
      </c>
      <c r="BE143" s="77"/>
      <c r="BF143" s="77"/>
      <c r="BG143" s="77"/>
      <c r="BH143" s="77"/>
      <c r="BI143" s="77"/>
      <c r="BJ143">
        <v>4</v>
      </c>
      <c r="BK143" s="76" t="str">
        <f>REPLACE(INDEX(GroupVertices[Group],MATCH(Edges[[#This Row],[Vertex 1]],GroupVertices[Vertex],0)),1,1,"")</f>
        <v>4</v>
      </c>
      <c r="BL143" s="76" t="str">
        <f>REPLACE(INDEX(GroupVertices[Group],MATCH(Edges[[#This Row],[Vertex 2]],GroupVertices[Vertex],0)),1,1,"")</f>
        <v>5</v>
      </c>
      <c r="BM143" s="45">
        <v>0</v>
      </c>
      <c r="BN143" s="46">
        <v>0</v>
      </c>
      <c r="BO143" s="45">
        <v>0</v>
      </c>
      <c r="BP143" s="46">
        <v>0</v>
      </c>
      <c r="BQ143" s="45">
        <v>0</v>
      </c>
      <c r="BR143" s="46">
        <v>0</v>
      </c>
      <c r="BS143" s="45">
        <v>20</v>
      </c>
      <c r="BT143" s="46">
        <v>100</v>
      </c>
      <c r="BU143" s="45">
        <v>20</v>
      </c>
    </row>
    <row r="144" spans="1:73" ht="15">
      <c r="A144" s="61" t="s">
        <v>227</v>
      </c>
      <c r="B144" s="61" t="s">
        <v>227</v>
      </c>
      <c r="C144" s="62" t="s">
        <v>11695</v>
      </c>
      <c r="D144" s="63">
        <v>7.2</v>
      </c>
      <c r="E144" s="64" t="s">
        <v>132</v>
      </c>
      <c r="F144" s="65">
        <v>18.8</v>
      </c>
      <c r="G144" s="62"/>
      <c r="H144" s="66"/>
      <c r="I144" s="67"/>
      <c r="J144" s="67"/>
      <c r="K144" s="31" t="s">
        <v>65</v>
      </c>
      <c r="L144" s="75">
        <v>144</v>
      </c>
      <c r="M144" s="75"/>
      <c r="N144" s="69"/>
      <c r="O144" s="77" t="s">
        <v>542</v>
      </c>
      <c r="P144" s="79">
        <v>45148.353738425925</v>
      </c>
      <c r="Q144" s="77" t="s">
        <v>555</v>
      </c>
      <c r="R144" s="77">
        <v>0</v>
      </c>
      <c r="S144" s="77">
        <v>0</v>
      </c>
      <c r="T144" s="77">
        <v>1</v>
      </c>
      <c r="U144" s="77">
        <v>0</v>
      </c>
      <c r="V144" s="77">
        <v>17</v>
      </c>
      <c r="W144" s="77"/>
      <c r="X144" s="83" t="str">
        <f>HYPERLINK("https://twitter.com/Charpy73/status/1677875566521864193?s=20")</f>
        <v>https://twitter.com/Charpy73/status/1677875566521864193?s=20</v>
      </c>
      <c r="Y144" s="77" t="s">
        <v>733</v>
      </c>
      <c r="Z144" s="77" t="s">
        <v>755</v>
      </c>
      <c r="AA144" s="77"/>
      <c r="AB144" s="77"/>
      <c r="AC144" s="81" t="s">
        <v>853</v>
      </c>
      <c r="AD144" s="77" t="s">
        <v>862</v>
      </c>
      <c r="AE144" s="83" t="str">
        <f>HYPERLINK("https://twitter.com/charpy73/status/1689554525403643904")</f>
        <v>https://twitter.com/charpy73/status/1689554525403643904</v>
      </c>
      <c r="AF144" s="79">
        <v>45148.353738425925</v>
      </c>
      <c r="AG144" s="85">
        <v>45148</v>
      </c>
      <c r="AH144" s="81" t="s">
        <v>882</v>
      </c>
      <c r="AI144" s="77" t="b">
        <v>0</v>
      </c>
      <c r="AJ144" s="77"/>
      <c r="AK144" s="77"/>
      <c r="AL144" s="77"/>
      <c r="AM144" s="77"/>
      <c r="AN144" s="77"/>
      <c r="AO144" s="77"/>
      <c r="AP144" s="77"/>
      <c r="AQ144" s="77"/>
      <c r="AR144" s="77"/>
      <c r="AS144" s="77"/>
      <c r="AT144" s="77"/>
      <c r="AU144" s="77"/>
      <c r="AV144" s="83" t="str">
        <f>HYPERLINK("https://pbs.twimg.com/profile_images/1310352185679654912/xskSwHii_normal.jpg")</f>
        <v>https://pbs.twimg.com/profile_images/1310352185679654912/xskSwHii_normal.jpg</v>
      </c>
      <c r="AW144" s="81" t="s">
        <v>1037</v>
      </c>
      <c r="AX144" s="81" t="s">
        <v>1153</v>
      </c>
      <c r="AY144" s="81" t="s">
        <v>1173</v>
      </c>
      <c r="AZ144" s="81" t="s">
        <v>1035</v>
      </c>
      <c r="BA144" s="81" t="s">
        <v>1032</v>
      </c>
      <c r="BB144" s="81" t="s">
        <v>1190</v>
      </c>
      <c r="BC144" s="81" t="s">
        <v>1035</v>
      </c>
      <c r="BD144" s="81" t="s">
        <v>1173</v>
      </c>
      <c r="BE144" s="77"/>
      <c r="BF144" s="77"/>
      <c r="BG144" s="77"/>
      <c r="BH144" s="77"/>
      <c r="BI144" s="77"/>
      <c r="BJ144">
        <v>4</v>
      </c>
      <c r="BK144" s="76" t="str">
        <f>REPLACE(INDEX(GroupVertices[Group],MATCH(Edges[[#This Row],[Vertex 1]],GroupVertices[Vertex],0)),1,1,"")</f>
        <v>4</v>
      </c>
      <c r="BL144" s="76" t="str">
        <f>REPLACE(INDEX(GroupVertices[Group],MATCH(Edges[[#This Row],[Vertex 2]],GroupVertices[Vertex],0)),1,1,"")</f>
        <v>4</v>
      </c>
      <c r="BM144" s="45"/>
      <c r="BN144" s="46"/>
      <c r="BO144" s="45"/>
      <c r="BP144" s="46"/>
      <c r="BQ144" s="45"/>
      <c r="BR144" s="46"/>
      <c r="BS144" s="45"/>
      <c r="BT144" s="46"/>
      <c r="BU144" s="45"/>
    </row>
    <row r="145" spans="1:73" ht="15">
      <c r="A145" s="61" t="s">
        <v>227</v>
      </c>
      <c r="B145" s="61" t="s">
        <v>227</v>
      </c>
      <c r="C145" s="62" t="s">
        <v>11697</v>
      </c>
      <c r="D145" s="63">
        <v>10</v>
      </c>
      <c r="E145" s="64" t="s">
        <v>136</v>
      </c>
      <c r="F145" s="65">
        <v>10</v>
      </c>
      <c r="G145" s="62"/>
      <c r="H145" s="66"/>
      <c r="I145" s="67"/>
      <c r="J145" s="67"/>
      <c r="K145" s="31" t="s">
        <v>65</v>
      </c>
      <c r="L145" s="75">
        <v>145</v>
      </c>
      <c r="M145" s="75"/>
      <c r="N145" s="69"/>
      <c r="O145" s="77" t="s">
        <v>540</v>
      </c>
      <c r="P145" s="79">
        <v>45148.353738425925</v>
      </c>
      <c r="Q145" s="77" t="s">
        <v>555</v>
      </c>
      <c r="R145" s="77">
        <v>0</v>
      </c>
      <c r="S145" s="77">
        <v>0</v>
      </c>
      <c r="T145" s="77">
        <v>1</v>
      </c>
      <c r="U145" s="77">
        <v>0</v>
      </c>
      <c r="V145" s="77">
        <v>17</v>
      </c>
      <c r="W145" s="77"/>
      <c r="X145" s="83" t="str">
        <f>HYPERLINK("https://twitter.com/Charpy73/status/1677875566521864193?s=20")</f>
        <v>https://twitter.com/Charpy73/status/1677875566521864193?s=20</v>
      </c>
      <c r="Y145" s="77" t="s">
        <v>733</v>
      </c>
      <c r="Z145" s="77" t="s">
        <v>755</v>
      </c>
      <c r="AA145" s="77"/>
      <c r="AB145" s="77"/>
      <c r="AC145" s="81" t="s">
        <v>853</v>
      </c>
      <c r="AD145" s="77" t="s">
        <v>862</v>
      </c>
      <c r="AE145" s="83" t="str">
        <f>HYPERLINK("https://twitter.com/charpy73/status/1689554525403643904")</f>
        <v>https://twitter.com/charpy73/status/1689554525403643904</v>
      </c>
      <c r="AF145" s="79">
        <v>45148.353738425925</v>
      </c>
      <c r="AG145" s="85">
        <v>45148</v>
      </c>
      <c r="AH145" s="81" t="s">
        <v>882</v>
      </c>
      <c r="AI145" s="77" t="b">
        <v>0</v>
      </c>
      <c r="AJ145" s="77"/>
      <c r="AK145" s="77"/>
      <c r="AL145" s="77"/>
      <c r="AM145" s="77"/>
      <c r="AN145" s="77"/>
      <c r="AO145" s="77"/>
      <c r="AP145" s="77"/>
      <c r="AQ145" s="77"/>
      <c r="AR145" s="77"/>
      <c r="AS145" s="77"/>
      <c r="AT145" s="77"/>
      <c r="AU145" s="77"/>
      <c r="AV145" s="83" t="str">
        <f>HYPERLINK("https://pbs.twimg.com/profile_images/1310352185679654912/xskSwHii_normal.jpg")</f>
        <v>https://pbs.twimg.com/profile_images/1310352185679654912/xskSwHii_normal.jpg</v>
      </c>
      <c r="AW145" s="81" t="s">
        <v>1037</v>
      </c>
      <c r="AX145" s="81" t="s">
        <v>1153</v>
      </c>
      <c r="AY145" s="81" t="s">
        <v>1173</v>
      </c>
      <c r="AZ145" s="81" t="s">
        <v>1035</v>
      </c>
      <c r="BA145" s="81" t="s">
        <v>1032</v>
      </c>
      <c r="BB145" s="81" t="s">
        <v>1190</v>
      </c>
      <c r="BC145" s="81" t="s">
        <v>1035</v>
      </c>
      <c r="BD145" s="81" t="s">
        <v>1173</v>
      </c>
      <c r="BE145" s="77"/>
      <c r="BF145" s="77"/>
      <c r="BG145" s="77"/>
      <c r="BH145" s="77"/>
      <c r="BI145" s="77"/>
      <c r="BJ145">
        <v>8</v>
      </c>
      <c r="BK145" s="76" t="str">
        <f>REPLACE(INDEX(GroupVertices[Group],MATCH(Edges[[#This Row],[Vertex 1]],GroupVertices[Vertex],0)),1,1,"")</f>
        <v>4</v>
      </c>
      <c r="BL145" s="76" t="str">
        <f>REPLACE(INDEX(GroupVertices[Group],MATCH(Edges[[#This Row],[Vertex 2]],GroupVertices[Vertex],0)),1,1,"")</f>
        <v>4</v>
      </c>
      <c r="BM145" s="45"/>
      <c r="BN145" s="46"/>
      <c r="BO145" s="45"/>
      <c r="BP145" s="46"/>
      <c r="BQ145" s="45"/>
      <c r="BR145" s="46"/>
      <c r="BS145" s="45"/>
      <c r="BT145" s="46"/>
      <c r="BU145" s="45"/>
    </row>
    <row r="146" spans="1:73" ht="15">
      <c r="A146" s="61" t="s">
        <v>227</v>
      </c>
      <c r="B146" s="61" t="s">
        <v>227</v>
      </c>
      <c r="C146" s="62" t="s">
        <v>11697</v>
      </c>
      <c r="D146" s="63">
        <v>10</v>
      </c>
      <c r="E146" s="64" t="s">
        <v>136</v>
      </c>
      <c r="F146" s="65">
        <v>10</v>
      </c>
      <c r="G146" s="62"/>
      <c r="H146" s="66"/>
      <c r="I146" s="67"/>
      <c r="J146" s="67"/>
      <c r="K146" s="31" t="s">
        <v>65</v>
      </c>
      <c r="L146" s="75">
        <v>146</v>
      </c>
      <c r="M146" s="75"/>
      <c r="N146" s="69"/>
      <c r="O146" s="77" t="s">
        <v>540</v>
      </c>
      <c r="P146" s="79">
        <v>43441.670115740744</v>
      </c>
      <c r="Q146" s="77" t="s">
        <v>558</v>
      </c>
      <c r="R146" s="77">
        <v>11</v>
      </c>
      <c r="S146" s="77">
        <v>1</v>
      </c>
      <c r="T146" s="77">
        <v>9</v>
      </c>
      <c r="U146" s="77">
        <v>1</v>
      </c>
      <c r="V146" s="77"/>
      <c r="W146" s="81" t="s">
        <v>671</v>
      </c>
      <c r="X146" s="83" t="str">
        <f>HYPERLINK("https://g.co/kgs/DaHyUP")</f>
        <v>https://g.co/kgs/DaHyUP</v>
      </c>
      <c r="Y146" s="77" t="s">
        <v>738</v>
      </c>
      <c r="Z146" s="77"/>
      <c r="AA146" s="77" t="s">
        <v>825</v>
      </c>
      <c r="AB146" s="77" t="s">
        <v>848</v>
      </c>
      <c r="AC146" s="81" t="s">
        <v>856</v>
      </c>
      <c r="AD146" s="77" t="s">
        <v>864</v>
      </c>
      <c r="AE146" s="83" t="str">
        <f>HYPERLINK("https://twitter.com/charpy73/status/1071073087528058880")</f>
        <v>https://twitter.com/charpy73/status/1071073087528058880</v>
      </c>
      <c r="AF146" s="79">
        <v>43441.670115740744</v>
      </c>
      <c r="AG146" s="85">
        <v>43441</v>
      </c>
      <c r="AH146" s="81" t="s">
        <v>885</v>
      </c>
      <c r="AI146" s="77" t="b">
        <v>0</v>
      </c>
      <c r="AJ146" s="77"/>
      <c r="AK146" s="77"/>
      <c r="AL146" s="77"/>
      <c r="AM146" s="77"/>
      <c r="AN146" s="77"/>
      <c r="AO146" s="77"/>
      <c r="AP146" s="77"/>
      <c r="AQ146" s="77" t="s">
        <v>1004</v>
      </c>
      <c r="AR146" s="77"/>
      <c r="AS146" s="77"/>
      <c r="AT146" s="77"/>
      <c r="AU146" s="77"/>
      <c r="AV146" s="83" t="str">
        <f>HYPERLINK("https://pbs.twimg.com/media/Dt0z6W_U4AAF-AK.jpg")</f>
        <v>https://pbs.twimg.com/media/Dt0z6W_U4AAF-AK.jpg</v>
      </c>
      <c r="AW146" s="81" t="s">
        <v>1040</v>
      </c>
      <c r="AX146" s="81" t="s">
        <v>1155</v>
      </c>
      <c r="AY146" s="81" t="s">
        <v>1173</v>
      </c>
      <c r="AZ146" s="81" t="s">
        <v>1192</v>
      </c>
      <c r="BA146" s="81" t="s">
        <v>1190</v>
      </c>
      <c r="BB146" s="81" t="s">
        <v>1190</v>
      </c>
      <c r="BC146" s="81" t="s">
        <v>1192</v>
      </c>
      <c r="BD146" s="81" t="s">
        <v>1173</v>
      </c>
      <c r="BE146" s="77"/>
      <c r="BF146" s="77"/>
      <c r="BG146" s="77"/>
      <c r="BH146" s="77"/>
      <c r="BI146" s="77"/>
      <c r="BJ146">
        <v>8</v>
      </c>
      <c r="BK146" s="76" t="str">
        <f>REPLACE(INDEX(GroupVertices[Group],MATCH(Edges[[#This Row],[Vertex 1]],GroupVertices[Vertex],0)),1,1,"")</f>
        <v>4</v>
      </c>
      <c r="BL146" s="76" t="str">
        <f>REPLACE(INDEX(GroupVertices[Group],MATCH(Edges[[#This Row],[Vertex 2]],GroupVertices[Vertex],0)),1,1,"")</f>
        <v>4</v>
      </c>
      <c r="BM146" s="45">
        <v>1</v>
      </c>
      <c r="BN146" s="46">
        <v>9.090909090909092</v>
      </c>
      <c r="BO146" s="45">
        <v>0</v>
      </c>
      <c r="BP146" s="46">
        <v>0</v>
      </c>
      <c r="BQ146" s="45">
        <v>0</v>
      </c>
      <c r="BR146" s="46">
        <v>0</v>
      </c>
      <c r="BS146" s="45">
        <v>5</v>
      </c>
      <c r="BT146" s="46">
        <v>45.45454545454545</v>
      </c>
      <c r="BU146" s="45">
        <v>11</v>
      </c>
    </row>
    <row r="147" spans="1:73" ht="15">
      <c r="A147" s="61" t="s">
        <v>227</v>
      </c>
      <c r="B147" s="61" t="s">
        <v>228</v>
      </c>
      <c r="C147" s="62" t="s">
        <v>11695</v>
      </c>
      <c r="D147" s="63">
        <v>7.2</v>
      </c>
      <c r="E147" s="64" t="s">
        <v>132</v>
      </c>
      <c r="F147" s="65">
        <v>18.8</v>
      </c>
      <c r="G147" s="62"/>
      <c r="H147" s="66"/>
      <c r="I147" s="67"/>
      <c r="J147" s="67"/>
      <c r="K147" s="31" t="s">
        <v>65</v>
      </c>
      <c r="L147" s="75">
        <v>147</v>
      </c>
      <c r="M147" s="75"/>
      <c r="N147" s="69"/>
      <c r="O147" s="77" t="s">
        <v>541</v>
      </c>
      <c r="P147" s="79">
        <v>45148.36515046296</v>
      </c>
      <c r="Q147" s="77" t="s">
        <v>551</v>
      </c>
      <c r="R147" s="77">
        <v>0</v>
      </c>
      <c r="S147" s="77">
        <v>0</v>
      </c>
      <c r="T147" s="77">
        <v>0</v>
      </c>
      <c r="U147" s="77">
        <v>0</v>
      </c>
      <c r="V147" s="77">
        <v>44</v>
      </c>
      <c r="W147" s="77"/>
      <c r="X147" s="83" t="str">
        <f>HYPERLINK("https://twitter.com/Charpy73/status/1071073087528058880?s=20")</f>
        <v>https://twitter.com/Charpy73/status/1071073087528058880?s=20</v>
      </c>
      <c r="Y147" s="77" t="s">
        <v>733</v>
      </c>
      <c r="Z147" s="77" t="s">
        <v>752</v>
      </c>
      <c r="AA147" s="77"/>
      <c r="AB147" s="77"/>
      <c r="AC147" s="81" t="s">
        <v>853</v>
      </c>
      <c r="AD147" s="77" t="s">
        <v>859</v>
      </c>
      <c r="AE147" s="83" t="str">
        <f>HYPERLINK("https://twitter.com/charpy73/status/1689558661083934720")</f>
        <v>https://twitter.com/charpy73/status/1689558661083934720</v>
      </c>
      <c r="AF147" s="79">
        <v>45148.36515046296</v>
      </c>
      <c r="AG147" s="85">
        <v>45148</v>
      </c>
      <c r="AH147" s="81" t="s">
        <v>878</v>
      </c>
      <c r="AI147" s="77" t="b">
        <v>0</v>
      </c>
      <c r="AJ147" s="77"/>
      <c r="AK147" s="77"/>
      <c r="AL147" s="77"/>
      <c r="AM147" s="77"/>
      <c r="AN147" s="77"/>
      <c r="AO147" s="77"/>
      <c r="AP147" s="77"/>
      <c r="AQ147" s="77"/>
      <c r="AR147" s="77"/>
      <c r="AS147" s="77"/>
      <c r="AT147" s="77"/>
      <c r="AU147" s="77"/>
      <c r="AV147" s="83" t="str">
        <f>HYPERLINK("https://pbs.twimg.com/profile_images/1310352185679654912/xskSwHii_normal.jpg")</f>
        <v>https://pbs.twimg.com/profile_images/1310352185679654912/xskSwHii_normal.jpg</v>
      </c>
      <c r="AW147" s="81" t="s">
        <v>1033</v>
      </c>
      <c r="AX147" s="81" t="s">
        <v>1153</v>
      </c>
      <c r="AY147" s="81" t="s">
        <v>1173</v>
      </c>
      <c r="AZ147" s="81" t="s">
        <v>1034</v>
      </c>
      <c r="BA147" s="81" t="s">
        <v>1040</v>
      </c>
      <c r="BB147" s="81" t="s">
        <v>1190</v>
      </c>
      <c r="BC147" s="81" t="s">
        <v>1034</v>
      </c>
      <c r="BD147" s="81" t="s">
        <v>1173</v>
      </c>
      <c r="BE147" s="77"/>
      <c r="BF147" s="77"/>
      <c r="BG147" s="77"/>
      <c r="BH147" s="77"/>
      <c r="BI147" s="77"/>
      <c r="BJ147">
        <v>4</v>
      </c>
      <c r="BK147" s="76" t="str">
        <f>REPLACE(INDEX(GroupVertices[Group],MATCH(Edges[[#This Row],[Vertex 1]],GroupVertices[Vertex],0)),1,1,"")</f>
        <v>4</v>
      </c>
      <c r="BL147" s="76" t="str">
        <f>REPLACE(INDEX(GroupVertices[Group],MATCH(Edges[[#This Row],[Vertex 2]],GroupVertices[Vertex],0)),1,1,"")</f>
        <v>2</v>
      </c>
      <c r="BM147" s="45"/>
      <c r="BN147" s="46"/>
      <c r="BO147" s="45"/>
      <c r="BP147" s="46"/>
      <c r="BQ147" s="45"/>
      <c r="BR147" s="46"/>
      <c r="BS147" s="45"/>
      <c r="BT147" s="46"/>
      <c r="BU147" s="45"/>
    </row>
    <row r="148" spans="1:73" ht="15">
      <c r="A148" s="61" t="s">
        <v>227</v>
      </c>
      <c r="B148" s="61" t="s">
        <v>255</v>
      </c>
      <c r="C148" s="62" t="s">
        <v>11695</v>
      </c>
      <c r="D148" s="63">
        <v>7.2</v>
      </c>
      <c r="E148" s="64" t="s">
        <v>132</v>
      </c>
      <c r="F148" s="65">
        <v>18.8</v>
      </c>
      <c r="G148" s="62"/>
      <c r="H148" s="66"/>
      <c r="I148" s="67"/>
      <c r="J148" s="67"/>
      <c r="K148" s="31" t="s">
        <v>65</v>
      </c>
      <c r="L148" s="75">
        <v>148</v>
      </c>
      <c r="M148" s="75"/>
      <c r="N148" s="69"/>
      <c r="O148" s="77" t="s">
        <v>541</v>
      </c>
      <c r="P148" s="79">
        <v>45148.36515046296</v>
      </c>
      <c r="Q148" s="77" t="s">
        <v>551</v>
      </c>
      <c r="R148" s="77">
        <v>0</v>
      </c>
      <c r="S148" s="77">
        <v>0</v>
      </c>
      <c r="T148" s="77">
        <v>0</v>
      </c>
      <c r="U148" s="77">
        <v>0</v>
      </c>
      <c r="V148" s="77">
        <v>44</v>
      </c>
      <c r="W148" s="77"/>
      <c r="X148" s="83" t="str">
        <f>HYPERLINK("https://twitter.com/Charpy73/status/1071073087528058880?s=20")</f>
        <v>https://twitter.com/Charpy73/status/1071073087528058880?s=20</v>
      </c>
      <c r="Y148" s="77" t="s">
        <v>733</v>
      </c>
      <c r="Z148" s="77" t="s">
        <v>752</v>
      </c>
      <c r="AA148" s="77"/>
      <c r="AB148" s="77"/>
      <c r="AC148" s="81" t="s">
        <v>853</v>
      </c>
      <c r="AD148" s="77" t="s">
        <v>859</v>
      </c>
      <c r="AE148" s="83" t="str">
        <f>HYPERLINK("https://twitter.com/charpy73/status/1689558661083934720")</f>
        <v>https://twitter.com/charpy73/status/1689558661083934720</v>
      </c>
      <c r="AF148" s="79">
        <v>45148.36515046296</v>
      </c>
      <c r="AG148" s="85">
        <v>45148</v>
      </c>
      <c r="AH148" s="81" t="s">
        <v>878</v>
      </c>
      <c r="AI148" s="77" t="b">
        <v>0</v>
      </c>
      <c r="AJ148" s="77"/>
      <c r="AK148" s="77"/>
      <c r="AL148" s="77"/>
      <c r="AM148" s="77"/>
      <c r="AN148" s="77"/>
      <c r="AO148" s="77"/>
      <c r="AP148" s="77"/>
      <c r="AQ148" s="77"/>
      <c r="AR148" s="77"/>
      <c r="AS148" s="77"/>
      <c r="AT148" s="77"/>
      <c r="AU148" s="77"/>
      <c r="AV148" s="83" t="str">
        <f>HYPERLINK("https://pbs.twimg.com/profile_images/1310352185679654912/xskSwHii_normal.jpg")</f>
        <v>https://pbs.twimg.com/profile_images/1310352185679654912/xskSwHii_normal.jpg</v>
      </c>
      <c r="AW148" s="81" t="s">
        <v>1033</v>
      </c>
      <c r="AX148" s="81" t="s">
        <v>1153</v>
      </c>
      <c r="AY148" s="81" t="s">
        <v>1173</v>
      </c>
      <c r="AZ148" s="81" t="s">
        <v>1034</v>
      </c>
      <c r="BA148" s="81" t="s">
        <v>1040</v>
      </c>
      <c r="BB148" s="81" t="s">
        <v>1190</v>
      </c>
      <c r="BC148" s="81" t="s">
        <v>1034</v>
      </c>
      <c r="BD148" s="81" t="s">
        <v>1173</v>
      </c>
      <c r="BE148" s="77"/>
      <c r="BF148" s="77"/>
      <c r="BG148" s="77"/>
      <c r="BH148" s="77"/>
      <c r="BI148" s="77"/>
      <c r="BJ148">
        <v>4</v>
      </c>
      <c r="BK148" s="76" t="str">
        <f>REPLACE(INDEX(GroupVertices[Group],MATCH(Edges[[#This Row],[Vertex 1]],GroupVertices[Vertex],0)),1,1,"")</f>
        <v>4</v>
      </c>
      <c r="BL148" s="76" t="str">
        <f>REPLACE(INDEX(GroupVertices[Group],MATCH(Edges[[#This Row],[Vertex 2]],GroupVertices[Vertex],0)),1,1,"")</f>
        <v>5</v>
      </c>
      <c r="BM148" s="45">
        <v>0</v>
      </c>
      <c r="BN148" s="46">
        <v>0</v>
      </c>
      <c r="BO148" s="45">
        <v>0</v>
      </c>
      <c r="BP148" s="46">
        <v>0</v>
      </c>
      <c r="BQ148" s="45">
        <v>0</v>
      </c>
      <c r="BR148" s="46">
        <v>0</v>
      </c>
      <c r="BS148" s="45">
        <v>31</v>
      </c>
      <c r="BT148" s="46">
        <v>86.11111111111111</v>
      </c>
      <c r="BU148" s="45">
        <v>36</v>
      </c>
    </row>
    <row r="149" spans="1:73" ht="15">
      <c r="A149" s="61" t="s">
        <v>227</v>
      </c>
      <c r="B149" s="61" t="s">
        <v>227</v>
      </c>
      <c r="C149" s="62" t="s">
        <v>11695</v>
      </c>
      <c r="D149" s="63">
        <v>7.2</v>
      </c>
      <c r="E149" s="64" t="s">
        <v>132</v>
      </c>
      <c r="F149" s="65">
        <v>18.8</v>
      </c>
      <c r="G149" s="62"/>
      <c r="H149" s="66"/>
      <c r="I149" s="67"/>
      <c r="J149" s="67"/>
      <c r="K149" s="31" t="s">
        <v>65</v>
      </c>
      <c r="L149" s="75">
        <v>149</v>
      </c>
      <c r="M149" s="75"/>
      <c r="N149" s="69"/>
      <c r="O149" s="77" t="s">
        <v>542</v>
      </c>
      <c r="P149" s="79">
        <v>45148.36515046296</v>
      </c>
      <c r="Q149" s="77" t="s">
        <v>551</v>
      </c>
      <c r="R149" s="77">
        <v>0</v>
      </c>
      <c r="S149" s="77">
        <v>0</v>
      </c>
      <c r="T149" s="77">
        <v>0</v>
      </c>
      <c r="U149" s="77">
        <v>0</v>
      </c>
      <c r="V149" s="77">
        <v>44</v>
      </c>
      <c r="W149" s="77"/>
      <c r="X149" s="83" t="str">
        <f>HYPERLINK("https://twitter.com/Charpy73/status/1071073087528058880?s=20")</f>
        <v>https://twitter.com/Charpy73/status/1071073087528058880?s=20</v>
      </c>
      <c r="Y149" s="77" t="s">
        <v>733</v>
      </c>
      <c r="Z149" s="77" t="s">
        <v>752</v>
      </c>
      <c r="AA149" s="77"/>
      <c r="AB149" s="77"/>
      <c r="AC149" s="81" t="s">
        <v>853</v>
      </c>
      <c r="AD149" s="77" t="s">
        <v>859</v>
      </c>
      <c r="AE149" s="83" t="str">
        <f>HYPERLINK("https://twitter.com/charpy73/status/1689558661083934720")</f>
        <v>https://twitter.com/charpy73/status/1689558661083934720</v>
      </c>
      <c r="AF149" s="79">
        <v>45148.36515046296</v>
      </c>
      <c r="AG149" s="85">
        <v>45148</v>
      </c>
      <c r="AH149" s="81" t="s">
        <v>878</v>
      </c>
      <c r="AI149" s="77" t="b">
        <v>0</v>
      </c>
      <c r="AJ149" s="77"/>
      <c r="AK149" s="77"/>
      <c r="AL149" s="77"/>
      <c r="AM149" s="77"/>
      <c r="AN149" s="77"/>
      <c r="AO149" s="77"/>
      <c r="AP149" s="77"/>
      <c r="AQ149" s="77"/>
      <c r="AR149" s="77"/>
      <c r="AS149" s="77"/>
      <c r="AT149" s="77"/>
      <c r="AU149" s="77"/>
      <c r="AV149" s="83" t="str">
        <f>HYPERLINK("https://pbs.twimg.com/profile_images/1310352185679654912/xskSwHii_normal.jpg")</f>
        <v>https://pbs.twimg.com/profile_images/1310352185679654912/xskSwHii_normal.jpg</v>
      </c>
      <c r="AW149" s="81" t="s">
        <v>1033</v>
      </c>
      <c r="AX149" s="81" t="s">
        <v>1153</v>
      </c>
      <c r="AY149" s="81" t="s">
        <v>1173</v>
      </c>
      <c r="AZ149" s="81" t="s">
        <v>1034</v>
      </c>
      <c r="BA149" s="81" t="s">
        <v>1040</v>
      </c>
      <c r="BB149" s="81" t="s">
        <v>1190</v>
      </c>
      <c r="BC149" s="81" t="s">
        <v>1034</v>
      </c>
      <c r="BD149" s="81" t="s">
        <v>1173</v>
      </c>
      <c r="BE149" s="77"/>
      <c r="BF149" s="77"/>
      <c r="BG149" s="77"/>
      <c r="BH149" s="77"/>
      <c r="BI149" s="77"/>
      <c r="BJ149">
        <v>4</v>
      </c>
      <c r="BK149" s="76" t="str">
        <f>REPLACE(INDEX(GroupVertices[Group],MATCH(Edges[[#This Row],[Vertex 1]],GroupVertices[Vertex],0)),1,1,"")</f>
        <v>4</v>
      </c>
      <c r="BL149" s="76" t="str">
        <f>REPLACE(INDEX(GroupVertices[Group],MATCH(Edges[[#This Row],[Vertex 2]],GroupVertices[Vertex],0)),1,1,"")</f>
        <v>4</v>
      </c>
      <c r="BM149" s="45"/>
      <c r="BN149" s="46"/>
      <c r="BO149" s="45"/>
      <c r="BP149" s="46"/>
      <c r="BQ149" s="45"/>
      <c r="BR149" s="46"/>
      <c r="BS149" s="45"/>
      <c r="BT149" s="46"/>
      <c r="BU149" s="45"/>
    </row>
    <row r="150" spans="1:73" ht="15">
      <c r="A150" s="61" t="s">
        <v>227</v>
      </c>
      <c r="B150" s="61" t="s">
        <v>227</v>
      </c>
      <c r="C150" s="62" t="s">
        <v>11697</v>
      </c>
      <c r="D150" s="63">
        <v>10</v>
      </c>
      <c r="E150" s="64" t="s">
        <v>136</v>
      </c>
      <c r="F150" s="65">
        <v>10</v>
      </c>
      <c r="G150" s="62"/>
      <c r="H150" s="66"/>
      <c r="I150" s="67"/>
      <c r="J150" s="67"/>
      <c r="K150" s="31" t="s">
        <v>65</v>
      </c>
      <c r="L150" s="75">
        <v>150</v>
      </c>
      <c r="M150" s="75"/>
      <c r="N150" s="69"/>
      <c r="O150" s="77" t="s">
        <v>540</v>
      </c>
      <c r="P150" s="79">
        <v>45148.36515046296</v>
      </c>
      <c r="Q150" s="77" t="s">
        <v>551</v>
      </c>
      <c r="R150" s="77">
        <v>0</v>
      </c>
      <c r="S150" s="77">
        <v>0</v>
      </c>
      <c r="T150" s="77">
        <v>0</v>
      </c>
      <c r="U150" s="77">
        <v>0</v>
      </c>
      <c r="V150" s="77">
        <v>44</v>
      </c>
      <c r="W150" s="77"/>
      <c r="X150" s="83" t="str">
        <f>HYPERLINK("https://twitter.com/Charpy73/status/1071073087528058880?s=20")</f>
        <v>https://twitter.com/Charpy73/status/1071073087528058880?s=20</v>
      </c>
      <c r="Y150" s="77" t="s">
        <v>733</v>
      </c>
      <c r="Z150" s="77" t="s">
        <v>752</v>
      </c>
      <c r="AA150" s="77"/>
      <c r="AB150" s="77"/>
      <c r="AC150" s="81" t="s">
        <v>853</v>
      </c>
      <c r="AD150" s="77" t="s">
        <v>859</v>
      </c>
      <c r="AE150" s="83" t="str">
        <f>HYPERLINK("https://twitter.com/charpy73/status/1689558661083934720")</f>
        <v>https://twitter.com/charpy73/status/1689558661083934720</v>
      </c>
      <c r="AF150" s="79">
        <v>45148.36515046296</v>
      </c>
      <c r="AG150" s="85">
        <v>45148</v>
      </c>
      <c r="AH150" s="81" t="s">
        <v>878</v>
      </c>
      <c r="AI150" s="77" t="b">
        <v>0</v>
      </c>
      <c r="AJ150" s="77"/>
      <c r="AK150" s="77"/>
      <c r="AL150" s="77"/>
      <c r="AM150" s="77"/>
      <c r="AN150" s="77"/>
      <c r="AO150" s="77"/>
      <c r="AP150" s="77"/>
      <c r="AQ150" s="77"/>
      <c r="AR150" s="77"/>
      <c r="AS150" s="77"/>
      <c r="AT150" s="77"/>
      <c r="AU150" s="77"/>
      <c r="AV150" s="83" t="str">
        <f>HYPERLINK("https://pbs.twimg.com/profile_images/1310352185679654912/xskSwHii_normal.jpg")</f>
        <v>https://pbs.twimg.com/profile_images/1310352185679654912/xskSwHii_normal.jpg</v>
      </c>
      <c r="AW150" s="81" t="s">
        <v>1033</v>
      </c>
      <c r="AX150" s="81" t="s">
        <v>1153</v>
      </c>
      <c r="AY150" s="81" t="s">
        <v>1173</v>
      </c>
      <c r="AZ150" s="81" t="s">
        <v>1034</v>
      </c>
      <c r="BA150" s="81" t="s">
        <v>1040</v>
      </c>
      <c r="BB150" s="81" t="s">
        <v>1190</v>
      </c>
      <c r="BC150" s="81" t="s">
        <v>1034</v>
      </c>
      <c r="BD150" s="81" t="s">
        <v>1173</v>
      </c>
      <c r="BE150" s="77"/>
      <c r="BF150" s="77"/>
      <c r="BG150" s="77"/>
      <c r="BH150" s="77"/>
      <c r="BI150" s="77"/>
      <c r="BJ150">
        <v>8</v>
      </c>
      <c r="BK150" s="76" t="str">
        <f>REPLACE(INDEX(GroupVertices[Group],MATCH(Edges[[#This Row],[Vertex 1]],GroupVertices[Vertex],0)),1,1,"")</f>
        <v>4</v>
      </c>
      <c r="BL150" s="76" t="str">
        <f>REPLACE(INDEX(GroupVertices[Group],MATCH(Edges[[#This Row],[Vertex 2]],GroupVertices[Vertex],0)),1,1,"")</f>
        <v>4</v>
      </c>
      <c r="BM150" s="45"/>
      <c r="BN150" s="46"/>
      <c r="BO150" s="45"/>
      <c r="BP150" s="46"/>
      <c r="BQ150" s="45"/>
      <c r="BR150" s="46"/>
      <c r="BS150" s="45"/>
      <c r="BT150" s="46"/>
      <c r="BU150" s="45"/>
    </row>
    <row r="151" spans="1:73" ht="15">
      <c r="A151" s="61" t="s">
        <v>227</v>
      </c>
      <c r="B151" s="61" t="s">
        <v>303</v>
      </c>
      <c r="C151" s="62" t="s">
        <v>11692</v>
      </c>
      <c r="D151" s="63">
        <v>3</v>
      </c>
      <c r="E151" s="64" t="s">
        <v>132</v>
      </c>
      <c r="F151" s="65">
        <v>32</v>
      </c>
      <c r="G151" s="62"/>
      <c r="H151" s="66"/>
      <c r="I151" s="67"/>
      <c r="J151" s="67"/>
      <c r="K151" s="31" t="s">
        <v>65</v>
      </c>
      <c r="L151" s="75">
        <v>151</v>
      </c>
      <c r="M151" s="75"/>
      <c r="N151" s="69"/>
      <c r="O151" s="77" t="s">
        <v>543</v>
      </c>
      <c r="P151" s="79">
        <v>43445.80097222222</v>
      </c>
      <c r="Q151" s="77" t="s">
        <v>559</v>
      </c>
      <c r="R151" s="77">
        <v>10</v>
      </c>
      <c r="S151" s="77">
        <v>0</v>
      </c>
      <c r="T151" s="77">
        <v>8</v>
      </c>
      <c r="U151" s="77">
        <v>1</v>
      </c>
      <c r="V151" s="77"/>
      <c r="W151" s="81" t="s">
        <v>672</v>
      </c>
      <c r="X151" s="83" t="str">
        <f>HYPERLINK("https://www.google.com/search?q=QAnon&amp;oq=QAnon")</f>
        <v>https://www.google.com/search?q=QAnon&amp;oq=QAnon</v>
      </c>
      <c r="Y151" s="77" t="s">
        <v>739</v>
      </c>
      <c r="Z151" s="77" t="s">
        <v>757</v>
      </c>
      <c r="AA151" s="77" t="s">
        <v>826</v>
      </c>
      <c r="AB151" s="77" t="s">
        <v>848</v>
      </c>
      <c r="AC151" s="81" t="s">
        <v>856</v>
      </c>
      <c r="AD151" s="77" t="s">
        <v>865</v>
      </c>
      <c r="AE151" s="83" t="str">
        <f>HYPERLINK("https://twitter.com/charpy73/status/1072570061603377154")</f>
        <v>https://twitter.com/charpy73/status/1072570061603377154</v>
      </c>
      <c r="AF151" s="79">
        <v>43445.80097222222</v>
      </c>
      <c r="AG151" s="85">
        <v>43445</v>
      </c>
      <c r="AH151" s="81" t="s">
        <v>886</v>
      </c>
      <c r="AI151" s="77" t="b">
        <v>0</v>
      </c>
      <c r="AJ151" s="77"/>
      <c r="AK151" s="77"/>
      <c r="AL151" s="77"/>
      <c r="AM151" s="77"/>
      <c r="AN151" s="77"/>
      <c r="AO151" s="77"/>
      <c r="AP151" s="77"/>
      <c r="AQ151" s="77" t="s">
        <v>1005</v>
      </c>
      <c r="AR151" s="77"/>
      <c r="AS151" s="77"/>
      <c r="AT151" s="77"/>
      <c r="AU151" s="77"/>
      <c r="AV151" s="83" t="str">
        <f>HYPERLINK("https://pbs.twimg.com/media/Dt4j-xaUcAEpkPJ.jpg")</f>
        <v>https://pbs.twimg.com/media/Dt4j-xaUcAEpkPJ.jpg</v>
      </c>
      <c r="AW151" s="81" t="s">
        <v>1041</v>
      </c>
      <c r="AX151" s="81" t="s">
        <v>1156</v>
      </c>
      <c r="AY151" s="81" t="s">
        <v>1174</v>
      </c>
      <c r="AZ151" s="81" t="s">
        <v>1156</v>
      </c>
      <c r="BA151" s="81" t="s">
        <v>1190</v>
      </c>
      <c r="BB151" s="81" t="s">
        <v>1190</v>
      </c>
      <c r="BC151" s="81" t="s">
        <v>1156</v>
      </c>
      <c r="BD151" s="81" t="s">
        <v>1173</v>
      </c>
      <c r="BE151" s="77"/>
      <c r="BF151" s="77"/>
      <c r="BG151" s="77"/>
      <c r="BH151" s="77"/>
      <c r="BI151" s="77"/>
      <c r="BJ151">
        <v>1</v>
      </c>
      <c r="BK151" s="76" t="str">
        <f>REPLACE(INDEX(GroupVertices[Group],MATCH(Edges[[#This Row],[Vertex 1]],GroupVertices[Vertex],0)),1,1,"")</f>
        <v>4</v>
      </c>
      <c r="BL151" s="76" t="str">
        <f>REPLACE(INDEX(GroupVertices[Group],MATCH(Edges[[#This Row],[Vertex 2]],GroupVertices[Vertex],0)),1,1,"")</f>
        <v>4</v>
      </c>
      <c r="BM151" s="45">
        <v>0</v>
      </c>
      <c r="BN151" s="46">
        <v>0</v>
      </c>
      <c r="BO151" s="45">
        <v>0</v>
      </c>
      <c r="BP151" s="46">
        <v>0</v>
      </c>
      <c r="BQ151" s="45">
        <v>0</v>
      </c>
      <c r="BR151" s="46">
        <v>0</v>
      </c>
      <c r="BS151" s="45">
        <v>34</v>
      </c>
      <c r="BT151" s="46">
        <v>72.34042553191489</v>
      </c>
      <c r="BU151" s="45">
        <v>47</v>
      </c>
    </row>
    <row r="152" spans="1:73" ht="15">
      <c r="A152" s="61" t="s">
        <v>227</v>
      </c>
      <c r="B152" s="61" t="s">
        <v>228</v>
      </c>
      <c r="C152" s="62" t="s">
        <v>11695</v>
      </c>
      <c r="D152" s="63">
        <v>7.2</v>
      </c>
      <c r="E152" s="64" t="s">
        <v>132</v>
      </c>
      <c r="F152" s="65">
        <v>18.8</v>
      </c>
      <c r="G152" s="62"/>
      <c r="H152" s="66"/>
      <c r="I152" s="67"/>
      <c r="J152" s="67"/>
      <c r="K152" s="31" t="s">
        <v>65</v>
      </c>
      <c r="L152" s="75">
        <v>152</v>
      </c>
      <c r="M152" s="75"/>
      <c r="N152" s="69"/>
      <c r="O152" s="77" t="s">
        <v>541</v>
      </c>
      <c r="P152" s="79">
        <v>45148.35780092593</v>
      </c>
      <c r="Q152" s="77" t="s">
        <v>552</v>
      </c>
      <c r="R152" s="77">
        <v>0</v>
      </c>
      <c r="S152" s="77">
        <v>0</v>
      </c>
      <c r="T152" s="77">
        <v>1</v>
      </c>
      <c r="U152" s="77">
        <v>0</v>
      </c>
      <c r="V152" s="77">
        <v>80</v>
      </c>
      <c r="W152" s="81" t="s">
        <v>670</v>
      </c>
      <c r="X152" s="77" t="s">
        <v>729</v>
      </c>
      <c r="Y152" s="77" t="s">
        <v>735</v>
      </c>
      <c r="Z152" s="77" t="s">
        <v>753</v>
      </c>
      <c r="AA152" s="77"/>
      <c r="AB152" s="77"/>
      <c r="AC152" s="81" t="s">
        <v>853</v>
      </c>
      <c r="AD152" s="77" t="s">
        <v>859</v>
      </c>
      <c r="AE152" s="83" t="str">
        <f>HYPERLINK("https://twitter.com/charpy73/status/1689555994278330368")</f>
        <v>https://twitter.com/charpy73/status/1689555994278330368</v>
      </c>
      <c r="AF152" s="79">
        <v>45148.35780092593</v>
      </c>
      <c r="AG152" s="85">
        <v>45148</v>
      </c>
      <c r="AH152" s="81" t="s">
        <v>879</v>
      </c>
      <c r="AI152" s="77" t="b">
        <v>0</v>
      </c>
      <c r="AJ152" s="77"/>
      <c r="AK152" s="77"/>
      <c r="AL152" s="77"/>
      <c r="AM152" s="77"/>
      <c r="AN152" s="77"/>
      <c r="AO152" s="77"/>
      <c r="AP152" s="77"/>
      <c r="AQ152" s="77"/>
      <c r="AR152" s="77"/>
      <c r="AS152" s="77"/>
      <c r="AT152" s="77"/>
      <c r="AU152" s="77"/>
      <c r="AV152" s="83" t="str">
        <f>HYPERLINK("https://pbs.twimg.com/profile_images/1310352185679654912/xskSwHii_normal.jpg")</f>
        <v>https://pbs.twimg.com/profile_images/1310352185679654912/xskSwHii_normal.jpg</v>
      </c>
      <c r="AW152" s="81" t="s">
        <v>1034</v>
      </c>
      <c r="AX152" s="81" t="s">
        <v>1153</v>
      </c>
      <c r="AY152" s="81" t="s">
        <v>1173</v>
      </c>
      <c r="AZ152" s="81" t="s">
        <v>1036</v>
      </c>
      <c r="BA152" s="81" t="s">
        <v>1041</v>
      </c>
      <c r="BB152" s="81" t="s">
        <v>1190</v>
      </c>
      <c r="BC152" s="81" t="s">
        <v>1036</v>
      </c>
      <c r="BD152" s="81" t="s">
        <v>1173</v>
      </c>
      <c r="BE152" s="77"/>
      <c r="BF152" s="77"/>
      <c r="BG152" s="77"/>
      <c r="BH152" s="77"/>
      <c r="BI152" s="77"/>
      <c r="BJ152">
        <v>4</v>
      </c>
      <c r="BK152" s="76" t="str">
        <f>REPLACE(INDEX(GroupVertices[Group],MATCH(Edges[[#This Row],[Vertex 1]],GroupVertices[Vertex],0)),1,1,"")</f>
        <v>4</v>
      </c>
      <c r="BL152" s="76" t="str">
        <f>REPLACE(INDEX(GroupVertices[Group],MATCH(Edges[[#This Row],[Vertex 2]],GroupVertices[Vertex],0)),1,1,"")</f>
        <v>2</v>
      </c>
      <c r="BM152" s="45"/>
      <c r="BN152" s="46"/>
      <c r="BO152" s="45"/>
      <c r="BP152" s="46"/>
      <c r="BQ152" s="45"/>
      <c r="BR152" s="46"/>
      <c r="BS152" s="45"/>
      <c r="BT152" s="46"/>
      <c r="BU152" s="45"/>
    </row>
    <row r="153" spans="1:73" ht="15">
      <c r="A153" s="61" t="s">
        <v>227</v>
      </c>
      <c r="B153" s="61" t="s">
        <v>255</v>
      </c>
      <c r="C153" s="62" t="s">
        <v>11695</v>
      </c>
      <c r="D153" s="63">
        <v>7.2</v>
      </c>
      <c r="E153" s="64" t="s">
        <v>132</v>
      </c>
      <c r="F153" s="65">
        <v>18.8</v>
      </c>
      <c r="G153" s="62"/>
      <c r="H153" s="66"/>
      <c r="I153" s="67"/>
      <c r="J153" s="67"/>
      <c r="K153" s="31" t="s">
        <v>65</v>
      </c>
      <c r="L153" s="75">
        <v>153</v>
      </c>
      <c r="M153" s="75"/>
      <c r="N153" s="69"/>
      <c r="O153" s="77" t="s">
        <v>541</v>
      </c>
      <c r="P153" s="79">
        <v>45148.35780092593</v>
      </c>
      <c r="Q153" s="77" t="s">
        <v>552</v>
      </c>
      <c r="R153" s="77">
        <v>0</v>
      </c>
      <c r="S153" s="77">
        <v>0</v>
      </c>
      <c r="T153" s="77">
        <v>1</v>
      </c>
      <c r="U153" s="77">
        <v>0</v>
      </c>
      <c r="V153" s="77">
        <v>80</v>
      </c>
      <c r="W153" s="81" t="s">
        <v>670</v>
      </c>
      <c r="X153" s="77" t="s">
        <v>729</v>
      </c>
      <c r="Y153" s="77" t="s">
        <v>735</v>
      </c>
      <c r="Z153" s="77" t="s">
        <v>753</v>
      </c>
      <c r="AA153" s="77"/>
      <c r="AB153" s="77"/>
      <c r="AC153" s="81" t="s">
        <v>853</v>
      </c>
      <c r="AD153" s="77" t="s">
        <v>859</v>
      </c>
      <c r="AE153" s="83" t="str">
        <f>HYPERLINK("https://twitter.com/charpy73/status/1689555994278330368")</f>
        <v>https://twitter.com/charpy73/status/1689555994278330368</v>
      </c>
      <c r="AF153" s="79">
        <v>45148.35780092593</v>
      </c>
      <c r="AG153" s="85">
        <v>45148</v>
      </c>
      <c r="AH153" s="81" t="s">
        <v>879</v>
      </c>
      <c r="AI153" s="77" t="b">
        <v>0</v>
      </c>
      <c r="AJ153" s="77"/>
      <c r="AK153" s="77"/>
      <c r="AL153" s="77"/>
      <c r="AM153" s="77"/>
      <c r="AN153" s="77"/>
      <c r="AO153" s="77"/>
      <c r="AP153" s="77"/>
      <c r="AQ153" s="77"/>
      <c r="AR153" s="77"/>
      <c r="AS153" s="77"/>
      <c r="AT153" s="77"/>
      <c r="AU153" s="77"/>
      <c r="AV153" s="83" t="str">
        <f>HYPERLINK("https://pbs.twimg.com/profile_images/1310352185679654912/xskSwHii_normal.jpg")</f>
        <v>https://pbs.twimg.com/profile_images/1310352185679654912/xskSwHii_normal.jpg</v>
      </c>
      <c r="AW153" s="81" t="s">
        <v>1034</v>
      </c>
      <c r="AX153" s="81" t="s">
        <v>1153</v>
      </c>
      <c r="AY153" s="81" t="s">
        <v>1173</v>
      </c>
      <c r="AZ153" s="81" t="s">
        <v>1036</v>
      </c>
      <c r="BA153" s="81" t="s">
        <v>1041</v>
      </c>
      <c r="BB153" s="81" t="s">
        <v>1190</v>
      </c>
      <c r="BC153" s="81" t="s">
        <v>1036</v>
      </c>
      <c r="BD153" s="81" t="s">
        <v>1173</v>
      </c>
      <c r="BE153" s="77"/>
      <c r="BF153" s="77"/>
      <c r="BG153" s="77"/>
      <c r="BH153" s="77"/>
      <c r="BI153" s="77"/>
      <c r="BJ153">
        <v>4</v>
      </c>
      <c r="BK153" s="76" t="str">
        <f>REPLACE(INDEX(GroupVertices[Group],MATCH(Edges[[#This Row],[Vertex 1]],GroupVertices[Vertex],0)),1,1,"")</f>
        <v>4</v>
      </c>
      <c r="BL153" s="76" t="str">
        <f>REPLACE(INDEX(GroupVertices[Group],MATCH(Edges[[#This Row],[Vertex 2]],GroupVertices[Vertex],0)),1,1,"")</f>
        <v>5</v>
      </c>
      <c r="BM153" s="45">
        <v>0</v>
      </c>
      <c r="BN153" s="46">
        <v>0</v>
      </c>
      <c r="BO153" s="45">
        <v>2</v>
      </c>
      <c r="BP153" s="46">
        <v>5.2631578947368425</v>
      </c>
      <c r="BQ153" s="45">
        <v>0</v>
      </c>
      <c r="BR153" s="46">
        <v>0</v>
      </c>
      <c r="BS153" s="45">
        <v>35</v>
      </c>
      <c r="BT153" s="46">
        <v>92.10526315789474</v>
      </c>
      <c r="BU153" s="45">
        <v>38</v>
      </c>
    </row>
    <row r="154" spans="1:73" ht="15">
      <c r="A154" s="61" t="s">
        <v>227</v>
      </c>
      <c r="B154" s="61" t="s">
        <v>227</v>
      </c>
      <c r="C154" s="62" t="s">
        <v>11695</v>
      </c>
      <c r="D154" s="63">
        <v>7.2</v>
      </c>
      <c r="E154" s="64" t="s">
        <v>132</v>
      </c>
      <c r="F154" s="65">
        <v>18.8</v>
      </c>
      <c r="G154" s="62"/>
      <c r="H154" s="66"/>
      <c r="I154" s="67"/>
      <c r="J154" s="67"/>
      <c r="K154" s="31" t="s">
        <v>65</v>
      </c>
      <c r="L154" s="75">
        <v>154</v>
      </c>
      <c r="M154" s="75"/>
      <c r="N154" s="69"/>
      <c r="O154" s="77" t="s">
        <v>542</v>
      </c>
      <c r="P154" s="79">
        <v>45148.35780092593</v>
      </c>
      <c r="Q154" s="77" t="s">
        <v>552</v>
      </c>
      <c r="R154" s="77">
        <v>0</v>
      </c>
      <c r="S154" s="77">
        <v>0</v>
      </c>
      <c r="T154" s="77">
        <v>1</v>
      </c>
      <c r="U154" s="77">
        <v>0</v>
      </c>
      <c r="V154" s="77">
        <v>80</v>
      </c>
      <c r="W154" s="81" t="s">
        <v>670</v>
      </c>
      <c r="X154" s="77" t="s">
        <v>729</v>
      </c>
      <c r="Y154" s="77" t="s">
        <v>735</v>
      </c>
      <c r="Z154" s="77" t="s">
        <v>753</v>
      </c>
      <c r="AA154" s="77"/>
      <c r="AB154" s="77"/>
      <c r="AC154" s="81" t="s">
        <v>853</v>
      </c>
      <c r="AD154" s="77" t="s">
        <v>859</v>
      </c>
      <c r="AE154" s="83" t="str">
        <f>HYPERLINK("https://twitter.com/charpy73/status/1689555994278330368")</f>
        <v>https://twitter.com/charpy73/status/1689555994278330368</v>
      </c>
      <c r="AF154" s="79">
        <v>45148.35780092593</v>
      </c>
      <c r="AG154" s="85">
        <v>45148</v>
      </c>
      <c r="AH154" s="81" t="s">
        <v>879</v>
      </c>
      <c r="AI154" s="77" t="b">
        <v>0</v>
      </c>
      <c r="AJ154" s="77"/>
      <c r="AK154" s="77"/>
      <c r="AL154" s="77"/>
      <c r="AM154" s="77"/>
      <c r="AN154" s="77"/>
      <c r="AO154" s="77"/>
      <c r="AP154" s="77"/>
      <c r="AQ154" s="77"/>
      <c r="AR154" s="77"/>
      <c r="AS154" s="77"/>
      <c r="AT154" s="77"/>
      <c r="AU154" s="77"/>
      <c r="AV154" s="83" t="str">
        <f>HYPERLINK("https://pbs.twimg.com/profile_images/1310352185679654912/xskSwHii_normal.jpg")</f>
        <v>https://pbs.twimg.com/profile_images/1310352185679654912/xskSwHii_normal.jpg</v>
      </c>
      <c r="AW154" s="81" t="s">
        <v>1034</v>
      </c>
      <c r="AX154" s="81" t="s">
        <v>1153</v>
      </c>
      <c r="AY154" s="81" t="s">
        <v>1173</v>
      </c>
      <c r="AZ154" s="81" t="s">
        <v>1036</v>
      </c>
      <c r="BA154" s="81" t="s">
        <v>1041</v>
      </c>
      <c r="BB154" s="81" t="s">
        <v>1190</v>
      </c>
      <c r="BC154" s="81" t="s">
        <v>1036</v>
      </c>
      <c r="BD154" s="81" t="s">
        <v>1173</v>
      </c>
      <c r="BE154" s="77"/>
      <c r="BF154" s="77"/>
      <c r="BG154" s="77"/>
      <c r="BH154" s="77"/>
      <c r="BI154" s="77"/>
      <c r="BJ154">
        <v>4</v>
      </c>
      <c r="BK154" s="76" t="str">
        <f>REPLACE(INDEX(GroupVertices[Group],MATCH(Edges[[#This Row],[Vertex 1]],GroupVertices[Vertex],0)),1,1,"")</f>
        <v>4</v>
      </c>
      <c r="BL154" s="76" t="str">
        <f>REPLACE(INDEX(GroupVertices[Group],MATCH(Edges[[#This Row],[Vertex 2]],GroupVertices[Vertex],0)),1,1,"")</f>
        <v>4</v>
      </c>
      <c r="BM154" s="45"/>
      <c r="BN154" s="46"/>
      <c r="BO154" s="45"/>
      <c r="BP154" s="46"/>
      <c r="BQ154" s="45"/>
      <c r="BR154" s="46"/>
      <c r="BS154" s="45"/>
      <c r="BT154" s="46"/>
      <c r="BU154" s="45"/>
    </row>
    <row r="155" spans="1:73" ht="15">
      <c r="A155" s="61" t="s">
        <v>227</v>
      </c>
      <c r="B155" s="61" t="s">
        <v>227</v>
      </c>
      <c r="C155" s="62" t="s">
        <v>11697</v>
      </c>
      <c r="D155" s="63">
        <v>10</v>
      </c>
      <c r="E155" s="64" t="s">
        <v>136</v>
      </c>
      <c r="F155" s="65">
        <v>10</v>
      </c>
      <c r="G155" s="62"/>
      <c r="H155" s="66"/>
      <c r="I155" s="67"/>
      <c r="J155" s="67"/>
      <c r="K155" s="31" t="s">
        <v>65</v>
      </c>
      <c r="L155" s="75">
        <v>155</v>
      </c>
      <c r="M155" s="75"/>
      <c r="N155" s="69"/>
      <c r="O155" s="77" t="s">
        <v>540</v>
      </c>
      <c r="P155" s="79">
        <v>45148.35780092593</v>
      </c>
      <c r="Q155" s="77" t="s">
        <v>552</v>
      </c>
      <c r="R155" s="77">
        <v>0</v>
      </c>
      <c r="S155" s="77">
        <v>0</v>
      </c>
      <c r="T155" s="77">
        <v>1</v>
      </c>
      <c r="U155" s="77">
        <v>0</v>
      </c>
      <c r="V155" s="77">
        <v>80</v>
      </c>
      <c r="W155" s="81" t="s">
        <v>670</v>
      </c>
      <c r="X155" s="77" t="s">
        <v>729</v>
      </c>
      <c r="Y155" s="77" t="s">
        <v>735</v>
      </c>
      <c r="Z155" s="77" t="s">
        <v>753</v>
      </c>
      <c r="AA155" s="77"/>
      <c r="AB155" s="77"/>
      <c r="AC155" s="81" t="s">
        <v>853</v>
      </c>
      <c r="AD155" s="77" t="s">
        <v>859</v>
      </c>
      <c r="AE155" s="83" t="str">
        <f>HYPERLINK("https://twitter.com/charpy73/status/1689555994278330368")</f>
        <v>https://twitter.com/charpy73/status/1689555994278330368</v>
      </c>
      <c r="AF155" s="79">
        <v>45148.35780092593</v>
      </c>
      <c r="AG155" s="85">
        <v>45148</v>
      </c>
      <c r="AH155" s="81" t="s">
        <v>879</v>
      </c>
      <c r="AI155" s="77" t="b">
        <v>0</v>
      </c>
      <c r="AJ155" s="77"/>
      <c r="AK155" s="77"/>
      <c r="AL155" s="77"/>
      <c r="AM155" s="77"/>
      <c r="AN155" s="77"/>
      <c r="AO155" s="77"/>
      <c r="AP155" s="77"/>
      <c r="AQ155" s="77"/>
      <c r="AR155" s="77"/>
      <c r="AS155" s="77"/>
      <c r="AT155" s="77"/>
      <c r="AU155" s="77"/>
      <c r="AV155" s="83" t="str">
        <f>HYPERLINK("https://pbs.twimg.com/profile_images/1310352185679654912/xskSwHii_normal.jpg")</f>
        <v>https://pbs.twimg.com/profile_images/1310352185679654912/xskSwHii_normal.jpg</v>
      </c>
      <c r="AW155" s="81" t="s">
        <v>1034</v>
      </c>
      <c r="AX155" s="81" t="s">
        <v>1153</v>
      </c>
      <c r="AY155" s="81" t="s">
        <v>1173</v>
      </c>
      <c r="AZ155" s="81" t="s">
        <v>1036</v>
      </c>
      <c r="BA155" s="81" t="s">
        <v>1041</v>
      </c>
      <c r="BB155" s="81" t="s">
        <v>1190</v>
      </c>
      <c r="BC155" s="81" t="s">
        <v>1036</v>
      </c>
      <c r="BD155" s="81" t="s">
        <v>1173</v>
      </c>
      <c r="BE155" s="77"/>
      <c r="BF155" s="77"/>
      <c r="BG155" s="77"/>
      <c r="BH155" s="77"/>
      <c r="BI155" s="77"/>
      <c r="BJ155">
        <v>8</v>
      </c>
      <c r="BK155" s="76" t="str">
        <f>REPLACE(INDEX(GroupVertices[Group],MATCH(Edges[[#This Row],[Vertex 1]],GroupVertices[Vertex],0)),1,1,"")</f>
        <v>4</v>
      </c>
      <c r="BL155" s="76" t="str">
        <f>REPLACE(INDEX(GroupVertices[Group],MATCH(Edges[[#This Row],[Vertex 2]],GroupVertices[Vertex],0)),1,1,"")</f>
        <v>4</v>
      </c>
      <c r="BM155" s="45"/>
      <c r="BN155" s="46"/>
      <c r="BO155" s="45"/>
      <c r="BP155" s="46"/>
      <c r="BQ155" s="45"/>
      <c r="BR155" s="46"/>
      <c r="BS155" s="45"/>
      <c r="BT155" s="46"/>
      <c r="BU155" s="45"/>
    </row>
    <row r="156" spans="1:73" ht="15">
      <c r="A156" s="61" t="s">
        <v>228</v>
      </c>
      <c r="B156" s="61" t="s">
        <v>304</v>
      </c>
      <c r="C156" s="62" t="s">
        <v>11692</v>
      </c>
      <c r="D156" s="63">
        <v>3</v>
      </c>
      <c r="E156" s="64" t="s">
        <v>132</v>
      </c>
      <c r="F156" s="65">
        <v>32</v>
      </c>
      <c r="G156" s="62"/>
      <c r="H156" s="66"/>
      <c r="I156" s="67"/>
      <c r="J156" s="67"/>
      <c r="K156" s="31" t="s">
        <v>65</v>
      </c>
      <c r="L156" s="75">
        <v>156</v>
      </c>
      <c r="M156" s="75"/>
      <c r="N156" s="69"/>
      <c r="O156" s="77" t="s">
        <v>539</v>
      </c>
      <c r="P156" s="79">
        <v>45149.00141203704</v>
      </c>
      <c r="Q156" s="77" t="s">
        <v>560</v>
      </c>
      <c r="R156" s="77">
        <v>2</v>
      </c>
      <c r="S156" s="77">
        <v>10</v>
      </c>
      <c r="T156" s="77">
        <v>0</v>
      </c>
      <c r="U156" s="77">
        <v>1</v>
      </c>
      <c r="V156" s="77">
        <v>729</v>
      </c>
      <c r="W156" s="81" t="s">
        <v>673</v>
      </c>
      <c r="X156" s="83" t="str">
        <f>HYPERLINK("https://bit.ly/3QzmnNR")</f>
        <v>https://bit.ly/3QzmnNR</v>
      </c>
      <c r="Y156" s="77" t="s">
        <v>740</v>
      </c>
      <c r="Z156" s="77" t="s">
        <v>758</v>
      </c>
      <c r="AA156" s="77"/>
      <c r="AB156" s="77"/>
      <c r="AC156" s="81" t="s">
        <v>853</v>
      </c>
      <c r="AD156" s="77" t="s">
        <v>859</v>
      </c>
      <c r="AE156" s="83" t="str">
        <f>HYPERLINK("https://twitter.com/nodexl/status/1689789233823887360")</f>
        <v>https://twitter.com/nodexl/status/1689789233823887360</v>
      </c>
      <c r="AF156" s="79">
        <v>45149.00141203704</v>
      </c>
      <c r="AG156" s="85">
        <v>45149</v>
      </c>
      <c r="AH156" s="81" t="s">
        <v>887</v>
      </c>
      <c r="AI156" s="77" t="b">
        <v>0</v>
      </c>
      <c r="AJ156" s="77"/>
      <c r="AK156" s="77"/>
      <c r="AL156" s="77"/>
      <c r="AM156" s="77"/>
      <c r="AN156" s="77"/>
      <c r="AO156" s="77"/>
      <c r="AP156" s="77"/>
      <c r="AQ156" s="77"/>
      <c r="AR156" s="77"/>
      <c r="AS156" s="77"/>
      <c r="AT156" s="77"/>
      <c r="AU156" s="77"/>
      <c r="AV156" s="83" t="str">
        <f>HYPERLINK("https://pbs.twimg.com/profile_images/849132774661308416/pa2Uplq1_normal.jpg")</f>
        <v>https://pbs.twimg.com/profile_images/849132774661308416/pa2Uplq1_normal.jpg</v>
      </c>
      <c r="AW156" s="81" t="s">
        <v>1042</v>
      </c>
      <c r="AX156" s="81" t="s">
        <v>1042</v>
      </c>
      <c r="AY156" s="77"/>
      <c r="AZ156" s="81" t="s">
        <v>1190</v>
      </c>
      <c r="BA156" s="81" t="s">
        <v>1190</v>
      </c>
      <c r="BB156" s="81" t="s">
        <v>1190</v>
      </c>
      <c r="BC156" s="81" t="s">
        <v>1042</v>
      </c>
      <c r="BD156" s="77">
        <v>87606674</v>
      </c>
      <c r="BE156" s="77"/>
      <c r="BF156" s="77"/>
      <c r="BG156" s="77"/>
      <c r="BH156" s="77"/>
      <c r="BI156" s="77"/>
      <c r="BJ156">
        <v>1</v>
      </c>
      <c r="BK156" s="76" t="str">
        <f>REPLACE(INDEX(GroupVertices[Group],MATCH(Edges[[#This Row],[Vertex 1]],GroupVertices[Vertex],0)),1,1,"")</f>
        <v>2</v>
      </c>
      <c r="BL156" s="76" t="str">
        <f>REPLACE(INDEX(GroupVertices[Group],MATCH(Edges[[#This Row],[Vertex 2]],GroupVertices[Vertex],0)),1,1,"")</f>
        <v>2</v>
      </c>
      <c r="BM156" s="45"/>
      <c r="BN156" s="46"/>
      <c r="BO156" s="45"/>
      <c r="BP156" s="46"/>
      <c r="BQ156" s="45"/>
      <c r="BR156" s="46"/>
      <c r="BS156" s="45"/>
      <c r="BT156" s="46"/>
      <c r="BU156" s="45"/>
    </row>
    <row r="157" spans="1:73" ht="15">
      <c r="A157" s="61" t="s">
        <v>228</v>
      </c>
      <c r="B157" s="61" t="s">
        <v>305</v>
      </c>
      <c r="C157" s="62" t="s">
        <v>11692</v>
      </c>
      <c r="D157" s="63">
        <v>3</v>
      </c>
      <c r="E157" s="64" t="s">
        <v>132</v>
      </c>
      <c r="F157" s="65">
        <v>32</v>
      </c>
      <c r="G157" s="62"/>
      <c r="H157" s="66"/>
      <c r="I157" s="67"/>
      <c r="J157" s="67"/>
      <c r="K157" s="31" t="s">
        <v>65</v>
      </c>
      <c r="L157" s="75">
        <v>157</v>
      </c>
      <c r="M157" s="75"/>
      <c r="N157" s="69"/>
      <c r="O157" s="77" t="s">
        <v>539</v>
      </c>
      <c r="P157" s="79">
        <v>45149.00141203704</v>
      </c>
      <c r="Q157" s="77" t="s">
        <v>560</v>
      </c>
      <c r="R157" s="77">
        <v>2</v>
      </c>
      <c r="S157" s="77">
        <v>10</v>
      </c>
      <c r="T157" s="77">
        <v>0</v>
      </c>
      <c r="U157" s="77">
        <v>1</v>
      </c>
      <c r="V157" s="77">
        <v>729</v>
      </c>
      <c r="W157" s="81" t="s">
        <v>673</v>
      </c>
      <c r="X157" s="83" t="str">
        <f>HYPERLINK("https://bit.ly/3QzmnNR")</f>
        <v>https://bit.ly/3QzmnNR</v>
      </c>
      <c r="Y157" s="77" t="s">
        <v>740</v>
      </c>
      <c r="Z157" s="77" t="s">
        <v>758</v>
      </c>
      <c r="AA157" s="77"/>
      <c r="AB157" s="77"/>
      <c r="AC157" s="81" t="s">
        <v>853</v>
      </c>
      <c r="AD157" s="77" t="s">
        <v>859</v>
      </c>
      <c r="AE157" s="83" t="str">
        <f>HYPERLINK("https://twitter.com/nodexl/status/1689789233823887360")</f>
        <v>https://twitter.com/nodexl/status/1689789233823887360</v>
      </c>
      <c r="AF157" s="79">
        <v>45149.00141203704</v>
      </c>
      <c r="AG157" s="85">
        <v>45149</v>
      </c>
      <c r="AH157" s="81" t="s">
        <v>887</v>
      </c>
      <c r="AI157" s="77" t="b">
        <v>0</v>
      </c>
      <c r="AJ157" s="77"/>
      <c r="AK157" s="77"/>
      <c r="AL157" s="77"/>
      <c r="AM157" s="77"/>
      <c r="AN157" s="77"/>
      <c r="AO157" s="77"/>
      <c r="AP157" s="77"/>
      <c r="AQ157" s="77"/>
      <c r="AR157" s="77"/>
      <c r="AS157" s="77"/>
      <c r="AT157" s="77"/>
      <c r="AU157" s="77"/>
      <c r="AV157" s="83" t="str">
        <f>HYPERLINK("https://pbs.twimg.com/profile_images/849132774661308416/pa2Uplq1_normal.jpg")</f>
        <v>https://pbs.twimg.com/profile_images/849132774661308416/pa2Uplq1_normal.jpg</v>
      </c>
      <c r="AW157" s="81" t="s">
        <v>1042</v>
      </c>
      <c r="AX157" s="81" t="s">
        <v>1042</v>
      </c>
      <c r="AY157" s="77"/>
      <c r="AZ157" s="81" t="s">
        <v>1190</v>
      </c>
      <c r="BA157" s="81" t="s">
        <v>1190</v>
      </c>
      <c r="BB157" s="81" t="s">
        <v>1190</v>
      </c>
      <c r="BC157" s="81" t="s">
        <v>1042</v>
      </c>
      <c r="BD157" s="77">
        <v>87606674</v>
      </c>
      <c r="BE157" s="77"/>
      <c r="BF157" s="77"/>
      <c r="BG157" s="77"/>
      <c r="BH157" s="77"/>
      <c r="BI157" s="77"/>
      <c r="BJ157">
        <v>1</v>
      </c>
      <c r="BK157" s="76" t="str">
        <f>REPLACE(INDEX(GroupVertices[Group],MATCH(Edges[[#This Row],[Vertex 1]],GroupVertices[Vertex],0)),1,1,"")</f>
        <v>2</v>
      </c>
      <c r="BL157" s="76" t="str">
        <f>REPLACE(INDEX(GroupVertices[Group],MATCH(Edges[[#This Row],[Vertex 2]],GroupVertices[Vertex],0)),1,1,"")</f>
        <v>2</v>
      </c>
      <c r="BM157" s="45"/>
      <c r="BN157" s="46"/>
      <c r="BO157" s="45"/>
      <c r="BP157" s="46"/>
      <c r="BQ157" s="45"/>
      <c r="BR157" s="46"/>
      <c r="BS157" s="45"/>
      <c r="BT157" s="46"/>
      <c r="BU157" s="45"/>
    </row>
    <row r="158" spans="1:73" ht="15">
      <c r="A158" s="61" t="s">
        <v>228</v>
      </c>
      <c r="B158" s="61" t="s">
        <v>306</v>
      </c>
      <c r="C158" s="62" t="s">
        <v>11692</v>
      </c>
      <c r="D158" s="63">
        <v>3</v>
      </c>
      <c r="E158" s="64" t="s">
        <v>132</v>
      </c>
      <c r="F158" s="65">
        <v>32</v>
      </c>
      <c r="G158" s="62"/>
      <c r="H158" s="66"/>
      <c r="I158" s="67"/>
      <c r="J158" s="67"/>
      <c r="K158" s="31" t="s">
        <v>65</v>
      </c>
      <c r="L158" s="75">
        <v>158</v>
      </c>
      <c r="M158" s="75"/>
      <c r="N158" s="69"/>
      <c r="O158" s="77" t="s">
        <v>539</v>
      </c>
      <c r="P158" s="79">
        <v>45149.00141203704</v>
      </c>
      <c r="Q158" s="77" t="s">
        <v>560</v>
      </c>
      <c r="R158" s="77">
        <v>2</v>
      </c>
      <c r="S158" s="77">
        <v>10</v>
      </c>
      <c r="T158" s="77">
        <v>0</v>
      </c>
      <c r="U158" s="77">
        <v>1</v>
      </c>
      <c r="V158" s="77">
        <v>729</v>
      </c>
      <c r="W158" s="81" t="s">
        <v>673</v>
      </c>
      <c r="X158" s="83" t="str">
        <f>HYPERLINK("https://bit.ly/3QzmnNR")</f>
        <v>https://bit.ly/3QzmnNR</v>
      </c>
      <c r="Y158" s="77" t="s">
        <v>740</v>
      </c>
      <c r="Z158" s="77" t="s">
        <v>758</v>
      </c>
      <c r="AA158" s="77"/>
      <c r="AB158" s="77"/>
      <c r="AC158" s="81" t="s">
        <v>853</v>
      </c>
      <c r="AD158" s="77" t="s">
        <v>859</v>
      </c>
      <c r="AE158" s="83" t="str">
        <f>HYPERLINK("https://twitter.com/nodexl/status/1689789233823887360")</f>
        <v>https://twitter.com/nodexl/status/1689789233823887360</v>
      </c>
      <c r="AF158" s="79">
        <v>45149.00141203704</v>
      </c>
      <c r="AG158" s="85">
        <v>45149</v>
      </c>
      <c r="AH158" s="81" t="s">
        <v>887</v>
      </c>
      <c r="AI158" s="77" t="b">
        <v>0</v>
      </c>
      <c r="AJ158" s="77"/>
      <c r="AK158" s="77"/>
      <c r="AL158" s="77"/>
      <c r="AM158" s="77"/>
      <c r="AN158" s="77"/>
      <c r="AO158" s="77"/>
      <c r="AP158" s="77"/>
      <c r="AQ158" s="77"/>
      <c r="AR158" s="77"/>
      <c r="AS158" s="77"/>
      <c r="AT158" s="77"/>
      <c r="AU158" s="77"/>
      <c r="AV158" s="83" t="str">
        <f>HYPERLINK("https://pbs.twimg.com/profile_images/849132774661308416/pa2Uplq1_normal.jpg")</f>
        <v>https://pbs.twimg.com/profile_images/849132774661308416/pa2Uplq1_normal.jpg</v>
      </c>
      <c r="AW158" s="81" t="s">
        <v>1042</v>
      </c>
      <c r="AX158" s="81" t="s">
        <v>1042</v>
      </c>
      <c r="AY158" s="77"/>
      <c r="AZ158" s="81" t="s">
        <v>1190</v>
      </c>
      <c r="BA158" s="81" t="s">
        <v>1190</v>
      </c>
      <c r="BB158" s="81" t="s">
        <v>1190</v>
      </c>
      <c r="BC158" s="81" t="s">
        <v>1042</v>
      </c>
      <c r="BD158" s="77">
        <v>87606674</v>
      </c>
      <c r="BE158" s="77"/>
      <c r="BF158" s="77"/>
      <c r="BG158" s="77"/>
      <c r="BH158" s="77"/>
      <c r="BI158" s="77"/>
      <c r="BJ158">
        <v>1</v>
      </c>
      <c r="BK158" s="76" t="str">
        <f>REPLACE(INDEX(GroupVertices[Group],MATCH(Edges[[#This Row],[Vertex 1]],GroupVertices[Vertex],0)),1,1,"")</f>
        <v>2</v>
      </c>
      <c r="BL158" s="76" t="str">
        <f>REPLACE(INDEX(GroupVertices[Group],MATCH(Edges[[#This Row],[Vertex 2]],GroupVertices[Vertex],0)),1,1,"")</f>
        <v>2</v>
      </c>
      <c r="BM158" s="45"/>
      <c r="BN158" s="46"/>
      <c r="BO158" s="45"/>
      <c r="BP158" s="46"/>
      <c r="BQ158" s="45"/>
      <c r="BR158" s="46"/>
      <c r="BS158" s="45"/>
      <c r="BT158" s="46"/>
      <c r="BU158" s="45"/>
    </row>
    <row r="159" spans="1:73" ht="15">
      <c r="A159" s="61" t="s">
        <v>228</v>
      </c>
      <c r="B159" s="61" t="s">
        <v>307</v>
      </c>
      <c r="C159" s="62" t="s">
        <v>11692</v>
      </c>
      <c r="D159" s="63">
        <v>3</v>
      </c>
      <c r="E159" s="64" t="s">
        <v>132</v>
      </c>
      <c r="F159" s="65">
        <v>32</v>
      </c>
      <c r="G159" s="62"/>
      <c r="H159" s="66"/>
      <c r="I159" s="67"/>
      <c r="J159" s="67"/>
      <c r="K159" s="31" t="s">
        <v>65</v>
      </c>
      <c r="L159" s="75">
        <v>159</v>
      </c>
      <c r="M159" s="75"/>
      <c r="N159" s="69"/>
      <c r="O159" s="77" t="s">
        <v>539</v>
      </c>
      <c r="P159" s="79">
        <v>45162.93407407407</v>
      </c>
      <c r="Q159" s="77" t="s">
        <v>561</v>
      </c>
      <c r="R159" s="77">
        <v>0</v>
      </c>
      <c r="S159" s="77">
        <v>1</v>
      </c>
      <c r="T159" s="77">
        <v>0</v>
      </c>
      <c r="U159" s="77">
        <v>0</v>
      </c>
      <c r="V159" s="77">
        <v>361</v>
      </c>
      <c r="W159" s="81" t="s">
        <v>674</v>
      </c>
      <c r="X159" s="83" t="str">
        <f>HYPERLINK("https://bit.ly/44sbaBT")</f>
        <v>https://bit.ly/44sbaBT</v>
      </c>
      <c r="Y159" s="77" t="s">
        <v>740</v>
      </c>
      <c r="Z159" s="77" t="s">
        <v>759</v>
      </c>
      <c r="AA159" s="77"/>
      <c r="AB159" s="77"/>
      <c r="AC159" s="81" t="s">
        <v>857</v>
      </c>
      <c r="AD159" s="77" t="s">
        <v>859</v>
      </c>
      <c r="AE159" s="83" t="str">
        <f>HYPERLINK("https://twitter.com/nodexl/status/1694838260445683717")</f>
        <v>https://twitter.com/nodexl/status/1694838260445683717</v>
      </c>
      <c r="AF159" s="79">
        <v>45162.93407407407</v>
      </c>
      <c r="AG159" s="85">
        <v>45162</v>
      </c>
      <c r="AH159" s="81" t="s">
        <v>888</v>
      </c>
      <c r="AI159" s="77" t="b">
        <v>0</v>
      </c>
      <c r="AJ159" s="77"/>
      <c r="AK159" s="77"/>
      <c r="AL159" s="77"/>
      <c r="AM159" s="77"/>
      <c r="AN159" s="77"/>
      <c r="AO159" s="77"/>
      <c r="AP159" s="77"/>
      <c r="AQ159" s="77"/>
      <c r="AR159" s="77"/>
      <c r="AS159" s="77"/>
      <c r="AT159" s="77"/>
      <c r="AU159" s="77"/>
      <c r="AV159" s="83" t="str">
        <f>HYPERLINK("https://pbs.twimg.com/profile_images/849132774661308416/pa2Uplq1_normal.jpg")</f>
        <v>https://pbs.twimg.com/profile_images/849132774661308416/pa2Uplq1_normal.jpg</v>
      </c>
      <c r="AW159" s="81" t="s">
        <v>1043</v>
      </c>
      <c r="AX159" s="81" t="s">
        <v>1043</v>
      </c>
      <c r="AY159" s="77"/>
      <c r="AZ159" s="81" t="s">
        <v>1190</v>
      </c>
      <c r="BA159" s="81" t="s">
        <v>1190</v>
      </c>
      <c r="BB159" s="81" t="s">
        <v>1190</v>
      </c>
      <c r="BC159" s="81" t="s">
        <v>1043</v>
      </c>
      <c r="BD159" s="77">
        <v>87606674</v>
      </c>
      <c r="BE159" s="77"/>
      <c r="BF159" s="77"/>
      <c r="BG159" s="77"/>
      <c r="BH159" s="77"/>
      <c r="BI159" s="77"/>
      <c r="BJ159">
        <v>1</v>
      </c>
      <c r="BK159" s="76" t="str">
        <f>REPLACE(INDEX(GroupVertices[Group],MATCH(Edges[[#This Row],[Vertex 1]],GroupVertices[Vertex],0)),1,1,"")</f>
        <v>2</v>
      </c>
      <c r="BL159" s="76" t="str">
        <f>REPLACE(INDEX(GroupVertices[Group],MATCH(Edges[[#This Row],[Vertex 2]],GroupVertices[Vertex],0)),1,1,"")</f>
        <v>2</v>
      </c>
      <c r="BM159" s="45"/>
      <c r="BN159" s="46"/>
      <c r="BO159" s="45"/>
      <c r="BP159" s="46"/>
      <c r="BQ159" s="45"/>
      <c r="BR159" s="46"/>
      <c r="BS159" s="45"/>
      <c r="BT159" s="46"/>
      <c r="BU159" s="45"/>
    </row>
    <row r="160" spans="1:73" ht="15">
      <c r="A160" s="61" t="s">
        <v>228</v>
      </c>
      <c r="B160" s="61" t="s">
        <v>308</v>
      </c>
      <c r="C160" s="62" t="s">
        <v>11692</v>
      </c>
      <c r="D160" s="63">
        <v>3</v>
      </c>
      <c r="E160" s="64" t="s">
        <v>132</v>
      </c>
      <c r="F160" s="65">
        <v>32</v>
      </c>
      <c r="G160" s="62"/>
      <c r="H160" s="66"/>
      <c r="I160" s="67"/>
      <c r="J160" s="67"/>
      <c r="K160" s="31" t="s">
        <v>65</v>
      </c>
      <c r="L160" s="75">
        <v>160</v>
      </c>
      <c r="M160" s="75"/>
      <c r="N160" s="69"/>
      <c r="O160" s="77" t="s">
        <v>539</v>
      </c>
      <c r="P160" s="79">
        <v>45162.93407407407</v>
      </c>
      <c r="Q160" s="77" t="s">
        <v>561</v>
      </c>
      <c r="R160" s="77">
        <v>0</v>
      </c>
      <c r="S160" s="77">
        <v>1</v>
      </c>
      <c r="T160" s="77">
        <v>0</v>
      </c>
      <c r="U160" s="77">
        <v>0</v>
      </c>
      <c r="V160" s="77">
        <v>361</v>
      </c>
      <c r="W160" s="81" t="s">
        <v>674</v>
      </c>
      <c r="X160" s="83" t="str">
        <f>HYPERLINK("https://bit.ly/44sbaBT")</f>
        <v>https://bit.ly/44sbaBT</v>
      </c>
      <c r="Y160" s="77" t="s">
        <v>740</v>
      </c>
      <c r="Z160" s="77" t="s">
        <v>759</v>
      </c>
      <c r="AA160" s="77"/>
      <c r="AB160" s="77"/>
      <c r="AC160" s="81" t="s">
        <v>857</v>
      </c>
      <c r="AD160" s="77" t="s">
        <v>859</v>
      </c>
      <c r="AE160" s="83" t="str">
        <f>HYPERLINK("https://twitter.com/nodexl/status/1694838260445683717")</f>
        <v>https://twitter.com/nodexl/status/1694838260445683717</v>
      </c>
      <c r="AF160" s="79">
        <v>45162.93407407407</v>
      </c>
      <c r="AG160" s="85">
        <v>45162</v>
      </c>
      <c r="AH160" s="81" t="s">
        <v>888</v>
      </c>
      <c r="AI160" s="77" t="b">
        <v>0</v>
      </c>
      <c r="AJ160" s="77"/>
      <c r="AK160" s="77"/>
      <c r="AL160" s="77"/>
      <c r="AM160" s="77"/>
      <c r="AN160" s="77"/>
      <c r="AO160" s="77"/>
      <c r="AP160" s="77"/>
      <c r="AQ160" s="77"/>
      <c r="AR160" s="77"/>
      <c r="AS160" s="77"/>
      <c r="AT160" s="77"/>
      <c r="AU160" s="77"/>
      <c r="AV160" s="83" t="str">
        <f>HYPERLINK("https://pbs.twimg.com/profile_images/849132774661308416/pa2Uplq1_normal.jpg")</f>
        <v>https://pbs.twimg.com/profile_images/849132774661308416/pa2Uplq1_normal.jpg</v>
      </c>
      <c r="AW160" s="81" t="s">
        <v>1043</v>
      </c>
      <c r="AX160" s="81" t="s">
        <v>1043</v>
      </c>
      <c r="AY160" s="77"/>
      <c r="AZ160" s="81" t="s">
        <v>1190</v>
      </c>
      <c r="BA160" s="81" t="s">
        <v>1190</v>
      </c>
      <c r="BB160" s="81" t="s">
        <v>1190</v>
      </c>
      <c r="BC160" s="81" t="s">
        <v>1043</v>
      </c>
      <c r="BD160" s="77">
        <v>87606674</v>
      </c>
      <c r="BE160" s="77"/>
      <c r="BF160" s="77"/>
      <c r="BG160" s="77"/>
      <c r="BH160" s="77"/>
      <c r="BI160" s="77"/>
      <c r="BJ160">
        <v>1</v>
      </c>
      <c r="BK160" s="76" t="str">
        <f>REPLACE(INDEX(GroupVertices[Group],MATCH(Edges[[#This Row],[Vertex 1]],GroupVertices[Vertex],0)),1,1,"")</f>
        <v>2</v>
      </c>
      <c r="BL160" s="76" t="str">
        <f>REPLACE(INDEX(GroupVertices[Group],MATCH(Edges[[#This Row],[Vertex 2]],GroupVertices[Vertex],0)),1,1,"")</f>
        <v>2</v>
      </c>
      <c r="BM160" s="45"/>
      <c r="BN160" s="46"/>
      <c r="BO160" s="45"/>
      <c r="BP160" s="46"/>
      <c r="BQ160" s="45"/>
      <c r="BR160" s="46"/>
      <c r="BS160" s="45"/>
      <c r="BT160" s="46"/>
      <c r="BU160" s="45"/>
    </row>
    <row r="161" spans="1:73" ht="15">
      <c r="A161" s="61" t="s">
        <v>228</v>
      </c>
      <c r="B161" s="61" t="s">
        <v>309</v>
      </c>
      <c r="C161" s="62" t="s">
        <v>11692</v>
      </c>
      <c r="D161" s="63">
        <v>3</v>
      </c>
      <c r="E161" s="64" t="s">
        <v>132</v>
      </c>
      <c r="F161" s="65">
        <v>32</v>
      </c>
      <c r="G161" s="62"/>
      <c r="H161" s="66"/>
      <c r="I161" s="67"/>
      <c r="J161" s="67"/>
      <c r="K161" s="31" t="s">
        <v>65</v>
      </c>
      <c r="L161" s="75">
        <v>161</v>
      </c>
      <c r="M161" s="75"/>
      <c r="N161" s="69"/>
      <c r="O161" s="77" t="s">
        <v>539</v>
      </c>
      <c r="P161" s="79">
        <v>45162.93407407407</v>
      </c>
      <c r="Q161" s="77" t="s">
        <v>561</v>
      </c>
      <c r="R161" s="77">
        <v>0</v>
      </c>
      <c r="S161" s="77">
        <v>1</v>
      </c>
      <c r="T161" s="77">
        <v>0</v>
      </c>
      <c r="U161" s="77">
        <v>0</v>
      </c>
      <c r="V161" s="77">
        <v>361</v>
      </c>
      <c r="W161" s="81" t="s">
        <v>674</v>
      </c>
      <c r="X161" s="83" t="str">
        <f>HYPERLINK("https://bit.ly/44sbaBT")</f>
        <v>https://bit.ly/44sbaBT</v>
      </c>
      <c r="Y161" s="77" t="s">
        <v>740</v>
      </c>
      <c r="Z161" s="77" t="s">
        <v>759</v>
      </c>
      <c r="AA161" s="77"/>
      <c r="AB161" s="77"/>
      <c r="AC161" s="81" t="s">
        <v>857</v>
      </c>
      <c r="AD161" s="77" t="s">
        <v>859</v>
      </c>
      <c r="AE161" s="83" t="str">
        <f>HYPERLINK("https://twitter.com/nodexl/status/1694838260445683717")</f>
        <v>https://twitter.com/nodexl/status/1694838260445683717</v>
      </c>
      <c r="AF161" s="79">
        <v>45162.93407407407</v>
      </c>
      <c r="AG161" s="85">
        <v>45162</v>
      </c>
      <c r="AH161" s="81" t="s">
        <v>888</v>
      </c>
      <c r="AI161" s="77" t="b">
        <v>0</v>
      </c>
      <c r="AJ161" s="77"/>
      <c r="AK161" s="77"/>
      <c r="AL161" s="77"/>
      <c r="AM161" s="77"/>
      <c r="AN161" s="77"/>
      <c r="AO161" s="77"/>
      <c r="AP161" s="77"/>
      <c r="AQ161" s="77"/>
      <c r="AR161" s="77"/>
      <c r="AS161" s="77"/>
      <c r="AT161" s="77"/>
      <c r="AU161" s="77"/>
      <c r="AV161" s="83" t="str">
        <f>HYPERLINK("https://pbs.twimg.com/profile_images/849132774661308416/pa2Uplq1_normal.jpg")</f>
        <v>https://pbs.twimg.com/profile_images/849132774661308416/pa2Uplq1_normal.jpg</v>
      </c>
      <c r="AW161" s="81" t="s">
        <v>1043</v>
      </c>
      <c r="AX161" s="81" t="s">
        <v>1043</v>
      </c>
      <c r="AY161" s="77"/>
      <c r="AZ161" s="81" t="s">
        <v>1190</v>
      </c>
      <c r="BA161" s="81" t="s">
        <v>1190</v>
      </c>
      <c r="BB161" s="81" t="s">
        <v>1190</v>
      </c>
      <c r="BC161" s="81" t="s">
        <v>1043</v>
      </c>
      <c r="BD161" s="77">
        <v>87606674</v>
      </c>
      <c r="BE161" s="77"/>
      <c r="BF161" s="77"/>
      <c r="BG161" s="77"/>
      <c r="BH161" s="77"/>
      <c r="BI161" s="77"/>
      <c r="BJ161">
        <v>1</v>
      </c>
      <c r="BK161" s="76" t="str">
        <f>REPLACE(INDEX(GroupVertices[Group],MATCH(Edges[[#This Row],[Vertex 1]],GroupVertices[Vertex],0)),1,1,"")</f>
        <v>2</v>
      </c>
      <c r="BL161" s="76" t="str">
        <f>REPLACE(INDEX(GroupVertices[Group],MATCH(Edges[[#This Row],[Vertex 2]],GroupVertices[Vertex],0)),1,1,"")</f>
        <v>2</v>
      </c>
      <c r="BM161" s="45"/>
      <c r="BN161" s="46"/>
      <c r="BO161" s="45"/>
      <c r="BP161" s="46"/>
      <c r="BQ161" s="45"/>
      <c r="BR161" s="46"/>
      <c r="BS161" s="45"/>
      <c r="BT161" s="46"/>
      <c r="BU161" s="45"/>
    </row>
    <row r="162" spans="1:73" ht="15">
      <c r="A162" s="61" t="s">
        <v>228</v>
      </c>
      <c r="B162" s="61" t="s">
        <v>310</v>
      </c>
      <c r="C162" s="62" t="s">
        <v>11692</v>
      </c>
      <c r="D162" s="63">
        <v>3</v>
      </c>
      <c r="E162" s="64" t="s">
        <v>132</v>
      </c>
      <c r="F162" s="65">
        <v>32</v>
      </c>
      <c r="G162" s="62"/>
      <c r="H162" s="66"/>
      <c r="I162" s="67"/>
      <c r="J162" s="67"/>
      <c r="K162" s="31" t="s">
        <v>65</v>
      </c>
      <c r="L162" s="75">
        <v>162</v>
      </c>
      <c r="M162" s="75"/>
      <c r="N162" s="69"/>
      <c r="O162" s="77" t="s">
        <v>539</v>
      </c>
      <c r="P162" s="79">
        <v>45162.93407407407</v>
      </c>
      <c r="Q162" s="77" t="s">
        <v>561</v>
      </c>
      <c r="R162" s="77">
        <v>0</v>
      </c>
      <c r="S162" s="77">
        <v>1</v>
      </c>
      <c r="T162" s="77">
        <v>0</v>
      </c>
      <c r="U162" s="77">
        <v>0</v>
      </c>
      <c r="V162" s="77">
        <v>361</v>
      </c>
      <c r="W162" s="81" t="s">
        <v>674</v>
      </c>
      <c r="X162" s="83" t="str">
        <f>HYPERLINK("https://bit.ly/44sbaBT")</f>
        <v>https://bit.ly/44sbaBT</v>
      </c>
      <c r="Y162" s="77" t="s">
        <v>740</v>
      </c>
      <c r="Z162" s="77" t="s">
        <v>759</v>
      </c>
      <c r="AA162" s="77"/>
      <c r="AB162" s="77"/>
      <c r="AC162" s="81" t="s">
        <v>857</v>
      </c>
      <c r="AD162" s="77" t="s">
        <v>859</v>
      </c>
      <c r="AE162" s="83" t="str">
        <f>HYPERLINK("https://twitter.com/nodexl/status/1694838260445683717")</f>
        <v>https://twitter.com/nodexl/status/1694838260445683717</v>
      </c>
      <c r="AF162" s="79">
        <v>45162.93407407407</v>
      </c>
      <c r="AG162" s="85">
        <v>45162</v>
      </c>
      <c r="AH162" s="81" t="s">
        <v>888</v>
      </c>
      <c r="AI162" s="77" t="b">
        <v>0</v>
      </c>
      <c r="AJ162" s="77"/>
      <c r="AK162" s="77"/>
      <c r="AL162" s="77"/>
      <c r="AM162" s="77"/>
      <c r="AN162" s="77"/>
      <c r="AO162" s="77"/>
      <c r="AP162" s="77"/>
      <c r="AQ162" s="77"/>
      <c r="AR162" s="77"/>
      <c r="AS162" s="77"/>
      <c r="AT162" s="77"/>
      <c r="AU162" s="77"/>
      <c r="AV162" s="83" t="str">
        <f>HYPERLINK("https://pbs.twimg.com/profile_images/849132774661308416/pa2Uplq1_normal.jpg")</f>
        <v>https://pbs.twimg.com/profile_images/849132774661308416/pa2Uplq1_normal.jpg</v>
      </c>
      <c r="AW162" s="81" t="s">
        <v>1043</v>
      </c>
      <c r="AX162" s="81" t="s">
        <v>1043</v>
      </c>
      <c r="AY162" s="77"/>
      <c r="AZ162" s="81" t="s">
        <v>1190</v>
      </c>
      <c r="BA162" s="81" t="s">
        <v>1190</v>
      </c>
      <c r="BB162" s="81" t="s">
        <v>1190</v>
      </c>
      <c r="BC162" s="81" t="s">
        <v>1043</v>
      </c>
      <c r="BD162" s="77">
        <v>87606674</v>
      </c>
      <c r="BE162" s="77"/>
      <c r="BF162" s="77"/>
      <c r="BG162" s="77"/>
      <c r="BH162" s="77"/>
      <c r="BI162" s="77"/>
      <c r="BJ162">
        <v>1</v>
      </c>
      <c r="BK162" s="76" t="str">
        <f>REPLACE(INDEX(GroupVertices[Group],MATCH(Edges[[#This Row],[Vertex 1]],GroupVertices[Vertex],0)),1,1,"")</f>
        <v>2</v>
      </c>
      <c r="BL162" s="76" t="str">
        <f>REPLACE(INDEX(GroupVertices[Group],MATCH(Edges[[#This Row],[Vertex 2]],GroupVertices[Vertex],0)),1,1,"")</f>
        <v>2</v>
      </c>
      <c r="BM162" s="45"/>
      <c r="BN162" s="46"/>
      <c r="BO162" s="45"/>
      <c r="BP162" s="46"/>
      <c r="BQ162" s="45"/>
      <c r="BR162" s="46"/>
      <c r="BS162" s="45"/>
      <c r="BT162" s="46"/>
      <c r="BU162" s="45"/>
    </row>
    <row r="163" spans="1:73" ht="15">
      <c r="A163" s="61" t="s">
        <v>228</v>
      </c>
      <c r="B163" s="61" t="s">
        <v>311</v>
      </c>
      <c r="C163" s="62" t="s">
        <v>11692</v>
      </c>
      <c r="D163" s="63">
        <v>3</v>
      </c>
      <c r="E163" s="64" t="s">
        <v>132</v>
      </c>
      <c r="F163" s="65">
        <v>32</v>
      </c>
      <c r="G163" s="62"/>
      <c r="H163" s="66"/>
      <c r="I163" s="67"/>
      <c r="J163" s="67"/>
      <c r="K163" s="31" t="s">
        <v>65</v>
      </c>
      <c r="L163" s="75">
        <v>163</v>
      </c>
      <c r="M163" s="75"/>
      <c r="N163" s="69"/>
      <c r="O163" s="77" t="s">
        <v>539</v>
      </c>
      <c r="P163" s="79">
        <v>45162.93407407407</v>
      </c>
      <c r="Q163" s="77" t="s">
        <v>561</v>
      </c>
      <c r="R163" s="77">
        <v>0</v>
      </c>
      <c r="S163" s="77">
        <v>1</v>
      </c>
      <c r="T163" s="77">
        <v>0</v>
      </c>
      <c r="U163" s="77">
        <v>0</v>
      </c>
      <c r="V163" s="77">
        <v>361</v>
      </c>
      <c r="W163" s="81" t="s">
        <v>674</v>
      </c>
      <c r="X163" s="83" t="str">
        <f>HYPERLINK("https://bit.ly/44sbaBT")</f>
        <v>https://bit.ly/44sbaBT</v>
      </c>
      <c r="Y163" s="77" t="s">
        <v>740</v>
      </c>
      <c r="Z163" s="77" t="s">
        <v>759</v>
      </c>
      <c r="AA163" s="77"/>
      <c r="AB163" s="77"/>
      <c r="AC163" s="81" t="s">
        <v>857</v>
      </c>
      <c r="AD163" s="77" t="s">
        <v>859</v>
      </c>
      <c r="AE163" s="83" t="str">
        <f>HYPERLINK("https://twitter.com/nodexl/status/1694838260445683717")</f>
        <v>https://twitter.com/nodexl/status/1694838260445683717</v>
      </c>
      <c r="AF163" s="79">
        <v>45162.93407407407</v>
      </c>
      <c r="AG163" s="85">
        <v>45162</v>
      </c>
      <c r="AH163" s="81" t="s">
        <v>888</v>
      </c>
      <c r="AI163" s="77" t="b">
        <v>0</v>
      </c>
      <c r="AJ163" s="77"/>
      <c r="AK163" s="77"/>
      <c r="AL163" s="77"/>
      <c r="AM163" s="77"/>
      <c r="AN163" s="77"/>
      <c r="AO163" s="77"/>
      <c r="AP163" s="77"/>
      <c r="AQ163" s="77"/>
      <c r="AR163" s="77"/>
      <c r="AS163" s="77"/>
      <c r="AT163" s="77"/>
      <c r="AU163" s="77"/>
      <c r="AV163" s="83" t="str">
        <f>HYPERLINK("https://pbs.twimg.com/profile_images/849132774661308416/pa2Uplq1_normal.jpg")</f>
        <v>https://pbs.twimg.com/profile_images/849132774661308416/pa2Uplq1_normal.jpg</v>
      </c>
      <c r="AW163" s="81" t="s">
        <v>1043</v>
      </c>
      <c r="AX163" s="81" t="s">
        <v>1043</v>
      </c>
      <c r="AY163" s="77"/>
      <c r="AZ163" s="81" t="s">
        <v>1190</v>
      </c>
      <c r="BA163" s="81" t="s">
        <v>1190</v>
      </c>
      <c r="BB163" s="81" t="s">
        <v>1190</v>
      </c>
      <c r="BC163" s="81" t="s">
        <v>1043</v>
      </c>
      <c r="BD163" s="77">
        <v>87606674</v>
      </c>
      <c r="BE163" s="77"/>
      <c r="BF163" s="77"/>
      <c r="BG163" s="77"/>
      <c r="BH163" s="77"/>
      <c r="BI163" s="77"/>
      <c r="BJ163">
        <v>1</v>
      </c>
      <c r="BK163" s="76" t="str">
        <f>REPLACE(INDEX(GroupVertices[Group],MATCH(Edges[[#This Row],[Vertex 1]],GroupVertices[Vertex],0)),1,1,"")</f>
        <v>2</v>
      </c>
      <c r="BL163" s="76" t="str">
        <f>REPLACE(INDEX(GroupVertices[Group],MATCH(Edges[[#This Row],[Vertex 2]],GroupVertices[Vertex],0)),1,1,"")</f>
        <v>2</v>
      </c>
      <c r="BM163" s="45"/>
      <c r="BN163" s="46"/>
      <c r="BO163" s="45"/>
      <c r="BP163" s="46"/>
      <c r="BQ163" s="45"/>
      <c r="BR163" s="46"/>
      <c r="BS163" s="45"/>
      <c r="BT163" s="46"/>
      <c r="BU163" s="45"/>
    </row>
    <row r="164" spans="1:73" ht="15">
      <c r="A164" s="61" t="s">
        <v>228</v>
      </c>
      <c r="B164" s="61" t="s">
        <v>312</v>
      </c>
      <c r="C164" s="62" t="s">
        <v>11692</v>
      </c>
      <c r="D164" s="63">
        <v>3</v>
      </c>
      <c r="E164" s="64" t="s">
        <v>132</v>
      </c>
      <c r="F164" s="65">
        <v>32</v>
      </c>
      <c r="G164" s="62"/>
      <c r="H164" s="66"/>
      <c r="I164" s="67"/>
      <c r="J164" s="67"/>
      <c r="K164" s="31" t="s">
        <v>65</v>
      </c>
      <c r="L164" s="75">
        <v>164</v>
      </c>
      <c r="M164" s="75"/>
      <c r="N164" s="69"/>
      <c r="O164" s="77" t="s">
        <v>539</v>
      </c>
      <c r="P164" s="79">
        <v>45162.93407407407</v>
      </c>
      <c r="Q164" s="77" t="s">
        <v>561</v>
      </c>
      <c r="R164" s="77">
        <v>0</v>
      </c>
      <c r="S164" s="77">
        <v>1</v>
      </c>
      <c r="T164" s="77">
        <v>0</v>
      </c>
      <c r="U164" s="77">
        <v>0</v>
      </c>
      <c r="V164" s="77">
        <v>361</v>
      </c>
      <c r="W164" s="81" t="s">
        <v>674</v>
      </c>
      <c r="X164" s="83" t="str">
        <f>HYPERLINK("https://bit.ly/44sbaBT")</f>
        <v>https://bit.ly/44sbaBT</v>
      </c>
      <c r="Y164" s="77" t="s">
        <v>740</v>
      </c>
      <c r="Z164" s="77" t="s">
        <v>759</v>
      </c>
      <c r="AA164" s="77"/>
      <c r="AB164" s="77"/>
      <c r="AC164" s="81" t="s">
        <v>857</v>
      </c>
      <c r="AD164" s="77" t="s">
        <v>859</v>
      </c>
      <c r="AE164" s="83" t="str">
        <f>HYPERLINK("https://twitter.com/nodexl/status/1694838260445683717")</f>
        <v>https://twitter.com/nodexl/status/1694838260445683717</v>
      </c>
      <c r="AF164" s="79">
        <v>45162.93407407407</v>
      </c>
      <c r="AG164" s="85">
        <v>45162</v>
      </c>
      <c r="AH164" s="81" t="s">
        <v>888</v>
      </c>
      <c r="AI164" s="77" t="b">
        <v>0</v>
      </c>
      <c r="AJ164" s="77"/>
      <c r="AK164" s="77"/>
      <c r="AL164" s="77"/>
      <c r="AM164" s="77"/>
      <c r="AN164" s="77"/>
      <c r="AO164" s="77"/>
      <c r="AP164" s="77"/>
      <c r="AQ164" s="77"/>
      <c r="AR164" s="77"/>
      <c r="AS164" s="77"/>
      <c r="AT164" s="77"/>
      <c r="AU164" s="77"/>
      <c r="AV164" s="83" t="str">
        <f>HYPERLINK("https://pbs.twimg.com/profile_images/849132774661308416/pa2Uplq1_normal.jpg")</f>
        <v>https://pbs.twimg.com/profile_images/849132774661308416/pa2Uplq1_normal.jpg</v>
      </c>
      <c r="AW164" s="81" t="s">
        <v>1043</v>
      </c>
      <c r="AX164" s="81" t="s">
        <v>1043</v>
      </c>
      <c r="AY164" s="77"/>
      <c r="AZ164" s="81" t="s">
        <v>1190</v>
      </c>
      <c r="BA164" s="81" t="s">
        <v>1190</v>
      </c>
      <c r="BB164" s="81" t="s">
        <v>1190</v>
      </c>
      <c r="BC164" s="81" t="s">
        <v>1043</v>
      </c>
      <c r="BD164" s="77">
        <v>87606674</v>
      </c>
      <c r="BE164" s="77"/>
      <c r="BF164" s="77"/>
      <c r="BG164" s="77"/>
      <c r="BH164" s="77"/>
      <c r="BI164" s="77"/>
      <c r="BJ164">
        <v>1</v>
      </c>
      <c r="BK164" s="76" t="str">
        <f>REPLACE(INDEX(GroupVertices[Group],MATCH(Edges[[#This Row],[Vertex 1]],GroupVertices[Vertex],0)),1,1,"")</f>
        <v>2</v>
      </c>
      <c r="BL164" s="76" t="str">
        <f>REPLACE(INDEX(GroupVertices[Group],MATCH(Edges[[#This Row],[Vertex 2]],GroupVertices[Vertex],0)),1,1,"")</f>
        <v>2</v>
      </c>
      <c r="BM164" s="45"/>
      <c r="BN164" s="46"/>
      <c r="BO164" s="45"/>
      <c r="BP164" s="46"/>
      <c r="BQ164" s="45"/>
      <c r="BR164" s="46"/>
      <c r="BS164" s="45"/>
      <c r="BT164" s="46"/>
      <c r="BU164" s="45"/>
    </row>
    <row r="165" spans="1:73" ht="15">
      <c r="A165" s="61" t="s">
        <v>228</v>
      </c>
      <c r="B165" s="61" t="s">
        <v>313</v>
      </c>
      <c r="C165" s="62" t="s">
        <v>11692</v>
      </c>
      <c r="D165" s="63">
        <v>3</v>
      </c>
      <c r="E165" s="64" t="s">
        <v>132</v>
      </c>
      <c r="F165" s="65">
        <v>32</v>
      </c>
      <c r="G165" s="62"/>
      <c r="H165" s="66"/>
      <c r="I165" s="67"/>
      <c r="J165" s="67"/>
      <c r="K165" s="31" t="s">
        <v>65</v>
      </c>
      <c r="L165" s="75">
        <v>165</v>
      </c>
      <c r="M165" s="75"/>
      <c r="N165" s="69"/>
      <c r="O165" s="77" t="s">
        <v>539</v>
      </c>
      <c r="P165" s="79">
        <v>45162.93407407407</v>
      </c>
      <c r="Q165" s="77" t="s">
        <v>561</v>
      </c>
      <c r="R165" s="77">
        <v>0</v>
      </c>
      <c r="S165" s="77">
        <v>1</v>
      </c>
      <c r="T165" s="77">
        <v>0</v>
      </c>
      <c r="U165" s="77">
        <v>0</v>
      </c>
      <c r="V165" s="77">
        <v>361</v>
      </c>
      <c r="W165" s="81" t="s">
        <v>674</v>
      </c>
      <c r="X165" s="83" t="str">
        <f>HYPERLINK("https://bit.ly/44sbaBT")</f>
        <v>https://bit.ly/44sbaBT</v>
      </c>
      <c r="Y165" s="77" t="s">
        <v>740</v>
      </c>
      <c r="Z165" s="77" t="s">
        <v>759</v>
      </c>
      <c r="AA165" s="77"/>
      <c r="AB165" s="77"/>
      <c r="AC165" s="81" t="s">
        <v>857</v>
      </c>
      <c r="AD165" s="77" t="s">
        <v>859</v>
      </c>
      <c r="AE165" s="83" t="str">
        <f>HYPERLINK("https://twitter.com/nodexl/status/1694838260445683717")</f>
        <v>https://twitter.com/nodexl/status/1694838260445683717</v>
      </c>
      <c r="AF165" s="79">
        <v>45162.93407407407</v>
      </c>
      <c r="AG165" s="85">
        <v>45162</v>
      </c>
      <c r="AH165" s="81" t="s">
        <v>888</v>
      </c>
      <c r="AI165" s="77" t="b">
        <v>0</v>
      </c>
      <c r="AJ165" s="77"/>
      <c r="AK165" s="77"/>
      <c r="AL165" s="77"/>
      <c r="AM165" s="77"/>
      <c r="AN165" s="77"/>
      <c r="AO165" s="77"/>
      <c r="AP165" s="77"/>
      <c r="AQ165" s="77"/>
      <c r="AR165" s="77"/>
      <c r="AS165" s="77"/>
      <c r="AT165" s="77"/>
      <c r="AU165" s="77"/>
      <c r="AV165" s="83" t="str">
        <f>HYPERLINK("https://pbs.twimg.com/profile_images/849132774661308416/pa2Uplq1_normal.jpg")</f>
        <v>https://pbs.twimg.com/profile_images/849132774661308416/pa2Uplq1_normal.jpg</v>
      </c>
      <c r="AW165" s="81" t="s">
        <v>1043</v>
      </c>
      <c r="AX165" s="81" t="s">
        <v>1043</v>
      </c>
      <c r="AY165" s="77"/>
      <c r="AZ165" s="81" t="s">
        <v>1190</v>
      </c>
      <c r="BA165" s="81" t="s">
        <v>1190</v>
      </c>
      <c r="BB165" s="81" t="s">
        <v>1190</v>
      </c>
      <c r="BC165" s="81" t="s">
        <v>1043</v>
      </c>
      <c r="BD165" s="77">
        <v>87606674</v>
      </c>
      <c r="BE165" s="77"/>
      <c r="BF165" s="77"/>
      <c r="BG165" s="77"/>
      <c r="BH165" s="77"/>
      <c r="BI165" s="77"/>
      <c r="BJ165">
        <v>1</v>
      </c>
      <c r="BK165" s="76" t="str">
        <f>REPLACE(INDEX(GroupVertices[Group],MATCH(Edges[[#This Row],[Vertex 1]],GroupVertices[Vertex],0)),1,1,"")</f>
        <v>2</v>
      </c>
      <c r="BL165" s="76" t="str">
        <f>REPLACE(INDEX(GroupVertices[Group],MATCH(Edges[[#This Row],[Vertex 2]],GroupVertices[Vertex],0)),1,1,"")</f>
        <v>2</v>
      </c>
      <c r="BM165" s="45"/>
      <c r="BN165" s="46"/>
      <c r="BO165" s="45"/>
      <c r="BP165" s="46"/>
      <c r="BQ165" s="45"/>
      <c r="BR165" s="46"/>
      <c r="BS165" s="45"/>
      <c r="BT165" s="46"/>
      <c r="BU165" s="45"/>
    </row>
    <row r="166" spans="1:73" ht="15">
      <c r="A166" s="61" t="s">
        <v>228</v>
      </c>
      <c r="B166" s="61" t="s">
        <v>314</v>
      </c>
      <c r="C166" s="62" t="s">
        <v>11692</v>
      </c>
      <c r="D166" s="63">
        <v>3</v>
      </c>
      <c r="E166" s="64" t="s">
        <v>132</v>
      </c>
      <c r="F166" s="65">
        <v>32</v>
      </c>
      <c r="G166" s="62"/>
      <c r="H166" s="66"/>
      <c r="I166" s="67"/>
      <c r="J166" s="67"/>
      <c r="K166" s="31" t="s">
        <v>65</v>
      </c>
      <c r="L166" s="75">
        <v>166</v>
      </c>
      <c r="M166" s="75"/>
      <c r="N166" s="69"/>
      <c r="O166" s="77" t="s">
        <v>539</v>
      </c>
      <c r="P166" s="79">
        <v>45162.93407407407</v>
      </c>
      <c r="Q166" s="77" t="s">
        <v>561</v>
      </c>
      <c r="R166" s="77">
        <v>0</v>
      </c>
      <c r="S166" s="77">
        <v>1</v>
      </c>
      <c r="T166" s="77">
        <v>0</v>
      </c>
      <c r="U166" s="77">
        <v>0</v>
      </c>
      <c r="V166" s="77">
        <v>361</v>
      </c>
      <c r="W166" s="81" t="s">
        <v>674</v>
      </c>
      <c r="X166" s="83" t="str">
        <f>HYPERLINK("https://bit.ly/44sbaBT")</f>
        <v>https://bit.ly/44sbaBT</v>
      </c>
      <c r="Y166" s="77" t="s">
        <v>740</v>
      </c>
      <c r="Z166" s="77" t="s">
        <v>759</v>
      </c>
      <c r="AA166" s="77"/>
      <c r="AB166" s="77"/>
      <c r="AC166" s="81" t="s">
        <v>857</v>
      </c>
      <c r="AD166" s="77" t="s">
        <v>859</v>
      </c>
      <c r="AE166" s="83" t="str">
        <f>HYPERLINK("https://twitter.com/nodexl/status/1694838260445683717")</f>
        <v>https://twitter.com/nodexl/status/1694838260445683717</v>
      </c>
      <c r="AF166" s="79">
        <v>45162.93407407407</v>
      </c>
      <c r="AG166" s="85">
        <v>45162</v>
      </c>
      <c r="AH166" s="81" t="s">
        <v>888</v>
      </c>
      <c r="AI166" s="77" t="b">
        <v>0</v>
      </c>
      <c r="AJ166" s="77"/>
      <c r="AK166" s="77"/>
      <c r="AL166" s="77"/>
      <c r="AM166" s="77"/>
      <c r="AN166" s="77"/>
      <c r="AO166" s="77"/>
      <c r="AP166" s="77"/>
      <c r="AQ166" s="77"/>
      <c r="AR166" s="77"/>
      <c r="AS166" s="77"/>
      <c r="AT166" s="77"/>
      <c r="AU166" s="77"/>
      <c r="AV166" s="83" t="str">
        <f>HYPERLINK("https://pbs.twimg.com/profile_images/849132774661308416/pa2Uplq1_normal.jpg")</f>
        <v>https://pbs.twimg.com/profile_images/849132774661308416/pa2Uplq1_normal.jpg</v>
      </c>
      <c r="AW166" s="81" t="s">
        <v>1043</v>
      </c>
      <c r="AX166" s="81" t="s">
        <v>1043</v>
      </c>
      <c r="AY166" s="77"/>
      <c r="AZ166" s="81" t="s">
        <v>1190</v>
      </c>
      <c r="BA166" s="81" t="s">
        <v>1190</v>
      </c>
      <c r="BB166" s="81" t="s">
        <v>1190</v>
      </c>
      <c r="BC166" s="81" t="s">
        <v>1043</v>
      </c>
      <c r="BD166" s="77">
        <v>87606674</v>
      </c>
      <c r="BE166" s="77"/>
      <c r="BF166" s="77"/>
      <c r="BG166" s="77"/>
      <c r="BH166" s="77"/>
      <c r="BI166" s="77"/>
      <c r="BJ166">
        <v>1</v>
      </c>
      <c r="BK166" s="76" t="str">
        <f>REPLACE(INDEX(GroupVertices[Group],MATCH(Edges[[#This Row],[Vertex 1]],GroupVertices[Vertex],0)),1,1,"")</f>
        <v>2</v>
      </c>
      <c r="BL166" s="76" t="str">
        <f>REPLACE(INDEX(GroupVertices[Group],MATCH(Edges[[#This Row],[Vertex 2]],GroupVertices[Vertex],0)),1,1,"")</f>
        <v>2</v>
      </c>
      <c r="BM166" s="45"/>
      <c r="BN166" s="46"/>
      <c r="BO166" s="45"/>
      <c r="BP166" s="46"/>
      <c r="BQ166" s="45"/>
      <c r="BR166" s="46"/>
      <c r="BS166" s="45"/>
      <c r="BT166" s="46"/>
      <c r="BU166" s="45"/>
    </row>
    <row r="167" spans="1:73" ht="15">
      <c r="A167" s="61" t="s">
        <v>228</v>
      </c>
      <c r="B167" s="61" t="s">
        <v>265</v>
      </c>
      <c r="C167" s="62" t="s">
        <v>11692</v>
      </c>
      <c r="D167" s="63">
        <v>3</v>
      </c>
      <c r="E167" s="64" t="s">
        <v>132</v>
      </c>
      <c r="F167" s="65">
        <v>32</v>
      </c>
      <c r="G167" s="62"/>
      <c r="H167" s="66"/>
      <c r="I167" s="67"/>
      <c r="J167" s="67"/>
      <c r="K167" s="31" t="s">
        <v>65</v>
      </c>
      <c r="L167" s="75">
        <v>167</v>
      </c>
      <c r="M167" s="75"/>
      <c r="N167" s="69"/>
      <c r="O167" s="77" t="s">
        <v>539</v>
      </c>
      <c r="P167" s="79">
        <v>45148.72865740741</v>
      </c>
      <c r="Q167" s="77" t="s">
        <v>562</v>
      </c>
      <c r="R167" s="77">
        <v>4</v>
      </c>
      <c r="S167" s="77">
        <v>11</v>
      </c>
      <c r="T167" s="77">
        <v>2</v>
      </c>
      <c r="U167" s="77">
        <v>1</v>
      </c>
      <c r="V167" s="77">
        <v>1464</v>
      </c>
      <c r="W167" s="81" t="s">
        <v>675</v>
      </c>
      <c r="X167" s="83" t="str">
        <f>HYPERLINK("https://bit.ly/3OxATCU")</f>
        <v>https://bit.ly/3OxATCU</v>
      </c>
      <c r="Y167" s="77" t="s">
        <v>740</v>
      </c>
      <c r="Z167" s="77" t="s">
        <v>760</v>
      </c>
      <c r="AA167" s="77"/>
      <c r="AB167" s="77"/>
      <c r="AC167" s="81" t="s">
        <v>857</v>
      </c>
      <c r="AD167" s="77" t="s">
        <v>859</v>
      </c>
      <c r="AE167" s="83" t="str">
        <f>HYPERLINK("https://twitter.com/nodexl/status/1689690391602450432")</f>
        <v>https://twitter.com/nodexl/status/1689690391602450432</v>
      </c>
      <c r="AF167" s="79">
        <v>45148.72865740741</v>
      </c>
      <c r="AG167" s="85">
        <v>45148</v>
      </c>
      <c r="AH167" s="81" t="s">
        <v>889</v>
      </c>
      <c r="AI167" s="77" t="b">
        <v>0</v>
      </c>
      <c r="AJ167" s="77"/>
      <c r="AK167" s="77"/>
      <c r="AL167" s="77"/>
      <c r="AM167" s="77"/>
      <c r="AN167" s="77"/>
      <c r="AO167" s="77"/>
      <c r="AP167" s="77"/>
      <c r="AQ167" s="77"/>
      <c r="AR167" s="77"/>
      <c r="AS167" s="77"/>
      <c r="AT167" s="77"/>
      <c r="AU167" s="77"/>
      <c r="AV167" s="83" t="str">
        <f>HYPERLINK("https://pbs.twimg.com/profile_images/849132774661308416/pa2Uplq1_normal.jpg")</f>
        <v>https://pbs.twimg.com/profile_images/849132774661308416/pa2Uplq1_normal.jpg</v>
      </c>
      <c r="AW167" s="81" t="s">
        <v>1044</v>
      </c>
      <c r="AX167" s="81" t="s">
        <v>1044</v>
      </c>
      <c r="AY167" s="77"/>
      <c r="AZ167" s="81" t="s">
        <v>1190</v>
      </c>
      <c r="BA167" s="81" t="s">
        <v>1190</v>
      </c>
      <c r="BB167" s="81" t="s">
        <v>1190</v>
      </c>
      <c r="BC167" s="81" t="s">
        <v>1044</v>
      </c>
      <c r="BD167" s="77">
        <v>87606674</v>
      </c>
      <c r="BE167" s="77"/>
      <c r="BF167" s="77"/>
      <c r="BG167" s="77"/>
      <c r="BH167" s="77"/>
      <c r="BI167" s="77"/>
      <c r="BJ167">
        <v>1</v>
      </c>
      <c r="BK167" s="76" t="str">
        <f>REPLACE(INDEX(GroupVertices[Group],MATCH(Edges[[#This Row],[Vertex 1]],GroupVertices[Vertex],0)),1,1,"")</f>
        <v>2</v>
      </c>
      <c r="BL167" s="76" t="str">
        <f>REPLACE(INDEX(GroupVertices[Group],MATCH(Edges[[#This Row],[Vertex 2]],GroupVertices[Vertex],0)),1,1,"")</f>
        <v>2</v>
      </c>
      <c r="BM167" s="45"/>
      <c r="BN167" s="46"/>
      <c r="BO167" s="45"/>
      <c r="BP167" s="46"/>
      <c r="BQ167" s="45"/>
      <c r="BR167" s="46"/>
      <c r="BS167" s="45"/>
      <c r="BT167" s="46"/>
      <c r="BU167" s="45"/>
    </row>
    <row r="168" spans="1:73" ht="15">
      <c r="A168" s="61" t="s">
        <v>228</v>
      </c>
      <c r="B168" s="61" t="s">
        <v>266</v>
      </c>
      <c r="C168" s="62" t="s">
        <v>11693</v>
      </c>
      <c r="D168" s="63">
        <v>4.4</v>
      </c>
      <c r="E168" s="64" t="s">
        <v>132</v>
      </c>
      <c r="F168" s="65">
        <v>27.6</v>
      </c>
      <c r="G168" s="62"/>
      <c r="H168" s="66"/>
      <c r="I168" s="67"/>
      <c r="J168" s="67"/>
      <c r="K168" s="31" t="s">
        <v>65</v>
      </c>
      <c r="L168" s="75">
        <v>168</v>
      </c>
      <c r="M168" s="75"/>
      <c r="N168" s="69"/>
      <c r="O168" s="77" t="s">
        <v>539</v>
      </c>
      <c r="P168" s="79">
        <v>45149.00141203704</v>
      </c>
      <c r="Q168" s="77" t="s">
        <v>560</v>
      </c>
      <c r="R168" s="77">
        <v>2</v>
      </c>
      <c r="S168" s="77">
        <v>10</v>
      </c>
      <c r="T168" s="77">
        <v>0</v>
      </c>
      <c r="U168" s="77">
        <v>1</v>
      </c>
      <c r="V168" s="77">
        <v>729</v>
      </c>
      <c r="W168" s="81" t="s">
        <v>673</v>
      </c>
      <c r="X168" s="83" t="str">
        <f>HYPERLINK("https://bit.ly/3QzmnNR")</f>
        <v>https://bit.ly/3QzmnNR</v>
      </c>
      <c r="Y168" s="77" t="s">
        <v>740</v>
      </c>
      <c r="Z168" s="77" t="s">
        <v>758</v>
      </c>
      <c r="AA168" s="77"/>
      <c r="AB168" s="77"/>
      <c r="AC168" s="81" t="s">
        <v>853</v>
      </c>
      <c r="AD168" s="77" t="s">
        <v>859</v>
      </c>
      <c r="AE168" s="83" t="str">
        <f>HYPERLINK("https://twitter.com/nodexl/status/1689789233823887360")</f>
        <v>https://twitter.com/nodexl/status/1689789233823887360</v>
      </c>
      <c r="AF168" s="79">
        <v>45149.00141203704</v>
      </c>
      <c r="AG168" s="85">
        <v>45149</v>
      </c>
      <c r="AH168" s="81" t="s">
        <v>887</v>
      </c>
      <c r="AI168" s="77" t="b">
        <v>0</v>
      </c>
      <c r="AJ168" s="77"/>
      <c r="AK168" s="77"/>
      <c r="AL168" s="77"/>
      <c r="AM168" s="77"/>
      <c r="AN168" s="77"/>
      <c r="AO168" s="77"/>
      <c r="AP168" s="77"/>
      <c r="AQ168" s="77"/>
      <c r="AR168" s="77"/>
      <c r="AS168" s="77"/>
      <c r="AT168" s="77"/>
      <c r="AU168" s="77"/>
      <c r="AV168" s="83" t="str">
        <f>HYPERLINK("https://pbs.twimg.com/profile_images/849132774661308416/pa2Uplq1_normal.jpg")</f>
        <v>https://pbs.twimg.com/profile_images/849132774661308416/pa2Uplq1_normal.jpg</v>
      </c>
      <c r="AW168" s="81" t="s">
        <v>1042</v>
      </c>
      <c r="AX168" s="81" t="s">
        <v>1042</v>
      </c>
      <c r="AY168" s="77"/>
      <c r="AZ168" s="81" t="s">
        <v>1190</v>
      </c>
      <c r="BA168" s="81" t="s">
        <v>1190</v>
      </c>
      <c r="BB168" s="81" t="s">
        <v>1190</v>
      </c>
      <c r="BC168" s="81" t="s">
        <v>1042</v>
      </c>
      <c r="BD168" s="77">
        <v>87606674</v>
      </c>
      <c r="BE168" s="77"/>
      <c r="BF168" s="77"/>
      <c r="BG168" s="77"/>
      <c r="BH168" s="77"/>
      <c r="BI168" s="77"/>
      <c r="BJ168">
        <v>2</v>
      </c>
      <c r="BK168" s="76" t="str">
        <f>REPLACE(INDEX(GroupVertices[Group],MATCH(Edges[[#This Row],[Vertex 1]],GroupVertices[Vertex],0)),1,1,"")</f>
        <v>2</v>
      </c>
      <c r="BL168" s="76" t="str">
        <f>REPLACE(INDEX(GroupVertices[Group],MATCH(Edges[[#This Row],[Vertex 2]],GroupVertices[Vertex],0)),1,1,"")</f>
        <v>2</v>
      </c>
      <c r="BM168" s="45"/>
      <c r="BN168" s="46"/>
      <c r="BO168" s="45"/>
      <c r="BP168" s="46"/>
      <c r="BQ168" s="45"/>
      <c r="BR168" s="46"/>
      <c r="BS168" s="45"/>
      <c r="BT168" s="46"/>
      <c r="BU168" s="45"/>
    </row>
    <row r="169" spans="1:73" ht="15">
      <c r="A169" s="61" t="s">
        <v>228</v>
      </c>
      <c r="B169" s="61" t="s">
        <v>266</v>
      </c>
      <c r="C169" s="62" t="s">
        <v>11693</v>
      </c>
      <c r="D169" s="63">
        <v>4.4</v>
      </c>
      <c r="E169" s="64" t="s">
        <v>132</v>
      </c>
      <c r="F169" s="65">
        <v>27.6</v>
      </c>
      <c r="G169" s="62"/>
      <c r="H169" s="66"/>
      <c r="I169" s="67"/>
      <c r="J169" s="67"/>
      <c r="K169" s="31" t="s">
        <v>65</v>
      </c>
      <c r="L169" s="75">
        <v>169</v>
      </c>
      <c r="M169" s="75"/>
      <c r="N169" s="69"/>
      <c r="O169" s="77" t="s">
        <v>539</v>
      </c>
      <c r="P169" s="79">
        <v>45148.72865740741</v>
      </c>
      <c r="Q169" s="77" t="s">
        <v>562</v>
      </c>
      <c r="R169" s="77">
        <v>4</v>
      </c>
      <c r="S169" s="77">
        <v>11</v>
      </c>
      <c r="T169" s="77">
        <v>2</v>
      </c>
      <c r="U169" s="77">
        <v>1</v>
      </c>
      <c r="V169" s="77">
        <v>1464</v>
      </c>
      <c r="W169" s="81" t="s">
        <v>675</v>
      </c>
      <c r="X169" s="83" t="str">
        <f>HYPERLINK("https://bit.ly/3OxATCU")</f>
        <v>https://bit.ly/3OxATCU</v>
      </c>
      <c r="Y169" s="77" t="s">
        <v>740</v>
      </c>
      <c r="Z169" s="77" t="s">
        <v>760</v>
      </c>
      <c r="AA169" s="77"/>
      <c r="AB169" s="77"/>
      <c r="AC169" s="81" t="s">
        <v>857</v>
      </c>
      <c r="AD169" s="77" t="s">
        <v>859</v>
      </c>
      <c r="AE169" s="83" t="str">
        <f>HYPERLINK("https://twitter.com/nodexl/status/1689690391602450432")</f>
        <v>https://twitter.com/nodexl/status/1689690391602450432</v>
      </c>
      <c r="AF169" s="79">
        <v>45148.72865740741</v>
      </c>
      <c r="AG169" s="85">
        <v>45148</v>
      </c>
      <c r="AH169" s="81" t="s">
        <v>889</v>
      </c>
      <c r="AI169" s="77" t="b">
        <v>0</v>
      </c>
      <c r="AJ169" s="77"/>
      <c r="AK169" s="77"/>
      <c r="AL169" s="77"/>
      <c r="AM169" s="77"/>
      <c r="AN169" s="77"/>
      <c r="AO169" s="77"/>
      <c r="AP169" s="77"/>
      <c r="AQ169" s="77"/>
      <c r="AR169" s="77"/>
      <c r="AS169" s="77"/>
      <c r="AT169" s="77"/>
      <c r="AU169" s="77"/>
      <c r="AV169" s="83" t="str">
        <f>HYPERLINK("https://pbs.twimg.com/profile_images/849132774661308416/pa2Uplq1_normal.jpg")</f>
        <v>https://pbs.twimg.com/profile_images/849132774661308416/pa2Uplq1_normal.jpg</v>
      </c>
      <c r="AW169" s="81" t="s">
        <v>1044</v>
      </c>
      <c r="AX169" s="81" t="s">
        <v>1044</v>
      </c>
      <c r="AY169" s="77"/>
      <c r="AZ169" s="81" t="s">
        <v>1190</v>
      </c>
      <c r="BA169" s="81" t="s">
        <v>1190</v>
      </c>
      <c r="BB169" s="81" t="s">
        <v>1190</v>
      </c>
      <c r="BC169" s="81" t="s">
        <v>1044</v>
      </c>
      <c r="BD169" s="77">
        <v>87606674</v>
      </c>
      <c r="BE169" s="77"/>
      <c r="BF169" s="77"/>
      <c r="BG169" s="77"/>
      <c r="BH169" s="77"/>
      <c r="BI169" s="77"/>
      <c r="BJ169">
        <v>2</v>
      </c>
      <c r="BK169" s="76" t="str">
        <f>REPLACE(INDEX(GroupVertices[Group],MATCH(Edges[[#This Row],[Vertex 1]],GroupVertices[Vertex],0)),1,1,"")</f>
        <v>2</v>
      </c>
      <c r="BL169" s="76" t="str">
        <f>REPLACE(INDEX(GroupVertices[Group],MATCH(Edges[[#This Row],[Vertex 2]],GroupVertices[Vertex],0)),1,1,"")</f>
        <v>2</v>
      </c>
      <c r="BM169" s="45"/>
      <c r="BN169" s="46"/>
      <c r="BO169" s="45"/>
      <c r="BP169" s="46"/>
      <c r="BQ169" s="45"/>
      <c r="BR169" s="46"/>
      <c r="BS169" s="45"/>
      <c r="BT169" s="46"/>
      <c r="BU169" s="45"/>
    </row>
    <row r="170" spans="1:73" ht="15">
      <c r="A170" s="61" t="s">
        <v>228</v>
      </c>
      <c r="B170" s="61" t="s">
        <v>267</v>
      </c>
      <c r="C170" s="62" t="s">
        <v>11693</v>
      </c>
      <c r="D170" s="63">
        <v>4.4</v>
      </c>
      <c r="E170" s="64" t="s">
        <v>132</v>
      </c>
      <c r="F170" s="65">
        <v>27.6</v>
      </c>
      <c r="G170" s="62"/>
      <c r="H170" s="66"/>
      <c r="I170" s="67"/>
      <c r="J170" s="67"/>
      <c r="K170" s="31" t="s">
        <v>65</v>
      </c>
      <c r="L170" s="75">
        <v>170</v>
      </c>
      <c r="M170" s="75"/>
      <c r="N170" s="69"/>
      <c r="O170" s="77" t="s">
        <v>539</v>
      </c>
      <c r="P170" s="79">
        <v>45149.00141203704</v>
      </c>
      <c r="Q170" s="77" t="s">
        <v>560</v>
      </c>
      <c r="R170" s="77">
        <v>2</v>
      </c>
      <c r="S170" s="77">
        <v>10</v>
      </c>
      <c r="T170" s="77">
        <v>0</v>
      </c>
      <c r="U170" s="77">
        <v>1</v>
      </c>
      <c r="V170" s="77">
        <v>729</v>
      </c>
      <c r="W170" s="81" t="s">
        <v>673</v>
      </c>
      <c r="X170" s="83" t="str">
        <f>HYPERLINK("https://bit.ly/3QzmnNR")</f>
        <v>https://bit.ly/3QzmnNR</v>
      </c>
      <c r="Y170" s="77" t="s">
        <v>740</v>
      </c>
      <c r="Z170" s="77" t="s">
        <v>758</v>
      </c>
      <c r="AA170" s="77"/>
      <c r="AB170" s="77"/>
      <c r="AC170" s="81" t="s">
        <v>853</v>
      </c>
      <c r="AD170" s="77" t="s">
        <v>859</v>
      </c>
      <c r="AE170" s="83" t="str">
        <f>HYPERLINK("https://twitter.com/nodexl/status/1689789233823887360")</f>
        <v>https://twitter.com/nodexl/status/1689789233823887360</v>
      </c>
      <c r="AF170" s="79">
        <v>45149.00141203704</v>
      </c>
      <c r="AG170" s="85">
        <v>45149</v>
      </c>
      <c r="AH170" s="81" t="s">
        <v>887</v>
      </c>
      <c r="AI170" s="77" t="b">
        <v>0</v>
      </c>
      <c r="AJ170" s="77"/>
      <c r="AK170" s="77"/>
      <c r="AL170" s="77"/>
      <c r="AM170" s="77"/>
      <c r="AN170" s="77"/>
      <c r="AO170" s="77"/>
      <c r="AP170" s="77"/>
      <c r="AQ170" s="77"/>
      <c r="AR170" s="77"/>
      <c r="AS170" s="77"/>
      <c r="AT170" s="77"/>
      <c r="AU170" s="77"/>
      <c r="AV170" s="83" t="str">
        <f>HYPERLINK("https://pbs.twimg.com/profile_images/849132774661308416/pa2Uplq1_normal.jpg")</f>
        <v>https://pbs.twimg.com/profile_images/849132774661308416/pa2Uplq1_normal.jpg</v>
      </c>
      <c r="AW170" s="81" t="s">
        <v>1042</v>
      </c>
      <c r="AX170" s="81" t="s">
        <v>1042</v>
      </c>
      <c r="AY170" s="77"/>
      <c r="AZ170" s="81" t="s">
        <v>1190</v>
      </c>
      <c r="BA170" s="81" t="s">
        <v>1190</v>
      </c>
      <c r="BB170" s="81" t="s">
        <v>1190</v>
      </c>
      <c r="BC170" s="81" t="s">
        <v>1042</v>
      </c>
      <c r="BD170" s="77">
        <v>87606674</v>
      </c>
      <c r="BE170" s="77"/>
      <c r="BF170" s="77"/>
      <c r="BG170" s="77"/>
      <c r="BH170" s="77"/>
      <c r="BI170" s="77"/>
      <c r="BJ170">
        <v>2</v>
      </c>
      <c r="BK170" s="76" t="str">
        <f>REPLACE(INDEX(GroupVertices[Group],MATCH(Edges[[#This Row],[Vertex 1]],GroupVertices[Vertex],0)),1,1,"")</f>
        <v>2</v>
      </c>
      <c r="BL170" s="76" t="str">
        <f>REPLACE(INDEX(GroupVertices[Group],MATCH(Edges[[#This Row],[Vertex 2]],GroupVertices[Vertex],0)),1,1,"")</f>
        <v>2</v>
      </c>
      <c r="BM170" s="45"/>
      <c r="BN170" s="46"/>
      <c r="BO170" s="45"/>
      <c r="BP170" s="46"/>
      <c r="BQ170" s="45"/>
      <c r="BR170" s="46"/>
      <c r="BS170" s="45"/>
      <c r="BT170" s="46"/>
      <c r="BU170" s="45"/>
    </row>
    <row r="171" spans="1:73" ht="15">
      <c r="A171" s="61" t="s">
        <v>228</v>
      </c>
      <c r="B171" s="61" t="s">
        <v>267</v>
      </c>
      <c r="C171" s="62" t="s">
        <v>11693</v>
      </c>
      <c r="D171" s="63">
        <v>4.4</v>
      </c>
      <c r="E171" s="64" t="s">
        <v>132</v>
      </c>
      <c r="F171" s="65">
        <v>27.6</v>
      </c>
      <c r="G171" s="62"/>
      <c r="H171" s="66"/>
      <c r="I171" s="67"/>
      <c r="J171" s="67"/>
      <c r="K171" s="31" t="s">
        <v>65</v>
      </c>
      <c r="L171" s="75">
        <v>171</v>
      </c>
      <c r="M171" s="75"/>
      <c r="N171" s="69"/>
      <c r="O171" s="77" t="s">
        <v>539</v>
      </c>
      <c r="P171" s="79">
        <v>45148.72865740741</v>
      </c>
      <c r="Q171" s="77" t="s">
        <v>562</v>
      </c>
      <c r="R171" s="77">
        <v>4</v>
      </c>
      <c r="S171" s="77">
        <v>11</v>
      </c>
      <c r="T171" s="77">
        <v>2</v>
      </c>
      <c r="U171" s="77">
        <v>1</v>
      </c>
      <c r="V171" s="77">
        <v>1464</v>
      </c>
      <c r="W171" s="81" t="s">
        <v>675</v>
      </c>
      <c r="X171" s="83" t="str">
        <f>HYPERLINK("https://bit.ly/3OxATCU")</f>
        <v>https://bit.ly/3OxATCU</v>
      </c>
      <c r="Y171" s="77" t="s">
        <v>740</v>
      </c>
      <c r="Z171" s="77" t="s">
        <v>760</v>
      </c>
      <c r="AA171" s="77"/>
      <c r="AB171" s="77"/>
      <c r="AC171" s="81" t="s">
        <v>857</v>
      </c>
      <c r="AD171" s="77" t="s">
        <v>859</v>
      </c>
      <c r="AE171" s="83" t="str">
        <f>HYPERLINK("https://twitter.com/nodexl/status/1689690391602450432")</f>
        <v>https://twitter.com/nodexl/status/1689690391602450432</v>
      </c>
      <c r="AF171" s="79">
        <v>45148.72865740741</v>
      </c>
      <c r="AG171" s="85">
        <v>45148</v>
      </c>
      <c r="AH171" s="81" t="s">
        <v>889</v>
      </c>
      <c r="AI171" s="77" t="b">
        <v>0</v>
      </c>
      <c r="AJ171" s="77"/>
      <c r="AK171" s="77"/>
      <c r="AL171" s="77"/>
      <c r="AM171" s="77"/>
      <c r="AN171" s="77"/>
      <c r="AO171" s="77"/>
      <c r="AP171" s="77"/>
      <c r="AQ171" s="77"/>
      <c r="AR171" s="77"/>
      <c r="AS171" s="77"/>
      <c r="AT171" s="77"/>
      <c r="AU171" s="77"/>
      <c r="AV171" s="83" t="str">
        <f>HYPERLINK("https://pbs.twimg.com/profile_images/849132774661308416/pa2Uplq1_normal.jpg")</f>
        <v>https://pbs.twimg.com/profile_images/849132774661308416/pa2Uplq1_normal.jpg</v>
      </c>
      <c r="AW171" s="81" t="s">
        <v>1044</v>
      </c>
      <c r="AX171" s="81" t="s">
        <v>1044</v>
      </c>
      <c r="AY171" s="77"/>
      <c r="AZ171" s="81" t="s">
        <v>1190</v>
      </c>
      <c r="BA171" s="81" t="s">
        <v>1190</v>
      </c>
      <c r="BB171" s="81" t="s">
        <v>1190</v>
      </c>
      <c r="BC171" s="81" t="s">
        <v>1044</v>
      </c>
      <c r="BD171" s="77">
        <v>87606674</v>
      </c>
      <c r="BE171" s="77"/>
      <c r="BF171" s="77"/>
      <c r="BG171" s="77"/>
      <c r="BH171" s="77"/>
      <c r="BI171" s="77"/>
      <c r="BJ171">
        <v>2</v>
      </c>
      <c r="BK171" s="76" t="str">
        <f>REPLACE(INDEX(GroupVertices[Group],MATCH(Edges[[#This Row],[Vertex 1]],GroupVertices[Vertex],0)),1,1,"")</f>
        <v>2</v>
      </c>
      <c r="BL171" s="76" t="str">
        <f>REPLACE(INDEX(GroupVertices[Group],MATCH(Edges[[#This Row],[Vertex 2]],GroupVertices[Vertex],0)),1,1,"")</f>
        <v>2</v>
      </c>
      <c r="BM171" s="45"/>
      <c r="BN171" s="46"/>
      <c r="BO171" s="45"/>
      <c r="BP171" s="46"/>
      <c r="BQ171" s="45"/>
      <c r="BR171" s="46"/>
      <c r="BS171" s="45"/>
      <c r="BT171" s="46"/>
      <c r="BU171" s="45"/>
    </row>
    <row r="172" spans="1:73" ht="15">
      <c r="A172" s="61" t="s">
        <v>228</v>
      </c>
      <c r="B172" s="61" t="s">
        <v>268</v>
      </c>
      <c r="C172" s="62" t="s">
        <v>11693</v>
      </c>
      <c r="D172" s="63">
        <v>4.4</v>
      </c>
      <c r="E172" s="64" t="s">
        <v>132</v>
      </c>
      <c r="F172" s="65">
        <v>27.6</v>
      </c>
      <c r="G172" s="62"/>
      <c r="H172" s="66"/>
      <c r="I172" s="67"/>
      <c r="J172" s="67"/>
      <c r="K172" s="31" t="s">
        <v>65</v>
      </c>
      <c r="L172" s="75">
        <v>172</v>
      </c>
      <c r="M172" s="75"/>
      <c r="N172" s="69"/>
      <c r="O172" s="77" t="s">
        <v>539</v>
      </c>
      <c r="P172" s="79">
        <v>45149.00141203704</v>
      </c>
      <c r="Q172" s="77" t="s">
        <v>560</v>
      </c>
      <c r="R172" s="77">
        <v>2</v>
      </c>
      <c r="S172" s="77">
        <v>10</v>
      </c>
      <c r="T172" s="77">
        <v>0</v>
      </c>
      <c r="U172" s="77">
        <v>1</v>
      </c>
      <c r="V172" s="77">
        <v>729</v>
      </c>
      <c r="W172" s="81" t="s">
        <v>673</v>
      </c>
      <c r="X172" s="83" t="str">
        <f>HYPERLINK("https://bit.ly/3QzmnNR")</f>
        <v>https://bit.ly/3QzmnNR</v>
      </c>
      <c r="Y172" s="77" t="s">
        <v>740</v>
      </c>
      <c r="Z172" s="77" t="s">
        <v>758</v>
      </c>
      <c r="AA172" s="77"/>
      <c r="AB172" s="77"/>
      <c r="AC172" s="81" t="s">
        <v>853</v>
      </c>
      <c r="AD172" s="77" t="s">
        <v>859</v>
      </c>
      <c r="AE172" s="83" t="str">
        <f>HYPERLINK("https://twitter.com/nodexl/status/1689789233823887360")</f>
        <v>https://twitter.com/nodexl/status/1689789233823887360</v>
      </c>
      <c r="AF172" s="79">
        <v>45149.00141203704</v>
      </c>
      <c r="AG172" s="85">
        <v>45149</v>
      </c>
      <c r="AH172" s="81" t="s">
        <v>887</v>
      </c>
      <c r="AI172" s="77" t="b">
        <v>0</v>
      </c>
      <c r="AJ172" s="77"/>
      <c r="AK172" s="77"/>
      <c r="AL172" s="77"/>
      <c r="AM172" s="77"/>
      <c r="AN172" s="77"/>
      <c r="AO172" s="77"/>
      <c r="AP172" s="77"/>
      <c r="AQ172" s="77"/>
      <c r="AR172" s="77"/>
      <c r="AS172" s="77"/>
      <c r="AT172" s="77"/>
      <c r="AU172" s="77"/>
      <c r="AV172" s="83" t="str">
        <f>HYPERLINK("https://pbs.twimg.com/profile_images/849132774661308416/pa2Uplq1_normal.jpg")</f>
        <v>https://pbs.twimg.com/profile_images/849132774661308416/pa2Uplq1_normal.jpg</v>
      </c>
      <c r="AW172" s="81" t="s">
        <v>1042</v>
      </c>
      <c r="AX172" s="81" t="s">
        <v>1042</v>
      </c>
      <c r="AY172" s="77"/>
      <c r="AZ172" s="81" t="s">
        <v>1190</v>
      </c>
      <c r="BA172" s="81" t="s">
        <v>1190</v>
      </c>
      <c r="BB172" s="81" t="s">
        <v>1190</v>
      </c>
      <c r="BC172" s="81" t="s">
        <v>1042</v>
      </c>
      <c r="BD172" s="77">
        <v>87606674</v>
      </c>
      <c r="BE172" s="77"/>
      <c r="BF172" s="77"/>
      <c r="BG172" s="77"/>
      <c r="BH172" s="77"/>
      <c r="BI172" s="77"/>
      <c r="BJ172">
        <v>2</v>
      </c>
      <c r="BK172" s="76" t="str">
        <f>REPLACE(INDEX(GroupVertices[Group],MATCH(Edges[[#This Row],[Vertex 1]],GroupVertices[Vertex],0)),1,1,"")</f>
        <v>2</v>
      </c>
      <c r="BL172" s="76" t="str">
        <f>REPLACE(INDEX(GroupVertices[Group],MATCH(Edges[[#This Row],[Vertex 2]],GroupVertices[Vertex],0)),1,1,"")</f>
        <v>2</v>
      </c>
      <c r="BM172" s="45"/>
      <c r="BN172" s="46"/>
      <c r="BO172" s="45"/>
      <c r="BP172" s="46"/>
      <c r="BQ172" s="45"/>
      <c r="BR172" s="46"/>
      <c r="BS172" s="45"/>
      <c r="BT172" s="46"/>
      <c r="BU172" s="45"/>
    </row>
    <row r="173" spans="1:73" ht="15">
      <c r="A173" s="61" t="s">
        <v>228</v>
      </c>
      <c r="B173" s="61" t="s">
        <v>268</v>
      </c>
      <c r="C173" s="62" t="s">
        <v>11693</v>
      </c>
      <c r="D173" s="63">
        <v>4.4</v>
      </c>
      <c r="E173" s="64" t="s">
        <v>132</v>
      </c>
      <c r="F173" s="65">
        <v>27.6</v>
      </c>
      <c r="G173" s="62"/>
      <c r="H173" s="66"/>
      <c r="I173" s="67"/>
      <c r="J173" s="67"/>
      <c r="K173" s="31" t="s">
        <v>65</v>
      </c>
      <c r="L173" s="75">
        <v>173</v>
      </c>
      <c r="M173" s="75"/>
      <c r="N173" s="69"/>
      <c r="O173" s="77" t="s">
        <v>539</v>
      </c>
      <c r="P173" s="79">
        <v>45148.72865740741</v>
      </c>
      <c r="Q173" s="77" t="s">
        <v>562</v>
      </c>
      <c r="R173" s="77">
        <v>4</v>
      </c>
      <c r="S173" s="77">
        <v>11</v>
      </c>
      <c r="T173" s="77">
        <v>2</v>
      </c>
      <c r="U173" s="77">
        <v>1</v>
      </c>
      <c r="V173" s="77">
        <v>1464</v>
      </c>
      <c r="W173" s="81" t="s">
        <v>675</v>
      </c>
      <c r="X173" s="83" t="str">
        <f>HYPERLINK("https://bit.ly/3OxATCU")</f>
        <v>https://bit.ly/3OxATCU</v>
      </c>
      <c r="Y173" s="77" t="s">
        <v>740</v>
      </c>
      <c r="Z173" s="77" t="s">
        <v>760</v>
      </c>
      <c r="AA173" s="77"/>
      <c r="AB173" s="77"/>
      <c r="AC173" s="81" t="s">
        <v>857</v>
      </c>
      <c r="AD173" s="77" t="s">
        <v>859</v>
      </c>
      <c r="AE173" s="83" t="str">
        <f>HYPERLINK("https://twitter.com/nodexl/status/1689690391602450432")</f>
        <v>https://twitter.com/nodexl/status/1689690391602450432</v>
      </c>
      <c r="AF173" s="79">
        <v>45148.72865740741</v>
      </c>
      <c r="AG173" s="85">
        <v>45148</v>
      </c>
      <c r="AH173" s="81" t="s">
        <v>889</v>
      </c>
      <c r="AI173" s="77" t="b">
        <v>0</v>
      </c>
      <c r="AJ173" s="77"/>
      <c r="AK173" s="77"/>
      <c r="AL173" s="77"/>
      <c r="AM173" s="77"/>
      <c r="AN173" s="77"/>
      <c r="AO173" s="77"/>
      <c r="AP173" s="77"/>
      <c r="AQ173" s="77"/>
      <c r="AR173" s="77"/>
      <c r="AS173" s="77"/>
      <c r="AT173" s="77"/>
      <c r="AU173" s="77"/>
      <c r="AV173" s="83" t="str">
        <f>HYPERLINK("https://pbs.twimg.com/profile_images/849132774661308416/pa2Uplq1_normal.jpg")</f>
        <v>https://pbs.twimg.com/profile_images/849132774661308416/pa2Uplq1_normal.jpg</v>
      </c>
      <c r="AW173" s="81" t="s">
        <v>1044</v>
      </c>
      <c r="AX173" s="81" t="s">
        <v>1044</v>
      </c>
      <c r="AY173" s="77"/>
      <c r="AZ173" s="81" t="s">
        <v>1190</v>
      </c>
      <c r="BA173" s="81" t="s">
        <v>1190</v>
      </c>
      <c r="BB173" s="81" t="s">
        <v>1190</v>
      </c>
      <c r="BC173" s="81" t="s">
        <v>1044</v>
      </c>
      <c r="BD173" s="77">
        <v>87606674</v>
      </c>
      <c r="BE173" s="77"/>
      <c r="BF173" s="77"/>
      <c r="BG173" s="77"/>
      <c r="BH173" s="77"/>
      <c r="BI173" s="77"/>
      <c r="BJ173">
        <v>2</v>
      </c>
      <c r="BK173" s="76" t="str">
        <f>REPLACE(INDEX(GroupVertices[Group],MATCH(Edges[[#This Row],[Vertex 1]],GroupVertices[Vertex],0)),1,1,"")</f>
        <v>2</v>
      </c>
      <c r="BL173" s="76" t="str">
        <f>REPLACE(INDEX(GroupVertices[Group],MATCH(Edges[[#This Row],[Vertex 2]],GroupVertices[Vertex],0)),1,1,"")</f>
        <v>2</v>
      </c>
      <c r="BM173" s="45"/>
      <c r="BN173" s="46"/>
      <c r="BO173" s="45"/>
      <c r="BP173" s="46"/>
      <c r="BQ173" s="45"/>
      <c r="BR173" s="46"/>
      <c r="BS173" s="45"/>
      <c r="BT173" s="46"/>
      <c r="BU173" s="45"/>
    </row>
    <row r="174" spans="1:73" ht="15">
      <c r="A174" s="61" t="s">
        <v>228</v>
      </c>
      <c r="B174" s="61" t="s">
        <v>269</v>
      </c>
      <c r="C174" s="62" t="s">
        <v>11692</v>
      </c>
      <c r="D174" s="63">
        <v>3</v>
      </c>
      <c r="E174" s="64" t="s">
        <v>132</v>
      </c>
      <c r="F174" s="65">
        <v>32</v>
      </c>
      <c r="G174" s="62"/>
      <c r="H174" s="66"/>
      <c r="I174" s="67"/>
      <c r="J174" s="67"/>
      <c r="K174" s="31" t="s">
        <v>65</v>
      </c>
      <c r="L174" s="75">
        <v>174</v>
      </c>
      <c r="M174" s="75"/>
      <c r="N174" s="69"/>
      <c r="O174" s="77" t="s">
        <v>539</v>
      </c>
      <c r="P174" s="79">
        <v>45148.72865740741</v>
      </c>
      <c r="Q174" s="77" t="s">
        <v>562</v>
      </c>
      <c r="R174" s="77">
        <v>4</v>
      </c>
      <c r="S174" s="77">
        <v>11</v>
      </c>
      <c r="T174" s="77">
        <v>2</v>
      </c>
      <c r="U174" s="77">
        <v>1</v>
      </c>
      <c r="V174" s="77">
        <v>1464</v>
      </c>
      <c r="W174" s="81" t="s">
        <v>675</v>
      </c>
      <c r="X174" s="83" t="str">
        <f>HYPERLINK("https://bit.ly/3OxATCU")</f>
        <v>https://bit.ly/3OxATCU</v>
      </c>
      <c r="Y174" s="77" t="s">
        <v>740</v>
      </c>
      <c r="Z174" s="77" t="s">
        <v>760</v>
      </c>
      <c r="AA174" s="77"/>
      <c r="AB174" s="77"/>
      <c r="AC174" s="81" t="s">
        <v>857</v>
      </c>
      <c r="AD174" s="77" t="s">
        <v>859</v>
      </c>
      <c r="AE174" s="83" t="str">
        <f>HYPERLINK("https://twitter.com/nodexl/status/1689690391602450432")</f>
        <v>https://twitter.com/nodexl/status/1689690391602450432</v>
      </c>
      <c r="AF174" s="79">
        <v>45148.72865740741</v>
      </c>
      <c r="AG174" s="85">
        <v>45148</v>
      </c>
      <c r="AH174" s="81" t="s">
        <v>889</v>
      </c>
      <c r="AI174" s="77" t="b">
        <v>0</v>
      </c>
      <c r="AJ174" s="77"/>
      <c r="AK174" s="77"/>
      <c r="AL174" s="77"/>
      <c r="AM174" s="77"/>
      <c r="AN174" s="77"/>
      <c r="AO174" s="77"/>
      <c r="AP174" s="77"/>
      <c r="AQ174" s="77"/>
      <c r="AR174" s="77"/>
      <c r="AS174" s="77"/>
      <c r="AT174" s="77"/>
      <c r="AU174" s="77"/>
      <c r="AV174" s="83" t="str">
        <f>HYPERLINK("https://pbs.twimg.com/profile_images/849132774661308416/pa2Uplq1_normal.jpg")</f>
        <v>https://pbs.twimg.com/profile_images/849132774661308416/pa2Uplq1_normal.jpg</v>
      </c>
      <c r="AW174" s="81" t="s">
        <v>1044</v>
      </c>
      <c r="AX174" s="81" t="s">
        <v>1044</v>
      </c>
      <c r="AY174" s="77"/>
      <c r="AZ174" s="81" t="s">
        <v>1190</v>
      </c>
      <c r="BA174" s="81" t="s">
        <v>1190</v>
      </c>
      <c r="BB174" s="81" t="s">
        <v>1190</v>
      </c>
      <c r="BC174" s="81" t="s">
        <v>1044</v>
      </c>
      <c r="BD174" s="77">
        <v>87606674</v>
      </c>
      <c r="BE174" s="77"/>
      <c r="BF174" s="77"/>
      <c r="BG174" s="77"/>
      <c r="BH174" s="77"/>
      <c r="BI174" s="77"/>
      <c r="BJ174">
        <v>1</v>
      </c>
      <c r="BK174" s="76" t="str">
        <f>REPLACE(INDEX(GroupVertices[Group],MATCH(Edges[[#This Row],[Vertex 1]],GroupVertices[Vertex],0)),1,1,"")</f>
        <v>2</v>
      </c>
      <c r="BL174" s="76" t="str">
        <f>REPLACE(INDEX(GroupVertices[Group],MATCH(Edges[[#This Row],[Vertex 2]],GroupVertices[Vertex],0)),1,1,"")</f>
        <v>2</v>
      </c>
      <c r="BM174" s="45"/>
      <c r="BN174" s="46"/>
      <c r="BO174" s="45"/>
      <c r="BP174" s="46"/>
      <c r="BQ174" s="45"/>
      <c r="BR174" s="46"/>
      <c r="BS174" s="45"/>
      <c r="BT174" s="46"/>
      <c r="BU174" s="45"/>
    </row>
    <row r="175" spans="1:73" ht="15">
      <c r="A175" s="61" t="s">
        <v>228</v>
      </c>
      <c r="B175" s="61" t="s">
        <v>270</v>
      </c>
      <c r="C175" s="62" t="s">
        <v>11692</v>
      </c>
      <c r="D175" s="63">
        <v>3</v>
      </c>
      <c r="E175" s="64" t="s">
        <v>132</v>
      </c>
      <c r="F175" s="65">
        <v>32</v>
      </c>
      <c r="G175" s="62"/>
      <c r="H175" s="66"/>
      <c r="I175" s="67"/>
      <c r="J175" s="67"/>
      <c r="K175" s="31" t="s">
        <v>65</v>
      </c>
      <c r="L175" s="75">
        <v>175</v>
      </c>
      <c r="M175" s="75"/>
      <c r="N175" s="69"/>
      <c r="O175" s="77" t="s">
        <v>539</v>
      </c>
      <c r="P175" s="79">
        <v>45148.72865740741</v>
      </c>
      <c r="Q175" s="77" t="s">
        <v>562</v>
      </c>
      <c r="R175" s="77">
        <v>4</v>
      </c>
      <c r="S175" s="77">
        <v>11</v>
      </c>
      <c r="T175" s="77">
        <v>2</v>
      </c>
      <c r="U175" s="77">
        <v>1</v>
      </c>
      <c r="V175" s="77">
        <v>1464</v>
      </c>
      <c r="W175" s="81" t="s">
        <v>675</v>
      </c>
      <c r="X175" s="83" t="str">
        <f>HYPERLINK("https://bit.ly/3OxATCU")</f>
        <v>https://bit.ly/3OxATCU</v>
      </c>
      <c r="Y175" s="77" t="s">
        <v>740</v>
      </c>
      <c r="Z175" s="77" t="s">
        <v>760</v>
      </c>
      <c r="AA175" s="77"/>
      <c r="AB175" s="77"/>
      <c r="AC175" s="81" t="s">
        <v>857</v>
      </c>
      <c r="AD175" s="77" t="s">
        <v>859</v>
      </c>
      <c r="AE175" s="83" t="str">
        <f>HYPERLINK("https://twitter.com/nodexl/status/1689690391602450432")</f>
        <v>https://twitter.com/nodexl/status/1689690391602450432</v>
      </c>
      <c r="AF175" s="79">
        <v>45148.72865740741</v>
      </c>
      <c r="AG175" s="85">
        <v>45148</v>
      </c>
      <c r="AH175" s="81" t="s">
        <v>889</v>
      </c>
      <c r="AI175" s="77" t="b">
        <v>0</v>
      </c>
      <c r="AJ175" s="77"/>
      <c r="AK175" s="77"/>
      <c r="AL175" s="77"/>
      <c r="AM175" s="77"/>
      <c r="AN175" s="77"/>
      <c r="AO175" s="77"/>
      <c r="AP175" s="77"/>
      <c r="AQ175" s="77"/>
      <c r="AR175" s="77"/>
      <c r="AS175" s="77"/>
      <c r="AT175" s="77"/>
      <c r="AU175" s="77"/>
      <c r="AV175" s="83" t="str">
        <f>HYPERLINK("https://pbs.twimg.com/profile_images/849132774661308416/pa2Uplq1_normal.jpg")</f>
        <v>https://pbs.twimg.com/profile_images/849132774661308416/pa2Uplq1_normal.jpg</v>
      </c>
      <c r="AW175" s="81" t="s">
        <v>1044</v>
      </c>
      <c r="AX175" s="81" t="s">
        <v>1044</v>
      </c>
      <c r="AY175" s="77"/>
      <c r="AZ175" s="81" t="s">
        <v>1190</v>
      </c>
      <c r="BA175" s="81" t="s">
        <v>1190</v>
      </c>
      <c r="BB175" s="81" t="s">
        <v>1190</v>
      </c>
      <c r="BC175" s="81" t="s">
        <v>1044</v>
      </c>
      <c r="BD175" s="77">
        <v>87606674</v>
      </c>
      <c r="BE175" s="77"/>
      <c r="BF175" s="77"/>
      <c r="BG175" s="77"/>
      <c r="BH175" s="77"/>
      <c r="BI175" s="77"/>
      <c r="BJ175">
        <v>1</v>
      </c>
      <c r="BK175" s="76" t="str">
        <f>REPLACE(INDEX(GroupVertices[Group],MATCH(Edges[[#This Row],[Vertex 1]],GroupVertices[Vertex],0)),1,1,"")</f>
        <v>2</v>
      </c>
      <c r="BL175" s="76" t="str">
        <f>REPLACE(INDEX(GroupVertices[Group],MATCH(Edges[[#This Row],[Vertex 2]],GroupVertices[Vertex],0)),1,1,"")</f>
        <v>2</v>
      </c>
      <c r="BM175" s="45"/>
      <c r="BN175" s="46"/>
      <c r="BO175" s="45"/>
      <c r="BP175" s="46"/>
      <c r="BQ175" s="45"/>
      <c r="BR175" s="46"/>
      <c r="BS175" s="45"/>
      <c r="BT175" s="46"/>
      <c r="BU175" s="45"/>
    </row>
    <row r="176" spans="1:73" ht="15">
      <c r="A176" s="61" t="s">
        <v>228</v>
      </c>
      <c r="B176" s="61" t="s">
        <v>271</v>
      </c>
      <c r="C176" s="62" t="s">
        <v>11692</v>
      </c>
      <c r="D176" s="63">
        <v>3</v>
      </c>
      <c r="E176" s="64" t="s">
        <v>132</v>
      </c>
      <c r="F176" s="65">
        <v>32</v>
      </c>
      <c r="G176" s="62"/>
      <c r="H176" s="66"/>
      <c r="I176" s="67"/>
      <c r="J176" s="67"/>
      <c r="K176" s="31" t="s">
        <v>65</v>
      </c>
      <c r="L176" s="75">
        <v>176</v>
      </c>
      <c r="M176" s="75"/>
      <c r="N176" s="69"/>
      <c r="O176" s="77" t="s">
        <v>539</v>
      </c>
      <c r="P176" s="79">
        <v>45148.72865740741</v>
      </c>
      <c r="Q176" s="77" t="s">
        <v>562</v>
      </c>
      <c r="R176" s="77">
        <v>4</v>
      </c>
      <c r="S176" s="77">
        <v>11</v>
      </c>
      <c r="T176" s="77">
        <v>2</v>
      </c>
      <c r="U176" s="77">
        <v>1</v>
      </c>
      <c r="V176" s="77">
        <v>1464</v>
      </c>
      <c r="W176" s="81" t="s">
        <v>675</v>
      </c>
      <c r="X176" s="83" t="str">
        <f>HYPERLINK("https://bit.ly/3OxATCU")</f>
        <v>https://bit.ly/3OxATCU</v>
      </c>
      <c r="Y176" s="77" t="s">
        <v>740</v>
      </c>
      <c r="Z176" s="77" t="s">
        <v>760</v>
      </c>
      <c r="AA176" s="77"/>
      <c r="AB176" s="77"/>
      <c r="AC176" s="81" t="s">
        <v>857</v>
      </c>
      <c r="AD176" s="77" t="s">
        <v>859</v>
      </c>
      <c r="AE176" s="83" t="str">
        <f>HYPERLINK("https://twitter.com/nodexl/status/1689690391602450432")</f>
        <v>https://twitter.com/nodexl/status/1689690391602450432</v>
      </c>
      <c r="AF176" s="79">
        <v>45148.72865740741</v>
      </c>
      <c r="AG176" s="85">
        <v>45148</v>
      </c>
      <c r="AH176" s="81" t="s">
        <v>889</v>
      </c>
      <c r="AI176" s="77" t="b">
        <v>0</v>
      </c>
      <c r="AJ176" s="77"/>
      <c r="AK176" s="77"/>
      <c r="AL176" s="77"/>
      <c r="AM176" s="77"/>
      <c r="AN176" s="77"/>
      <c r="AO176" s="77"/>
      <c r="AP176" s="77"/>
      <c r="AQ176" s="77"/>
      <c r="AR176" s="77"/>
      <c r="AS176" s="77"/>
      <c r="AT176" s="77"/>
      <c r="AU176" s="77"/>
      <c r="AV176" s="83" t="str">
        <f>HYPERLINK("https://pbs.twimg.com/profile_images/849132774661308416/pa2Uplq1_normal.jpg")</f>
        <v>https://pbs.twimg.com/profile_images/849132774661308416/pa2Uplq1_normal.jpg</v>
      </c>
      <c r="AW176" s="81" t="s">
        <v>1044</v>
      </c>
      <c r="AX176" s="81" t="s">
        <v>1044</v>
      </c>
      <c r="AY176" s="77"/>
      <c r="AZ176" s="81" t="s">
        <v>1190</v>
      </c>
      <c r="BA176" s="81" t="s">
        <v>1190</v>
      </c>
      <c r="BB176" s="81" t="s">
        <v>1190</v>
      </c>
      <c r="BC176" s="81" t="s">
        <v>1044</v>
      </c>
      <c r="BD176" s="77">
        <v>87606674</v>
      </c>
      <c r="BE176" s="77"/>
      <c r="BF176" s="77"/>
      <c r="BG176" s="77"/>
      <c r="BH176" s="77"/>
      <c r="BI176" s="77"/>
      <c r="BJ176">
        <v>1</v>
      </c>
      <c r="BK176" s="76" t="str">
        <f>REPLACE(INDEX(GroupVertices[Group],MATCH(Edges[[#This Row],[Vertex 1]],GroupVertices[Vertex],0)),1,1,"")</f>
        <v>2</v>
      </c>
      <c r="BL176" s="76" t="str">
        <f>REPLACE(INDEX(GroupVertices[Group],MATCH(Edges[[#This Row],[Vertex 2]],GroupVertices[Vertex],0)),1,1,"")</f>
        <v>2</v>
      </c>
      <c r="BM176" s="45"/>
      <c r="BN176" s="46"/>
      <c r="BO176" s="45"/>
      <c r="BP176" s="46"/>
      <c r="BQ176" s="45"/>
      <c r="BR176" s="46"/>
      <c r="BS176" s="45"/>
      <c r="BT176" s="46"/>
      <c r="BU176" s="45"/>
    </row>
    <row r="177" spans="1:73" ht="15">
      <c r="A177" s="61" t="s">
        <v>228</v>
      </c>
      <c r="B177" s="61" t="s">
        <v>272</v>
      </c>
      <c r="C177" s="62" t="s">
        <v>11693</v>
      </c>
      <c r="D177" s="63">
        <v>4.4</v>
      </c>
      <c r="E177" s="64" t="s">
        <v>132</v>
      </c>
      <c r="F177" s="65">
        <v>27.6</v>
      </c>
      <c r="G177" s="62"/>
      <c r="H177" s="66"/>
      <c r="I177" s="67"/>
      <c r="J177" s="67"/>
      <c r="K177" s="31" t="s">
        <v>65</v>
      </c>
      <c r="L177" s="75">
        <v>177</v>
      </c>
      <c r="M177" s="75"/>
      <c r="N177" s="69"/>
      <c r="O177" s="77" t="s">
        <v>539</v>
      </c>
      <c r="P177" s="79">
        <v>45149.00141203704</v>
      </c>
      <c r="Q177" s="77" t="s">
        <v>560</v>
      </c>
      <c r="R177" s="77">
        <v>2</v>
      </c>
      <c r="S177" s="77">
        <v>10</v>
      </c>
      <c r="T177" s="77">
        <v>0</v>
      </c>
      <c r="U177" s="77">
        <v>1</v>
      </c>
      <c r="V177" s="77">
        <v>729</v>
      </c>
      <c r="W177" s="81" t="s">
        <v>673</v>
      </c>
      <c r="X177" s="83" t="str">
        <f>HYPERLINK("https://bit.ly/3QzmnNR")</f>
        <v>https://bit.ly/3QzmnNR</v>
      </c>
      <c r="Y177" s="77" t="s">
        <v>740</v>
      </c>
      <c r="Z177" s="77" t="s">
        <v>758</v>
      </c>
      <c r="AA177" s="77"/>
      <c r="AB177" s="77"/>
      <c r="AC177" s="81" t="s">
        <v>853</v>
      </c>
      <c r="AD177" s="77" t="s">
        <v>859</v>
      </c>
      <c r="AE177" s="83" t="str">
        <f>HYPERLINK("https://twitter.com/nodexl/status/1689789233823887360")</f>
        <v>https://twitter.com/nodexl/status/1689789233823887360</v>
      </c>
      <c r="AF177" s="79">
        <v>45149.00141203704</v>
      </c>
      <c r="AG177" s="85">
        <v>45149</v>
      </c>
      <c r="AH177" s="81" t="s">
        <v>887</v>
      </c>
      <c r="AI177" s="77" t="b">
        <v>0</v>
      </c>
      <c r="AJ177" s="77"/>
      <c r="AK177" s="77"/>
      <c r="AL177" s="77"/>
      <c r="AM177" s="77"/>
      <c r="AN177" s="77"/>
      <c r="AO177" s="77"/>
      <c r="AP177" s="77"/>
      <c r="AQ177" s="77"/>
      <c r="AR177" s="77"/>
      <c r="AS177" s="77"/>
      <c r="AT177" s="77"/>
      <c r="AU177" s="77"/>
      <c r="AV177" s="83" t="str">
        <f>HYPERLINK("https://pbs.twimg.com/profile_images/849132774661308416/pa2Uplq1_normal.jpg")</f>
        <v>https://pbs.twimg.com/profile_images/849132774661308416/pa2Uplq1_normal.jpg</v>
      </c>
      <c r="AW177" s="81" t="s">
        <v>1042</v>
      </c>
      <c r="AX177" s="81" t="s">
        <v>1042</v>
      </c>
      <c r="AY177" s="77"/>
      <c r="AZ177" s="81" t="s">
        <v>1190</v>
      </c>
      <c r="BA177" s="81" t="s">
        <v>1190</v>
      </c>
      <c r="BB177" s="81" t="s">
        <v>1190</v>
      </c>
      <c r="BC177" s="81" t="s">
        <v>1042</v>
      </c>
      <c r="BD177" s="77">
        <v>87606674</v>
      </c>
      <c r="BE177" s="77"/>
      <c r="BF177" s="77"/>
      <c r="BG177" s="77"/>
      <c r="BH177" s="77"/>
      <c r="BI177" s="77"/>
      <c r="BJ177">
        <v>2</v>
      </c>
      <c r="BK177" s="76" t="str">
        <f>REPLACE(INDEX(GroupVertices[Group],MATCH(Edges[[#This Row],[Vertex 1]],GroupVertices[Vertex],0)),1,1,"")</f>
        <v>2</v>
      </c>
      <c r="BL177" s="76" t="str">
        <f>REPLACE(INDEX(GroupVertices[Group],MATCH(Edges[[#This Row],[Vertex 2]],GroupVertices[Vertex],0)),1,1,"")</f>
        <v>2</v>
      </c>
      <c r="BM177" s="45"/>
      <c r="BN177" s="46"/>
      <c r="BO177" s="45"/>
      <c r="BP177" s="46"/>
      <c r="BQ177" s="45"/>
      <c r="BR177" s="46"/>
      <c r="BS177" s="45"/>
      <c r="BT177" s="46"/>
      <c r="BU177" s="45"/>
    </row>
    <row r="178" spans="1:73" ht="15">
      <c r="A178" s="61" t="s">
        <v>228</v>
      </c>
      <c r="B178" s="61" t="s">
        <v>272</v>
      </c>
      <c r="C178" s="62" t="s">
        <v>11693</v>
      </c>
      <c r="D178" s="63">
        <v>4.4</v>
      </c>
      <c r="E178" s="64" t="s">
        <v>132</v>
      </c>
      <c r="F178" s="65">
        <v>27.6</v>
      </c>
      <c r="G178" s="62"/>
      <c r="H178" s="66"/>
      <c r="I178" s="67"/>
      <c r="J178" s="67"/>
      <c r="K178" s="31" t="s">
        <v>65</v>
      </c>
      <c r="L178" s="75">
        <v>178</v>
      </c>
      <c r="M178" s="75"/>
      <c r="N178" s="69"/>
      <c r="O178" s="77" t="s">
        <v>539</v>
      </c>
      <c r="P178" s="79">
        <v>45148.72865740741</v>
      </c>
      <c r="Q178" s="77" t="s">
        <v>562</v>
      </c>
      <c r="R178" s="77">
        <v>4</v>
      </c>
      <c r="S178" s="77">
        <v>11</v>
      </c>
      <c r="T178" s="77">
        <v>2</v>
      </c>
      <c r="U178" s="77">
        <v>1</v>
      </c>
      <c r="V178" s="77">
        <v>1464</v>
      </c>
      <c r="W178" s="81" t="s">
        <v>675</v>
      </c>
      <c r="X178" s="83" t="str">
        <f>HYPERLINK("https://bit.ly/3OxATCU")</f>
        <v>https://bit.ly/3OxATCU</v>
      </c>
      <c r="Y178" s="77" t="s">
        <v>740</v>
      </c>
      <c r="Z178" s="77" t="s">
        <v>760</v>
      </c>
      <c r="AA178" s="77"/>
      <c r="AB178" s="77"/>
      <c r="AC178" s="81" t="s">
        <v>857</v>
      </c>
      <c r="AD178" s="77" t="s">
        <v>859</v>
      </c>
      <c r="AE178" s="83" t="str">
        <f>HYPERLINK("https://twitter.com/nodexl/status/1689690391602450432")</f>
        <v>https://twitter.com/nodexl/status/1689690391602450432</v>
      </c>
      <c r="AF178" s="79">
        <v>45148.72865740741</v>
      </c>
      <c r="AG178" s="85">
        <v>45148</v>
      </c>
      <c r="AH178" s="81" t="s">
        <v>889</v>
      </c>
      <c r="AI178" s="77" t="b">
        <v>0</v>
      </c>
      <c r="AJ178" s="77"/>
      <c r="AK178" s="77"/>
      <c r="AL178" s="77"/>
      <c r="AM178" s="77"/>
      <c r="AN178" s="77"/>
      <c r="AO178" s="77"/>
      <c r="AP178" s="77"/>
      <c r="AQ178" s="77"/>
      <c r="AR178" s="77"/>
      <c r="AS178" s="77"/>
      <c r="AT178" s="77"/>
      <c r="AU178" s="77"/>
      <c r="AV178" s="83" t="str">
        <f>HYPERLINK("https://pbs.twimg.com/profile_images/849132774661308416/pa2Uplq1_normal.jpg")</f>
        <v>https://pbs.twimg.com/profile_images/849132774661308416/pa2Uplq1_normal.jpg</v>
      </c>
      <c r="AW178" s="81" t="s">
        <v>1044</v>
      </c>
      <c r="AX178" s="81" t="s">
        <v>1044</v>
      </c>
      <c r="AY178" s="77"/>
      <c r="AZ178" s="81" t="s">
        <v>1190</v>
      </c>
      <c r="BA178" s="81" t="s">
        <v>1190</v>
      </c>
      <c r="BB178" s="81" t="s">
        <v>1190</v>
      </c>
      <c r="BC178" s="81" t="s">
        <v>1044</v>
      </c>
      <c r="BD178" s="77">
        <v>87606674</v>
      </c>
      <c r="BE178" s="77"/>
      <c r="BF178" s="77"/>
      <c r="BG178" s="77"/>
      <c r="BH178" s="77"/>
      <c r="BI178" s="77"/>
      <c r="BJ178">
        <v>2</v>
      </c>
      <c r="BK178" s="76" t="str">
        <f>REPLACE(INDEX(GroupVertices[Group],MATCH(Edges[[#This Row],[Vertex 1]],GroupVertices[Vertex],0)),1,1,"")</f>
        <v>2</v>
      </c>
      <c r="BL178" s="76" t="str">
        <f>REPLACE(INDEX(GroupVertices[Group],MATCH(Edges[[#This Row],[Vertex 2]],GroupVertices[Vertex],0)),1,1,"")</f>
        <v>2</v>
      </c>
      <c r="BM178" s="45"/>
      <c r="BN178" s="46"/>
      <c r="BO178" s="45"/>
      <c r="BP178" s="46"/>
      <c r="BQ178" s="45"/>
      <c r="BR178" s="46"/>
      <c r="BS178" s="45"/>
      <c r="BT178" s="46"/>
      <c r="BU178" s="45"/>
    </row>
    <row r="179" spans="1:73" ht="15">
      <c r="A179" s="61" t="s">
        <v>228</v>
      </c>
      <c r="B179" s="61" t="s">
        <v>273</v>
      </c>
      <c r="C179" s="62" t="s">
        <v>11693</v>
      </c>
      <c r="D179" s="63">
        <v>4.4</v>
      </c>
      <c r="E179" s="64" t="s">
        <v>132</v>
      </c>
      <c r="F179" s="65">
        <v>27.6</v>
      </c>
      <c r="G179" s="62"/>
      <c r="H179" s="66"/>
      <c r="I179" s="67"/>
      <c r="J179" s="67"/>
      <c r="K179" s="31" t="s">
        <v>65</v>
      </c>
      <c r="L179" s="75">
        <v>179</v>
      </c>
      <c r="M179" s="75"/>
      <c r="N179" s="69"/>
      <c r="O179" s="77" t="s">
        <v>539</v>
      </c>
      <c r="P179" s="79">
        <v>45149.00141203704</v>
      </c>
      <c r="Q179" s="77" t="s">
        <v>560</v>
      </c>
      <c r="R179" s="77">
        <v>2</v>
      </c>
      <c r="S179" s="77">
        <v>10</v>
      </c>
      <c r="T179" s="77">
        <v>0</v>
      </c>
      <c r="U179" s="77">
        <v>1</v>
      </c>
      <c r="V179" s="77">
        <v>729</v>
      </c>
      <c r="W179" s="81" t="s">
        <v>673</v>
      </c>
      <c r="X179" s="83" t="str">
        <f>HYPERLINK("https://bit.ly/3QzmnNR")</f>
        <v>https://bit.ly/3QzmnNR</v>
      </c>
      <c r="Y179" s="77" t="s">
        <v>740</v>
      </c>
      <c r="Z179" s="77" t="s">
        <v>758</v>
      </c>
      <c r="AA179" s="77"/>
      <c r="AB179" s="77"/>
      <c r="AC179" s="81" t="s">
        <v>853</v>
      </c>
      <c r="AD179" s="77" t="s">
        <v>859</v>
      </c>
      <c r="AE179" s="83" t="str">
        <f>HYPERLINK("https://twitter.com/nodexl/status/1689789233823887360")</f>
        <v>https://twitter.com/nodexl/status/1689789233823887360</v>
      </c>
      <c r="AF179" s="79">
        <v>45149.00141203704</v>
      </c>
      <c r="AG179" s="85">
        <v>45149</v>
      </c>
      <c r="AH179" s="81" t="s">
        <v>887</v>
      </c>
      <c r="AI179" s="77" t="b">
        <v>0</v>
      </c>
      <c r="AJ179" s="77"/>
      <c r="AK179" s="77"/>
      <c r="AL179" s="77"/>
      <c r="AM179" s="77"/>
      <c r="AN179" s="77"/>
      <c r="AO179" s="77"/>
      <c r="AP179" s="77"/>
      <c r="AQ179" s="77"/>
      <c r="AR179" s="77"/>
      <c r="AS179" s="77"/>
      <c r="AT179" s="77"/>
      <c r="AU179" s="77"/>
      <c r="AV179" s="83" t="str">
        <f>HYPERLINK("https://pbs.twimg.com/profile_images/849132774661308416/pa2Uplq1_normal.jpg")</f>
        <v>https://pbs.twimg.com/profile_images/849132774661308416/pa2Uplq1_normal.jpg</v>
      </c>
      <c r="AW179" s="81" t="s">
        <v>1042</v>
      </c>
      <c r="AX179" s="81" t="s">
        <v>1042</v>
      </c>
      <c r="AY179" s="77"/>
      <c r="AZ179" s="81" t="s">
        <v>1190</v>
      </c>
      <c r="BA179" s="81" t="s">
        <v>1190</v>
      </c>
      <c r="BB179" s="81" t="s">
        <v>1190</v>
      </c>
      <c r="BC179" s="81" t="s">
        <v>1042</v>
      </c>
      <c r="BD179" s="77">
        <v>87606674</v>
      </c>
      <c r="BE179" s="77"/>
      <c r="BF179" s="77"/>
      <c r="BG179" s="77"/>
      <c r="BH179" s="77"/>
      <c r="BI179" s="77"/>
      <c r="BJ179">
        <v>2</v>
      </c>
      <c r="BK179" s="76" t="str">
        <f>REPLACE(INDEX(GroupVertices[Group],MATCH(Edges[[#This Row],[Vertex 1]],GroupVertices[Vertex],0)),1,1,"")</f>
        <v>2</v>
      </c>
      <c r="BL179" s="76" t="str">
        <f>REPLACE(INDEX(GroupVertices[Group],MATCH(Edges[[#This Row],[Vertex 2]],GroupVertices[Vertex],0)),1,1,"")</f>
        <v>2</v>
      </c>
      <c r="BM179" s="45"/>
      <c r="BN179" s="46"/>
      <c r="BO179" s="45"/>
      <c r="BP179" s="46"/>
      <c r="BQ179" s="45"/>
      <c r="BR179" s="46"/>
      <c r="BS179" s="45"/>
      <c r="BT179" s="46"/>
      <c r="BU179" s="45"/>
    </row>
    <row r="180" spans="1:73" ht="15">
      <c r="A180" s="61" t="s">
        <v>228</v>
      </c>
      <c r="B180" s="61" t="s">
        <v>273</v>
      </c>
      <c r="C180" s="62" t="s">
        <v>11693</v>
      </c>
      <c r="D180" s="63">
        <v>4.4</v>
      </c>
      <c r="E180" s="64" t="s">
        <v>132</v>
      </c>
      <c r="F180" s="65">
        <v>27.6</v>
      </c>
      <c r="G180" s="62"/>
      <c r="H180" s="66"/>
      <c r="I180" s="67"/>
      <c r="J180" s="67"/>
      <c r="K180" s="31" t="s">
        <v>65</v>
      </c>
      <c r="L180" s="75">
        <v>180</v>
      </c>
      <c r="M180" s="75"/>
      <c r="N180" s="69"/>
      <c r="O180" s="77" t="s">
        <v>539</v>
      </c>
      <c r="P180" s="79">
        <v>45148.72865740741</v>
      </c>
      <c r="Q180" s="77" t="s">
        <v>562</v>
      </c>
      <c r="R180" s="77">
        <v>4</v>
      </c>
      <c r="S180" s="77">
        <v>11</v>
      </c>
      <c r="T180" s="77">
        <v>2</v>
      </c>
      <c r="U180" s="77">
        <v>1</v>
      </c>
      <c r="V180" s="77">
        <v>1464</v>
      </c>
      <c r="W180" s="81" t="s">
        <v>675</v>
      </c>
      <c r="X180" s="83" t="str">
        <f>HYPERLINK("https://bit.ly/3OxATCU")</f>
        <v>https://bit.ly/3OxATCU</v>
      </c>
      <c r="Y180" s="77" t="s">
        <v>740</v>
      </c>
      <c r="Z180" s="77" t="s">
        <v>760</v>
      </c>
      <c r="AA180" s="77"/>
      <c r="AB180" s="77"/>
      <c r="AC180" s="81" t="s">
        <v>857</v>
      </c>
      <c r="AD180" s="77" t="s">
        <v>859</v>
      </c>
      <c r="AE180" s="83" t="str">
        <f>HYPERLINK("https://twitter.com/nodexl/status/1689690391602450432")</f>
        <v>https://twitter.com/nodexl/status/1689690391602450432</v>
      </c>
      <c r="AF180" s="79">
        <v>45148.72865740741</v>
      </c>
      <c r="AG180" s="85">
        <v>45148</v>
      </c>
      <c r="AH180" s="81" t="s">
        <v>889</v>
      </c>
      <c r="AI180" s="77" t="b">
        <v>0</v>
      </c>
      <c r="AJ180" s="77"/>
      <c r="AK180" s="77"/>
      <c r="AL180" s="77"/>
      <c r="AM180" s="77"/>
      <c r="AN180" s="77"/>
      <c r="AO180" s="77"/>
      <c r="AP180" s="77"/>
      <c r="AQ180" s="77"/>
      <c r="AR180" s="77"/>
      <c r="AS180" s="77"/>
      <c r="AT180" s="77"/>
      <c r="AU180" s="77"/>
      <c r="AV180" s="83" t="str">
        <f>HYPERLINK("https://pbs.twimg.com/profile_images/849132774661308416/pa2Uplq1_normal.jpg")</f>
        <v>https://pbs.twimg.com/profile_images/849132774661308416/pa2Uplq1_normal.jpg</v>
      </c>
      <c r="AW180" s="81" t="s">
        <v>1044</v>
      </c>
      <c r="AX180" s="81" t="s">
        <v>1044</v>
      </c>
      <c r="AY180" s="77"/>
      <c r="AZ180" s="81" t="s">
        <v>1190</v>
      </c>
      <c r="BA180" s="81" t="s">
        <v>1190</v>
      </c>
      <c r="BB180" s="81" t="s">
        <v>1190</v>
      </c>
      <c r="BC180" s="81" t="s">
        <v>1044</v>
      </c>
      <c r="BD180" s="77">
        <v>87606674</v>
      </c>
      <c r="BE180" s="77"/>
      <c r="BF180" s="77"/>
      <c r="BG180" s="77"/>
      <c r="BH180" s="77"/>
      <c r="BI180" s="77"/>
      <c r="BJ180">
        <v>2</v>
      </c>
      <c r="BK180" s="76" t="str">
        <f>REPLACE(INDEX(GroupVertices[Group],MATCH(Edges[[#This Row],[Vertex 1]],GroupVertices[Vertex],0)),1,1,"")</f>
        <v>2</v>
      </c>
      <c r="BL180" s="76" t="str">
        <f>REPLACE(INDEX(GroupVertices[Group],MATCH(Edges[[#This Row],[Vertex 2]],GroupVertices[Vertex],0)),1,1,"")</f>
        <v>2</v>
      </c>
      <c r="BM180" s="45"/>
      <c r="BN180" s="46"/>
      <c r="BO180" s="45"/>
      <c r="BP180" s="46"/>
      <c r="BQ180" s="45"/>
      <c r="BR180" s="46"/>
      <c r="BS180" s="45"/>
      <c r="BT180" s="46"/>
      <c r="BU180" s="45"/>
    </row>
    <row r="181" spans="1:73" ht="15">
      <c r="A181" s="61" t="s">
        <v>228</v>
      </c>
      <c r="B181" s="61" t="s">
        <v>315</v>
      </c>
      <c r="C181" s="62" t="s">
        <v>11692</v>
      </c>
      <c r="D181" s="63">
        <v>3</v>
      </c>
      <c r="E181" s="64" t="s">
        <v>132</v>
      </c>
      <c r="F181" s="65">
        <v>32</v>
      </c>
      <c r="G181" s="62"/>
      <c r="H181" s="66"/>
      <c r="I181" s="67"/>
      <c r="J181" s="67"/>
      <c r="K181" s="31" t="s">
        <v>65</v>
      </c>
      <c r="L181" s="75">
        <v>181</v>
      </c>
      <c r="M181" s="75"/>
      <c r="N181" s="69"/>
      <c r="O181" s="77" t="s">
        <v>539</v>
      </c>
      <c r="P181" s="79">
        <v>45165.91474537037</v>
      </c>
      <c r="Q181" s="77" t="s">
        <v>563</v>
      </c>
      <c r="R181" s="77">
        <v>0</v>
      </c>
      <c r="S181" s="77">
        <v>4</v>
      </c>
      <c r="T181" s="77">
        <v>0</v>
      </c>
      <c r="U181" s="77">
        <v>0</v>
      </c>
      <c r="V181" s="77">
        <v>280</v>
      </c>
      <c r="W181" s="81" t="s">
        <v>676</v>
      </c>
      <c r="X181" s="83" t="str">
        <f>HYPERLINK("https://bit.ly/3QTnFDh")</f>
        <v>https://bit.ly/3QTnFDh</v>
      </c>
      <c r="Y181" s="77" t="s">
        <v>740</v>
      </c>
      <c r="Z181" s="77" t="s">
        <v>761</v>
      </c>
      <c r="AA181" s="77"/>
      <c r="AB181" s="77"/>
      <c r="AC181" s="81" t="s">
        <v>853</v>
      </c>
      <c r="AD181" s="77" t="s">
        <v>859</v>
      </c>
      <c r="AE181" s="83" t="str">
        <f>HYPERLINK("https://twitter.com/nodexl/status/1695918420569870747")</f>
        <v>https://twitter.com/nodexl/status/1695918420569870747</v>
      </c>
      <c r="AF181" s="79">
        <v>45165.91474537037</v>
      </c>
      <c r="AG181" s="85">
        <v>45165</v>
      </c>
      <c r="AH181" s="81" t="s">
        <v>890</v>
      </c>
      <c r="AI181" s="77" t="b">
        <v>0</v>
      </c>
      <c r="AJ181" s="77"/>
      <c r="AK181" s="77"/>
      <c r="AL181" s="77"/>
      <c r="AM181" s="77"/>
      <c r="AN181" s="77"/>
      <c r="AO181" s="77"/>
      <c r="AP181" s="77"/>
      <c r="AQ181" s="77"/>
      <c r="AR181" s="77"/>
      <c r="AS181" s="77"/>
      <c r="AT181" s="77"/>
      <c r="AU181" s="77"/>
      <c r="AV181" s="83" t="str">
        <f>HYPERLINK("https://pbs.twimg.com/profile_images/849132774661308416/pa2Uplq1_normal.jpg")</f>
        <v>https://pbs.twimg.com/profile_images/849132774661308416/pa2Uplq1_normal.jpg</v>
      </c>
      <c r="AW181" s="81" t="s">
        <v>1045</v>
      </c>
      <c r="AX181" s="81" t="s">
        <v>1045</v>
      </c>
      <c r="AY181" s="77"/>
      <c r="AZ181" s="81" t="s">
        <v>1190</v>
      </c>
      <c r="BA181" s="81" t="s">
        <v>1190</v>
      </c>
      <c r="BB181" s="81" t="s">
        <v>1190</v>
      </c>
      <c r="BC181" s="81" t="s">
        <v>1045</v>
      </c>
      <c r="BD181" s="77">
        <v>87606674</v>
      </c>
      <c r="BE181" s="77"/>
      <c r="BF181" s="77"/>
      <c r="BG181" s="77"/>
      <c r="BH181" s="77"/>
      <c r="BI181" s="77"/>
      <c r="BJ181">
        <v>1</v>
      </c>
      <c r="BK181" s="76" t="str">
        <f>REPLACE(INDEX(GroupVertices[Group],MATCH(Edges[[#This Row],[Vertex 1]],GroupVertices[Vertex],0)),1,1,"")</f>
        <v>2</v>
      </c>
      <c r="BL181" s="76" t="str">
        <f>REPLACE(INDEX(GroupVertices[Group],MATCH(Edges[[#This Row],[Vertex 2]],GroupVertices[Vertex],0)),1,1,"")</f>
        <v>2</v>
      </c>
      <c r="BM181" s="45"/>
      <c r="BN181" s="46"/>
      <c r="BO181" s="45"/>
      <c r="BP181" s="46"/>
      <c r="BQ181" s="45"/>
      <c r="BR181" s="46"/>
      <c r="BS181" s="45"/>
      <c r="BT181" s="46"/>
      <c r="BU181" s="45"/>
    </row>
    <row r="182" spans="1:73" ht="15">
      <c r="A182" s="61" t="s">
        <v>228</v>
      </c>
      <c r="B182" s="61" t="s">
        <v>316</v>
      </c>
      <c r="C182" s="62" t="s">
        <v>11692</v>
      </c>
      <c r="D182" s="63">
        <v>3</v>
      </c>
      <c r="E182" s="64" t="s">
        <v>132</v>
      </c>
      <c r="F182" s="65">
        <v>32</v>
      </c>
      <c r="G182" s="62"/>
      <c r="H182" s="66"/>
      <c r="I182" s="67"/>
      <c r="J182" s="67"/>
      <c r="K182" s="31" t="s">
        <v>65</v>
      </c>
      <c r="L182" s="75">
        <v>182</v>
      </c>
      <c r="M182" s="75"/>
      <c r="N182" s="69"/>
      <c r="O182" s="77" t="s">
        <v>539</v>
      </c>
      <c r="P182" s="79">
        <v>45165.91474537037</v>
      </c>
      <c r="Q182" s="77" t="s">
        <v>563</v>
      </c>
      <c r="R182" s="77">
        <v>0</v>
      </c>
      <c r="S182" s="77">
        <v>4</v>
      </c>
      <c r="T182" s="77">
        <v>0</v>
      </c>
      <c r="U182" s="77">
        <v>0</v>
      </c>
      <c r="V182" s="77">
        <v>280</v>
      </c>
      <c r="W182" s="81" t="s">
        <v>676</v>
      </c>
      <c r="X182" s="83" t="str">
        <f>HYPERLINK("https://bit.ly/3QTnFDh")</f>
        <v>https://bit.ly/3QTnFDh</v>
      </c>
      <c r="Y182" s="77" t="s">
        <v>740</v>
      </c>
      <c r="Z182" s="77" t="s">
        <v>761</v>
      </c>
      <c r="AA182" s="77"/>
      <c r="AB182" s="77"/>
      <c r="AC182" s="81" t="s">
        <v>853</v>
      </c>
      <c r="AD182" s="77" t="s">
        <v>859</v>
      </c>
      <c r="AE182" s="83" t="str">
        <f>HYPERLINK("https://twitter.com/nodexl/status/1695918420569870747")</f>
        <v>https://twitter.com/nodexl/status/1695918420569870747</v>
      </c>
      <c r="AF182" s="79">
        <v>45165.91474537037</v>
      </c>
      <c r="AG182" s="85">
        <v>45165</v>
      </c>
      <c r="AH182" s="81" t="s">
        <v>890</v>
      </c>
      <c r="AI182" s="77" t="b">
        <v>0</v>
      </c>
      <c r="AJ182" s="77"/>
      <c r="AK182" s="77"/>
      <c r="AL182" s="77"/>
      <c r="AM182" s="77"/>
      <c r="AN182" s="77"/>
      <c r="AO182" s="77"/>
      <c r="AP182" s="77"/>
      <c r="AQ182" s="77"/>
      <c r="AR182" s="77"/>
      <c r="AS182" s="77"/>
      <c r="AT182" s="77"/>
      <c r="AU182" s="77"/>
      <c r="AV182" s="83" t="str">
        <f>HYPERLINK("https://pbs.twimg.com/profile_images/849132774661308416/pa2Uplq1_normal.jpg")</f>
        <v>https://pbs.twimg.com/profile_images/849132774661308416/pa2Uplq1_normal.jpg</v>
      </c>
      <c r="AW182" s="81" t="s">
        <v>1045</v>
      </c>
      <c r="AX182" s="81" t="s">
        <v>1045</v>
      </c>
      <c r="AY182" s="77"/>
      <c r="AZ182" s="81" t="s">
        <v>1190</v>
      </c>
      <c r="BA182" s="81" t="s">
        <v>1190</v>
      </c>
      <c r="BB182" s="81" t="s">
        <v>1190</v>
      </c>
      <c r="BC182" s="81" t="s">
        <v>1045</v>
      </c>
      <c r="BD182" s="77">
        <v>87606674</v>
      </c>
      <c r="BE182" s="77"/>
      <c r="BF182" s="77"/>
      <c r="BG182" s="77"/>
      <c r="BH182" s="77"/>
      <c r="BI182" s="77"/>
      <c r="BJ182">
        <v>1</v>
      </c>
      <c r="BK182" s="76" t="str">
        <f>REPLACE(INDEX(GroupVertices[Group],MATCH(Edges[[#This Row],[Vertex 1]],GroupVertices[Vertex],0)),1,1,"")</f>
        <v>2</v>
      </c>
      <c r="BL182" s="76" t="str">
        <f>REPLACE(INDEX(GroupVertices[Group],MATCH(Edges[[#This Row],[Vertex 2]],GroupVertices[Vertex],0)),1,1,"")</f>
        <v>2</v>
      </c>
      <c r="BM182" s="45"/>
      <c r="BN182" s="46"/>
      <c r="BO182" s="45"/>
      <c r="BP182" s="46"/>
      <c r="BQ182" s="45"/>
      <c r="BR182" s="46"/>
      <c r="BS182" s="45"/>
      <c r="BT182" s="46"/>
      <c r="BU182" s="45"/>
    </row>
    <row r="183" spans="1:73" ht="15">
      <c r="A183" s="61" t="s">
        <v>228</v>
      </c>
      <c r="B183" s="61" t="s">
        <v>317</v>
      </c>
      <c r="C183" s="62" t="s">
        <v>11692</v>
      </c>
      <c r="D183" s="63">
        <v>3</v>
      </c>
      <c r="E183" s="64" t="s">
        <v>132</v>
      </c>
      <c r="F183" s="65">
        <v>32</v>
      </c>
      <c r="G183" s="62"/>
      <c r="H183" s="66"/>
      <c r="I183" s="67"/>
      <c r="J183" s="67"/>
      <c r="K183" s="31" t="s">
        <v>65</v>
      </c>
      <c r="L183" s="75">
        <v>183</v>
      </c>
      <c r="M183" s="75"/>
      <c r="N183" s="69"/>
      <c r="O183" s="77" t="s">
        <v>539</v>
      </c>
      <c r="P183" s="79">
        <v>45165.91474537037</v>
      </c>
      <c r="Q183" s="77" t="s">
        <v>563</v>
      </c>
      <c r="R183" s="77">
        <v>0</v>
      </c>
      <c r="S183" s="77">
        <v>4</v>
      </c>
      <c r="T183" s="77">
        <v>0</v>
      </c>
      <c r="U183" s="77">
        <v>0</v>
      </c>
      <c r="V183" s="77">
        <v>280</v>
      </c>
      <c r="W183" s="81" t="s">
        <v>676</v>
      </c>
      <c r="X183" s="83" t="str">
        <f>HYPERLINK("https://bit.ly/3QTnFDh")</f>
        <v>https://bit.ly/3QTnFDh</v>
      </c>
      <c r="Y183" s="77" t="s">
        <v>740</v>
      </c>
      <c r="Z183" s="77" t="s">
        <v>761</v>
      </c>
      <c r="AA183" s="77"/>
      <c r="AB183" s="77"/>
      <c r="AC183" s="81" t="s">
        <v>853</v>
      </c>
      <c r="AD183" s="77" t="s">
        <v>859</v>
      </c>
      <c r="AE183" s="83" t="str">
        <f>HYPERLINK("https://twitter.com/nodexl/status/1695918420569870747")</f>
        <v>https://twitter.com/nodexl/status/1695918420569870747</v>
      </c>
      <c r="AF183" s="79">
        <v>45165.91474537037</v>
      </c>
      <c r="AG183" s="85">
        <v>45165</v>
      </c>
      <c r="AH183" s="81" t="s">
        <v>890</v>
      </c>
      <c r="AI183" s="77" t="b">
        <v>0</v>
      </c>
      <c r="AJ183" s="77"/>
      <c r="AK183" s="77"/>
      <c r="AL183" s="77"/>
      <c r="AM183" s="77"/>
      <c r="AN183" s="77"/>
      <c r="AO183" s="77"/>
      <c r="AP183" s="77"/>
      <c r="AQ183" s="77"/>
      <c r="AR183" s="77"/>
      <c r="AS183" s="77"/>
      <c r="AT183" s="77"/>
      <c r="AU183" s="77"/>
      <c r="AV183" s="83" t="str">
        <f>HYPERLINK("https://pbs.twimg.com/profile_images/849132774661308416/pa2Uplq1_normal.jpg")</f>
        <v>https://pbs.twimg.com/profile_images/849132774661308416/pa2Uplq1_normal.jpg</v>
      </c>
      <c r="AW183" s="81" t="s">
        <v>1045</v>
      </c>
      <c r="AX183" s="81" t="s">
        <v>1045</v>
      </c>
      <c r="AY183" s="77"/>
      <c r="AZ183" s="81" t="s">
        <v>1190</v>
      </c>
      <c r="BA183" s="81" t="s">
        <v>1190</v>
      </c>
      <c r="BB183" s="81" t="s">
        <v>1190</v>
      </c>
      <c r="BC183" s="81" t="s">
        <v>1045</v>
      </c>
      <c r="BD183" s="77">
        <v>87606674</v>
      </c>
      <c r="BE183" s="77"/>
      <c r="BF183" s="77"/>
      <c r="BG183" s="77"/>
      <c r="BH183" s="77"/>
      <c r="BI183" s="77"/>
      <c r="BJ183">
        <v>1</v>
      </c>
      <c r="BK183" s="76" t="str">
        <f>REPLACE(INDEX(GroupVertices[Group],MATCH(Edges[[#This Row],[Vertex 1]],GroupVertices[Vertex],0)),1,1,"")</f>
        <v>2</v>
      </c>
      <c r="BL183" s="76" t="str">
        <f>REPLACE(INDEX(GroupVertices[Group],MATCH(Edges[[#This Row],[Vertex 2]],GroupVertices[Vertex],0)),1,1,"")</f>
        <v>2</v>
      </c>
      <c r="BM183" s="45"/>
      <c r="BN183" s="46"/>
      <c r="BO183" s="45"/>
      <c r="BP183" s="46"/>
      <c r="BQ183" s="45"/>
      <c r="BR183" s="46"/>
      <c r="BS183" s="45"/>
      <c r="BT183" s="46"/>
      <c r="BU183" s="45"/>
    </row>
    <row r="184" spans="1:73" ht="15">
      <c r="A184" s="61" t="s">
        <v>228</v>
      </c>
      <c r="B184" s="61" t="s">
        <v>318</v>
      </c>
      <c r="C184" s="62" t="s">
        <v>11692</v>
      </c>
      <c r="D184" s="63">
        <v>3</v>
      </c>
      <c r="E184" s="64" t="s">
        <v>132</v>
      </c>
      <c r="F184" s="65">
        <v>32</v>
      </c>
      <c r="G184" s="62"/>
      <c r="H184" s="66"/>
      <c r="I184" s="67"/>
      <c r="J184" s="67"/>
      <c r="K184" s="31" t="s">
        <v>65</v>
      </c>
      <c r="L184" s="75">
        <v>184</v>
      </c>
      <c r="M184" s="75"/>
      <c r="N184" s="69"/>
      <c r="O184" s="77" t="s">
        <v>539</v>
      </c>
      <c r="P184" s="79">
        <v>45165.91474537037</v>
      </c>
      <c r="Q184" s="77" t="s">
        <v>563</v>
      </c>
      <c r="R184" s="77">
        <v>0</v>
      </c>
      <c r="S184" s="77">
        <v>4</v>
      </c>
      <c r="T184" s="77">
        <v>0</v>
      </c>
      <c r="U184" s="77">
        <v>0</v>
      </c>
      <c r="V184" s="77">
        <v>280</v>
      </c>
      <c r="W184" s="81" t="s">
        <v>676</v>
      </c>
      <c r="X184" s="83" t="str">
        <f>HYPERLINK("https://bit.ly/3QTnFDh")</f>
        <v>https://bit.ly/3QTnFDh</v>
      </c>
      <c r="Y184" s="77" t="s">
        <v>740</v>
      </c>
      <c r="Z184" s="77" t="s">
        <v>761</v>
      </c>
      <c r="AA184" s="77"/>
      <c r="AB184" s="77"/>
      <c r="AC184" s="81" t="s">
        <v>853</v>
      </c>
      <c r="AD184" s="77" t="s">
        <v>859</v>
      </c>
      <c r="AE184" s="83" t="str">
        <f>HYPERLINK("https://twitter.com/nodexl/status/1695918420569870747")</f>
        <v>https://twitter.com/nodexl/status/1695918420569870747</v>
      </c>
      <c r="AF184" s="79">
        <v>45165.91474537037</v>
      </c>
      <c r="AG184" s="85">
        <v>45165</v>
      </c>
      <c r="AH184" s="81" t="s">
        <v>890</v>
      </c>
      <c r="AI184" s="77" t="b">
        <v>0</v>
      </c>
      <c r="AJ184" s="77"/>
      <c r="AK184" s="77"/>
      <c r="AL184" s="77"/>
      <c r="AM184" s="77"/>
      <c r="AN184" s="77"/>
      <c r="AO184" s="77"/>
      <c r="AP184" s="77"/>
      <c r="AQ184" s="77"/>
      <c r="AR184" s="77"/>
      <c r="AS184" s="77"/>
      <c r="AT184" s="77"/>
      <c r="AU184" s="77"/>
      <c r="AV184" s="83" t="str">
        <f>HYPERLINK("https://pbs.twimg.com/profile_images/849132774661308416/pa2Uplq1_normal.jpg")</f>
        <v>https://pbs.twimg.com/profile_images/849132774661308416/pa2Uplq1_normal.jpg</v>
      </c>
      <c r="AW184" s="81" t="s">
        <v>1045</v>
      </c>
      <c r="AX184" s="81" t="s">
        <v>1045</v>
      </c>
      <c r="AY184" s="77"/>
      <c r="AZ184" s="81" t="s">
        <v>1190</v>
      </c>
      <c r="BA184" s="81" t="s">
        <v>1190</v>
      </c>
      <c r="BB184" s="81" t="s">
        <v>1190</v>
      </c>
      <c r="BC184" s="81" t="s">
        <v>1045</v>
      </c>
      <c r="BD184" s="77">
        <v>87606674</v>
      </c>
      <c r="BE184" s="77"/>
      <c r="BF184" s="77"/>
      <c r="BG184" s="77"/>
      <c r="BH184" s="77"/>
      <c r="BI184" s="77"/>
      <c r="BJ184">
        <v>1</v>
      </c>
      <c r="BK184" s="76" t="str">
        <f>REPLACE(INDEX(GroupVertices[Group],MATCH(Edges[[#This Row],[Vertex 1]],GroupVertices[Vertex],0)),1,1,"")</f>
        <v>2</v>
      </c>
      <c r="BL184" s="76" t="str">
        <f>REPLACE(INDEX(GroupVertices[Group],MATCH(Edges[[#This Row],[Vertex 2]],GroupVertices[Vertex],0)),1,1,"")</f>
        <v>2</v>
      </c>
      <c r="BM184" s="45"/>
      <c r="BN184" s="46"/>
      <c r="BO184" s="45"/>
      <c r="BP184" s="46"/>
      <c r="BQ184" s="45"/>
      <c r="BR184" s="46"/>
      <c r="BS184" s="45"/>
      <c r="BT184" s="46"/>
      <c r="BU184" s="45"/>
    </row>
    <row r="185" spans="1:73" ht="15">
      <c r="A185" s="61" t="s">
        <v>228</v>
      </c>
      <c r="B185" s="61" t="s">
        <v>319</v>
      </c>
      <c r="C185" s="62" t="s">
        <v>11692</v>
      </c>
      <c r="D185" s="63">
        <v>3</v>
      </c>
      <c r="E185" s="64" t="s">
        <v>132</v>
      </c>
      <c r="F185" s="65">
        <v>32</v>
      </c>
      <c r="G185" s="62"/>
      <c r="H185" s="66"/>
      <c r="I185" s="67"/>
      <c r="J185" s="67"/>
      <c r="K185" s="31" t="s">
        <v>65</v>
      </c>
      <c r="L185" s="75">
        <v>185</v>
      </c>
      <c r="M185" s="75"/>
      <c r="N185" s="69"/>
      <c r="O185" s="77" t="s">
        <v>539</v>
      </c>
      <c r="P185" s="79">
        <v>45165.91474537037</v>
      </c>
      <c r="Q185" s="77" t="s">
        <v>563</v>
      </c>
      <c r="R185" s="77">
        <v>0</v>
      </c>
      <c r="S185" s="77">
        <v>4</v>
      </c>
      <c r="T185" s="77">
        <v>0</v>
      </c>
      <c r="U185" s="77">
        <v>0</v>
      </c>
      <c r="V185" s="77">
        <v>280</v>
      </c>
      <c r="W185" s="81" t="s">
        <v>676</v>
      </c>
      <c r="X185" s="83" t="str">
        <f>HYPERLINK("https://bit.ly/3QTnFDh")</f>
        <v>https://bit.ly/3QTnFDh</v>
      </c>
      <c r="Y185" s="77" t="s">
        <v>740</v>
      </c>
      <c r="Z185" s="77" t="s">
        <v>761</v>
      </c>
      <c r="AA185" s="77"/>
      <c r="AB185" s="77"/>
      <c r="AC185" s="81" t="s">
        <v>853</v>
      </c>
      <c r="AD185" s="77" t="s">
        <v>859</v>
      </c>
      <c r="AE185" s="83" t="str">
        <f>HYPERLINK("https://twitter.com/nodexl/status/1695918420569870747")</f>
        <v>https://twitter.com/nodexl/status/1695918420569870747</v>
      </c>
      <c r="AF185" s="79">
        <v>45165.91474537037</v>
      </c>
      <c r="AG185" s="85">
        <v>45165</v>
      </c>
      <c r="AH185" s="81" t="s">
        <v>890</v>
      </c>
      <c r="AI185" s="77" t="b">
        <v>0</v>
      </c>
      <c r="AJ185" s="77"/>
      <c r="AK185" s="77"/>
      <c r="AL185" s="77"/>
      <c r="AM185" s="77"/>
      <c r="AN185" s="77"/>
      <c r="AO185" s="77"/>
      <c r="AP185" s="77"/>
      <c r="AQ185" s="77"/>
      <c r="AR185" s="77"/>
      <c r="AS185" s="77"/>
      <c r="AT185" s="77"/>
      <c r="AU185" s="77"/>
      <c r="AV185" s="83" t="str">
        <f>HYPERLINK("https://pbs.twimg.com/profile_images/849132774661308416/pa2Uplq1_normal.jpg")</f>
        <v>https://pbs.twimg.com/profile_images/849132774661308416/pa2Uplq1_normal.jpg</v>
      </c>
      <c r="AW185" s="81" t="s">
        <v>1045</v>
      </c>
      <c r="AX185" s="81" t="s">
        <v>1045</v>
      </c>
      <c r="AY185" s="77"/>
      <c r="AZ185" s="81" t="s">
        <v>1190</v>
      </c>
      <c r="BA185" s="81" t="s">
        <v>1190</v>
      </c>
      <c r="BB185" s="81" t="s">
        <v>1190</v>
      </c>
      <c r="BC185" s="81" t="s">
        <v>1045</v>
      </c>
      <c r="BD185" s="77">
        <v>87606674</v>
      </c>
      <c r="BE185" s="77"/>
      <c r="BF185" s="77"/>
      <c r="BG185" s="77"/>
      <c r="BH185" s="77"/>
      <c r="BI185" s="77"/>
      <c r="BJ185">
        <v>1</v>
      </c>
      <c r="BK185" s="76" t="str">
        <f>REPLACE(INDEX(GroupVertices[Group],MATCH(Edges[[#This Row],[Vertex 1]],GroupVertices[Vertex],0)),1,1,"")</f>
        <v>2</v>
      </c>
      <c r="BL185" s="76" t="str">
        <f>REPLACE(INDEX(GroupVertices[Group],MATCH(Edges[[#This Row],[Vertex 2]],GroupVertices[Vertex],0)),1,1,"")</f>
        <v>2</v>
      </c>
      <c r="BM185" s="45"/>
      <c r="BN185" s="46"/>
      <c r="BO185" s="45"/>
      <c r="BP185" s="46"/>
      <c r="BQ185" s="45"/>
      <c r="BR185" s="46"/>
      <c r="BS185" s="45"/>
      <c r="BT185" s="46"/>
      <c r="BU185" s="45"/>
    </row>
    <row r="186" spans="1:73" ht="15">
      <c r="A186" s="61" t="s">
        <v>228</v>
      </c>
      <c r="B186" s="61" t="s">
        <v>320</v>
      </c>
      <c r="C186" s="62" t="s">
        <v>11692</v>
      </c>
      <c r="D186" s="63">
        <v>3</v>
      </c>
      <c r="E186" s="64" t="s">
        <v>132</v>
      </c>
      <c r="F186" s="65">
        <v>32</v>
      </c>
      <c r="G186" s="62"/>
      <c r="H186" s="66"/>
      <c r="I186" s="67"/>
      <c r="J186" s="67"/>
      <c r="K186" s="31" t="s">
        <v>65</v>
      </c>
      <c r="L186" s="75">
        <v>186</v>
      </c>
      <c r="M186" s="75"/>
      <c r="N186" s="69"/>
      <c r="O186" s="77" t="s">
        <v>539</v>
      </c>
      <c r="P186" s="79">
        <v>45165.91474537037</v>
      </c>
      <c r="Q186" s="77" t="s">
        <v>563</v>
      </c>
      <c r="R186" s="77">
        <v>0</v>
      </c>
      <c r="S186" s="77">
        <v>4</v>
      </c>
      <c r="T186" s="77">
        <v>0</v>
      </c>
      <c r="U186" s="77">
        <v>0</v>
      </c>
      <c r="V186" s="77">
        <v>280</v>
      </c>
      <c r="W186" s="81" t="s">
        <v>676</v>
      </c>
      <c r="X186" s="83" t="str">
        <f>HYPERLINK("https://bit.ly/3QTnFDh")</f>
        <v>https://bit.ly/3QTnFDh</v>
      </c>
      <c r="Y186" s="77" t="s">
        <v>740</v>
      </c>
      <c r="Z186" s="77" t="s">
        <v>761</v>
      </c>
      <c r="AA186" s="77"/>
      <c r="AB186" s="77"/>
      <c r="AC186" s="81" t="s">
        <v>853</v>
      </c>
      <c r="AD186" s="77" t="s">
        <v>859</v>
      </c>
      <c r="AE186" s="83" t="str">
        <f>HYPERLINK("https://twitter.com/nodexl/status/1695918420569870747")</f>
        <v>https://twitter.com/nodexl/status/1695918420569870747</v>
      </c>
      <c r="AF186" s="79">
        <v>45165.91474537037</v>
      </c>
      <c r="AG186" s="85">
        <v>45165</v>
      </c>
      <c r="AH186" s="81" t="s">
        <v>890</v>
      </c>
      <c r="AI186" s="77" t="b">
        <v>0</v>
      </c>
      <c r="AJ186" s="77"/>
      <c r="AK186" s="77"/>
      <c r="AL186" s="77"/>
      <c r="AM186" s="77"/>
      <c r="AN186" s="77"/>
      <c r="AO186" s="77"/>
      <c r="AP186" s="77"/>
      <c r="AQ186" s="77"/>
      <c r="AR186" s="77"/>
      <c r="AS186" s="77"/>
      <c r="AT186" s="77"/>
      <c r="AU186" s="77"/>
      <c r="AV186" s="83" t="str">
        <f>HYPERLINK("https://pbs.twimg.com/profile_images/849132774661308416/pa2Uplq1_normal.jpg")</f>
        <v>https://pbs.twimg.com/profile_images/849132774661308416/pa2Uplq1_normal.jpg</v>
      </c>
      <c r="AW186" s="81" t="s">
        <v>1045</v>
      </c>
      <c r="AX186" s="81" t="s">
        <v>1045</v>
      </c>
      <c r="AY186" s="77"/>
      <c r="AZ186" s="81" t="s">
        <v>1190</v>
      </c>
      <c r="BA186" s="81" t="s">
        <v>1190</v>
      </c>
      <c r="BB186" s="81" t="s">
        <v>1190</v>
      </c>
      <c r="BC186" s="81" t="s">
        <v>1045</v>
      </c>
      <c r="BD186" s="77">
        <v>87606674</v>
      </c>
      <c r="BE186" s="77"/>
      <c r="BF186" s="77"/>
      <c r="BG186" s="77"/>
      <c r="BH186" s="77"/>
      <c r="BI186" s="77"/>
      <c r="BJ186">
        <v>1</v>
      </c>
      <c r="BK186" s="76" t="str">
        <f>REPLACE(INDEX(GroupVertices[Group],MATCH(Edges[[#This Row],[Vertex 1]],GroupVertices[Vertex],0)),1,1,"")</f>
        <v>2</v>
      </c>
      <c r="BL186" s="76" t="str">
        <f>REPLACE(INDEX(GroupVertices[Group],MATCH(Edges[[#This Row],[Vertex 2]],GroupVertices[Vertex],0)),1,1,"")</f>
        <v>2</v>
      </c>
      <c r="BM186" s="45"/>
      <c r="BN186" s="46"/>
      <c r="BO186" s="45"/>
      <c r="BP186" s="46"/>
      <c r="BQ186" s="45"/>
      <c r="BR186" s="46"/>
      <c r="BS186" s="45"/>
      <c r="BT186" s="46"/>
      <c r="BU186" s="45"/>
    </row>
    <row r="187" spans="1:73" ht="15">
      <c r="A187" s="61" t="s">
        <v>228</v>
      </c>
      <c r="B187" s="61" t="s">
        <v>321</v>
      </c>
      <c r="C187" s="62" t="s">
        <v>11692</v>
      </c>
      <c r="D187" s="63">
        <v>3</v>
      </c>
      <c r="E187" s="64" t="s">
        <v>132</v>
      </c>
      <c r="F187" s="65">
        <v>32</v>
      </c>
      <c r="G187" s="62"/>
      <c r="H187" s="66"/>
      <c r="I187" s="67"/>
      <c r="J187" s="67"/>
      <c r="K187" s="31" t="s">
        <v>65</v>
      </c>
      <c r="L187" s="75">
        <v>187</v>
      </c>
      <c r="M187" s="75"/>
      <c r="N187" s="69"/>
      <c r="O187" s="77" t="s">
        <v>539</v>
      </c>
      <c r="P187" s="79">
        <v>45165.91474537037</v>
      </c>
      <c r="Q187" s="77" t="s">
        <v>563</v>
      </c>
      <c r="R187" s="77">
        <v>0</v>
      </c>
      <c r="S187" s="77">
        <v>4</v>
      </c>
      <c r="T187" s="77">
        <v>0</v>
      </c>
      <c r="U187" s="77">
        <v>0</v>
      </c>
      <c r="V187" s="77">
        <v>280</v>
      </c>
      <c r="W187" s="81" t="s">
        <v>676</v>
      </c>
      <c r="X187" s="83" t="str">
        <f>HYPERLINK("https://bit.ly/3QTnFDh")</f>
        <v>https://bit.ly/3QTnFDh</v>
      </c>
      <c r="Y187" s="77" t="s">
        <v>740</v>
      </c>
      <c r="Z187" s="77" t="s">
        <v>761</v>
      </c>
      <c r="AA187" s="77"/>
      <c r="AB187" s="77"/>
      <c r="AC187" s="81" t="s">
        <v>853</v>
      </c>
      <c r="AD187" s="77" t="s">
        <v>859</v>
      </c>
      <c r="AE187" s="83" t="str">
        <f>HYPERLINK("https://twitter.com/nodexl/status/1695918420569870747")</f>
        <v>https://twitter.com/nodexl/status/1695918420569870747</v>
      </c>
      <c r="AF187" s="79">
        <v>45165.91474537037</v>
      </c>
      <c r="AG187" s="85">
        <v>45165</v>
      </c>
      <c r="AH187" s="81" t="s">
        <v>890</v>
      </c>
      <c r="AI187" s="77" t="b">
        <v>0</v>
      </c>
      <c r="AJ187" s="77"/>
      <c r="AK187" s="77"/>
      <c r="AL187" s="77"/>
      <c r="AM187" s="77"/>
      <c r="AN187" s="77"/>
      <c r="AO187" s="77"/>
      <c r="AP187" s="77"/>
      <c r="AQ187" s="77"/>
      <c r="AR187" s="77"/>
      <c r="AS187" s="77"/>
      <c r="AT187" s="77"/>
      <c r="AU187" s="77"/>
      <c r="AV187" s="83" t="str">
        <f>HYPERLINK("https://pbs.twimg.com/profile_images/849132774661308416/pa2Uplq1_normal.jpg")</f>
        <v>https://pbs.twimg.com/profile_images/849132774661308416/pa2Uplq1_normal.jpg</v>
      </c>
      <c r="AW187" s="81" t="s">
        <v>1045</v>
      </c>
      <c r="AX187" s="81" t="s">
        <v>1045</v>
      </c>
      <c r="AY187" s="77"/>
      <c r="AZ187" s="81" t="s">
        <v>1190</v>
      </c>
      <c r="BA187" s="81" t="s">
        <v>1190</v>
      </c>
      <c r="BB187" s="81" t="s">
        <v>1190</v>
      </c>
      <c r="BC187" s="81" t="s">
        <v>1045</v>
      </c>
      <c r="BD187" s="77">
        <v>87606674</v>
      </c>
      <c r="BE187" s="77"/>
      <c r="BF187" s="77"/>
      <c r="BG187" s="77"/>
      <c r="BH187" s="77"/>
      <c r="BI187" s="77"/>
      <c r="BJ187">
        <v>1</v>
      </c>
      <c r="BK187" s="76" t="str">
        <f>REPLACE(INDEX(GroupVertices[Group],MATCH(Edges[[#This Row],[Vertex 1]],GroupVertices[Vertex],0)),1,1,"")</f>
        <v>2</v>
      </c>
      <c r="BL187" s="76" t="str">
        <f>REPLACE(INDEX(GroupVertices[Group],MATCH(Edges[[#This Row],[Vertex 2]],GroupVertices[Vertex],0)),1,1,"")</f>
        <v>2</v>
      </c>
      <c r="BM187" s="45"/>
      <c r="BN187" s="46"/>
      <c r="BO187" s="45"/>
      <c r="BP187" s="46"/>
      <c r="BQ187" s="45"/>
      <c r="BR187" s="46"/>
      <c r="BS187" s="45"/>
      <c r="BT187" s="46"/>
      <c r="BU187" s="45"/>
    </row>
    <row r="188" spans="1:73" ht="15">
      <c r="A188" s="61" t="s">
        <v>228</v>
      </c>
      <c r="B188" s="61" t="s">
        <v>322</v>
      </c>
      <c r="C188" s="62" t="s">
        <v>11692</v>
      </c>
      <c r="D188" s="63">
        <v>3</v>
      </c>
      <c r="E188" s="64" t="s">
        <v>132</v>
      </c>
      <c r="F188" s="65">
        <v>32</v>
      </c>
      <c r="G188" s="62"/>
      <c r="H188" s="66"/>
      <c r="I188" s="67"/>
      <c r="J188" s="67"/>
      <c r="K188" s="31" t="s">
        <v>65</v>
      </c>
      <c r="L188" s="75">
        <v>188</v>
      </c>
      <c r="M188" s="75"/>
      <c r="N188" s="69"/>
      <c r="O188" s="77" t="s">
        <v>539</v>
      </c>
      <c r="P188" s="79">
        <v>45165.91474537037</v>
      </c>
      <c r="Q188" s="77" t="s">
        <v>563</v>
      </c>
      <c r="R188" s="77">
        <v>0</v>
      </c>
      <c r="S188" s="77">
        <v>4</v>
      </c>
      <c r="T188" s="77">
        <v>0</v>
      </c>
      <c r="U188" s="77">
        <v>0</v>
      </c>
      <c r="V188" s="77">
        <v>280</v>
      </c>
      <c r="W188" s="81" t="s">
        <v>676</v>
      </c>
      <c r="X188" s="83" t="str">
        <f>HYPERLINK("https://bit.ly/3QTnFDh")</f>
        <v>https://bit.ly/3QTnFDh</v>
      </c>
      <c r="Y188" s="77" t="s">
        <v>740</v>
      </c>
      <c r="Z188" s="77" t="s">
        <v>761</v>
      </c>
      <c r="AA188" s="77"/>
      <c r="AB188" s="77"/>
      <c r="AC188" s="81" t="s">
        <v>853</v>
      </c>
      <c r="AD188" s="77" t="s">
        <v>859</v>
      </c>
      <c r="AE188" s="83" t="str">
        <f>HYPERLINK("https://twitter.com/nodexl/status/1695918420569870747")</f>
        <v>https://twitter.com/nodexl/status/1695918420569870747</v>
      </c>
      <c r="AF188" s="79">
        <v>45165.91474537037</v>
      </c>
      <c r="AG188" s="85">
        <v>45165</v>
      </c>
      <c r="AH188" s="81" t="s">
        <v>890</v>
      </c>
      <c r="AI188" s="77" t="b">
        <v>0</v>
      </c>
      <c r="AJ188" s="77"/>
      <c r="AK188" s="77"/>
      <c r="AL188" s="77"/>
      <c r="AM188" s="77"/>
      <c r="AN188" s="77"/>
      <c r="AO188" s="77"/>
      <c r="AP188" s="77"/>
      <c r="AQ188" s="77"/>
      <c r="AR188" s="77"/>
      <c r="AS188" s="77"/>
      <c r="AT188" s="77"/>
      <c r="AU188" s="77"/>
      <c r="AV188" s="83" t="str">
        <f>HYPERLINK("https://pbs.twimg.com/profile_images/849132774661308416/pa2Uplq1_normal.jpg")</f>
        <v>https://pbs.twimg.com/profile_images/849132774661308416/pa2Uplq1_normal.jpg</v>
      </c>
      <c r="AW188" s="81" t="s">
        <v>1045</v>
      </c>
      <c r="AX188" s="81" t="s">
        <v>1045</v>
      </c>
      <c r="AY188" s="77"/>
      <c r="AZ188" s="81" t="s">
        <v>1190</v>
      </c>
      <c r="BA188" s="81" t="s">
        <v>1190</v>
      </c>
      <c r="BB188" s="81" t="s">
        <v>1190</v>
      </c>
      <c r="BC188" s="81" t="s">
        <v>1045</v>
      </c>
      <c r="BD188" s="77">
        <v>87606674</v>
      </c>
      <c r="BE188" s="77"/>
      <c r="BF188" s="77"/>
      <c r="BG188" s="77"/>
      <c r="BH188" s="77"/>
      <c r="BI188" s="77"/>
      <c r="BJ188">
        <v>1</v>
      </c>
      <c r="BK188" s="76" t="str">
        <f>REPLACE(INDEX(GroupVertices[Group],MATCH(Edges[[#This Row],[Vertex 1]],GroupVertices[Vertex],0)),1,1,"")</f>
        <v>2</v>
      </c>
      <c r="BL188" s="76" t="str">
        <f>REPLACE(INDEX(GroupVertices[Group],MATCH(Edges[[#This Row],[Vertex 2]],GroupVertices[Vertex],0)),1,1,"")</f>
        <v>2</v>
      </c>
      <c r="BM188" s="45"/>
      <c r="BN188" s="46"/>
      <c r="BO188" s="45"/>
      <c r="BP188" s="46"/>
      <c r="BQ188" s="45"/>
      <c r="BR188" s="46"/>
      <c r="BS188" s="45"/>
      <c r="BT188" s="46"/>
      <c r="BU188" s="45"/>
    </row>
    <row r="189" spans="1:73" ht="15">
      <c r="A189" s="61" t="s">
        <v>228</v>
      </c>
      <c r="B189" s="61" t="s">
        <v>323</v>
      </c>
      <c r="C189" s="62" t="s">
        <v>11692</v>
      </c>
      <c r="D189" s="63">
        <v>3</v>
      </c>
      <c r="E189" s="64" t="s">
        <v>132</v>
      </c>
      <c r="F189" s="65">
        <v>32</v>
      </c>
      <c r="G189" s="62"/>
      <c r="H189" s="66"/>
      <c r="I189" s="67"/>
      <c r="J189" s="67"/>
      <c r="K189" s="31" t="s">
        <v>65</v>
      </c>
      <c r="L189" s="75">
        <v>189</v>
      </c>
      <c r="M189" s="75"/>
      <c r="N189" s="69"/>
      <c r="O189" s="77" t="s">
        <v>539</v>
      </c>
      <c r="P189" s="79">
        <v>45165.91474537037</v>
      </c>
      <c r="Q189" s="77" t="s">
        <v>563</v>
      </c>
      <c r="R189" s="77">
        <v>0</v>
      </c>
      <c r="S189" s="77">
        <v>4</v>
      </c>
      <c r="T189" s="77">
        <v>0</v>
      </c>
      <c r="U189" s="77">
        <v>0</v>
      </c>
      <c r="V189" s="77">
        <v>280</v>
      </c>
      <c r="W189" s="81" t="s">
        <v>676</v>
      </c>
      <c r="X189" s="83" t="str">
        <f>HYPERLINK("https://bit.ly/3QTnFDh")</f>
        <v>https://bit.ly/3QTnFDh</v>
      </c>
      <c r="Y189" s="77" t="s">
        <v>740</v>
      </c>
      <c r="Z189" s="77" t="s">
        <v>761</v>
      </c>
      <c r="AA189" s="77"/>
      <c r="AB189" s="77"/>
      <c r="AC189" s="81" t="s">
        <v>853</v>
      </c>
      <c r="AD189" s="77" t="s">
        <v>859</v>
      </c>
      <c r="AE189" s="83" t="str">
        <f>HYPERLINK("https://twitter.com/nodexl/status/1695918420569870747")</f>
        <v>https://twitter.com/nodexl/status/1695918420569870747</v>
      </c>
      <c r="AF189" s="79">
        <v>45165.91474537037</v>
      </c>
      <c r="AG189" s="85">
        <v>45165</v>
      </c>
      <c r="AH189" s="81" t="s">
        <v>890</v>
      </c>
      <c r="AI189" s="77" t="b">
        <v>0</v>
      </c>
      <c r="AJ189" s="77"/>
      <c r="AK189" s="77"/>
      <c r="AL189" s="77"/>
      <c r="AM189" s="77"/>
      <c r="AN189" s="77"/>
      <c r="AO189" s="77"/>
      <c r="AP189" s="77"/>
      <c r="AQ189" s="77"/>
      <c r="AR189" s="77"/>
      <c r="AS189" s="77"/>
      <c r="AT189" s="77"/>
      <c r="AU189" s="77"/>
      <c r="AV189" s="83" t="str">
        <f>HYPERLINK("https://pbs.twimg.com/profile_images/849132774661308416/pa2Uplq1_normal.jpg")</f>
        <v>https://pbs.twimg.com/profile_images/849132774661308416/pa2Uplq1_normal.jpg</v>
      </c>
      <c r="AW189" s="81" t="s">
        <v>1045</v>
      </c>
      <c r="AX189" s="81" t="s">
        <v>1045</v>
      </c>
      <c r="AY189" s="77"/>
      <c r="AZ189" s="81" t="s">
        <v>1190</v>
      </c>
      <c r="BA189" s="81" t="s">
        <v>1190</v>
      </c>
      <c r="BB189" s="81" t="s">
        <v>1190</v>
      </c>
      <c r="BC189" s="81" t="s">
        <v>1045</v>
      </c>
      <c r="BD189" s="77">
        <v>87606674</v>
      </c>
      <c r="BE189" s="77"/>
      <c r="BF189" s="77"/>
      <c r="BG189" s="77"/>
      <c r="BH189" s="77"/>
      <c r="BI189" s="77"/>
      <c r="BJ189">
        <v>1</v>
      </c>
      <c r="BK189" s="76" t="str">
        <f>REPLACE(INDEX(GroupVertices[Group],MATCH(Edges[[#This Row],[Vertex 1]],GroupVertices[Vertex],0)),1,1,"")</f>
        <v>2</v>
      </c>
      <c r="BL189" s="76" t="str">
        <f>REPLACE(INDEX(GroupVertices[Group],MATCH(Edges[[#This Row],[Vertex 2]],GroupVertices[Vertex],0)),1,1,"")</f>
        <v>2</v>
      </c>
      <c r="BM189" s="45"/>
      <c r="BN189" s="46"/>
      <c r="BO189" s="45"/>
      <c r="BP189" s="46"/>
      <c r="BQ189" s="45"/>
      <c r="BR189" s="46"/>
      <c r="BS189" s="45"/>
      <c r="BT189" s="46"/>
      <c r="BU189" s="45"/>
    </row>
    <row r="190" spans="1:73" ht="15">
      <c r="A190" s="61" t="s">
        <v>228</v>
      </c>
      <c r="B190" s="61" t="s">
        <v>324</v>
      </c>
      <c r="C190" s="62" t="s">
        <v>11692</v>
      </c>
      <c r="D190" s="63">
        <v>3</v>
      </c>
      <c r="E190" s="64" t="s">
        <v>132</v>
      </c>
      <c r="F190" s="65">
        <v>32</v>
      </c>
      <c r="G190" s="62"/>
      <c r="H190" s="66"/>
      <c r="I190" s="67"/>
      <c r="J190" s="67"/>
      <c r="K190" s="31" t="s">
        <v>65</v>
      </c>
      <c r="L190" s="75">
        <v>190</v>
      </c>
      <c r="M190" s="75"/>
      <c r="N190" s="69"/>
      <c r="O190" s="77" t="s">
        <v>539</v>
      </c>
      <c r="P190" s="79">
        <v>45165.91474537037</v>
      </c>
      <c r="Q190" s="77" t="s">
        <v>563</v>
      </c>
      <c r="R190" s="77">
        <v>0</v>
      </c>
      <c r="S190" s="77">
        <v>4</v>
      </c>
      <c r="T190" s="77">
        <v>0</v>
      </c>
      <c r="U190" s="77">
        <v>0</v>
      </c>
      <c r="V190" s="77">
        <v>280</v>
      </c>
      <c r="W190" s="81" t="s">
        <v>676</v>
      </c>
      <c r="X190" s="83" t="str">
        <f>HYPERLINK("https://bit.ly/3QTnFDh")</f>
        <v>https://bit.ly/3QTnFDh</v>
      </c>
      <c r="Y190" s="77" t="s">
        <v>740</v>
      </c>
      <c r="Z190" s="77" t="s">
        <v>761</v>
      </c>
      <c r="AA190" s="77"/>
      <c r="AB190" s="77"/>
      <c r="AC190" s="81" t="s">
        <v>853</v>
      </c>
      <c r="AD190" s="77" t="s">
        <v>859</v>
      </c>
      <c r="AE190" s="83" t="str">
        <f>HYPERLINK("https://twitter.com/nodexl/status/1695918420569870747")</f>
        <v>https://twitter.com/nodexl/status/1695918420569870747</v>
      </c>
      <c r="AF190" s="79">
        <v>45165.91474537037</v>
      </c>
      <c r="AG190" s="85">
        <v>45165</v>
      </c>
      <c r="AH190" s="81" t="s">
        <v>890</v>
      </c>
      <c r="AI190" s="77" t="b">
        <v>0</v>
      </c>
      <c r="AJ190" s="77"/>
      <c r="AK190" s="77"/>
      <c r="AL190" s="77"/>
      <c r="AM190" s="77"/>
      <c r="AN190" s="77"/>
      <c r="AO190" s="77"/>
      <c r="AP190" s="77"/>
      <c r="AQ190" s="77"/>
      <c r="AR190" s="77"/>
      <c r="AS190" s="77"/>
      <c r="AT190" s="77"/>
      <c r="AU190" s="77"/>
      <c r="AV190" s="83" t="str">
        <f>HYPERLINK("https://pbs.twimg.com/profile_images/849132774661308416/pa2Uplq1_normal.jpg")</f>
        <v>https://pbs.twimg.com/profile_images/849132774661308416/pa2Uplq1_normal.jpg</v>
      </c>
      <c r="AW190" s="81" t="s">
        <v>1045</v>
      </c>
      <c r="AX190" s="81" t="s">
        <v>1045</v>
      </c>
      <c r="AY190" s="77"/>
      <c r="AZ190" s="81" t="s">
        <v>1190</v>
      </c>
      <c r="BA190" s="81" t="s">
        <v>1190</v>
      </c>
      <c r="BB190" s="81" t="s">
        <v>1190</v>
      </c>
      <c r="BC190" s="81" t="s">
        <v>1045</v>
      </c>
      <c r="BD190" s="77">
        <v>87606674</v>
      </c>
      <c r="BE190" s="77"/>
      <c r="BF190" s="77"/>
      <c r="BG190" s="77"/>
      <c r="BH190" s="77"/>
      <c r="BI190" s="77"/>
      <c r="BJ190">
        <v>1</v>
      </c>
      <c r="BK190" s="76" t="str">
        <f>REPLACE(INDEX(GroupVertices[Group],MATCH(Edges[[#This Row],[Vertex 1]],GroupVertices[Vertex],0)),1,1,"")</f>
        <v>2</v>
      </c>
      <c r="BL190" s="76" t="str">
        <f>REPLACE(INDEX(GroupVertices[Group],MATCH(Edges[[#This Row],[Vertex 2]],GroupVertices[Vertex],0)),1,1,"")</f>
        <v>2</v>
      </c>
      <c r="BM190" s="45">
        <v>1</v>
      </c>
      <c r="BN190" s="46">
        <v>4.761904761904762</v>
      </c>
      <c r="BO190" s="45">
        <v>0</v>
      </c>
      <c r="BP190" s="46">
        <v>0</v>
      </c>
      <c r="BQ190" s="45">
        <v>0</v>
      </c>
      <c r="BR190" s="46">
        <v>0</v>
      </c>
      <c r="BS190" s="45">
        <v>19</v>
      </c>
      <c r="BT190" s="46">
        <v>90.47619047619048</v>
      </c>
      <c r="BU190" s="45">
        <v>21</v>
      </c>
    </row>
    <row r="191" spans="1:73" ht="15">
      <c r="A191" s="61" t="s">
        <v>229</v>
      </c>
      <c r="B191" s="61" t="s">
        <v>325</v>
      </c>
      <c r="C191" s="62" t="s">
        <v>11692</v>
      </c>
      <c r="D191" s="63">
        <v>3</v>
      </c>
      <c r="E191" s="64" t="s">
        <v>132</v>
      </c>
      <c r="F191" s="65">
        <v>32</v>
      </c>
      <c r="G191" s="62"/>
      <c r="H191" s="66"/>
      <c r="I191" s="67"/>
      <c r="J191" s="67"/>
      <c r="K191" s="31" t="s">
        <v>65</v>
      </c>
      <c r="L191" s="75">
        <v>191</v>
      </c>
      <c r="M191" s="75"/>
      <c r="N191" s="69"/>
      <c r="O191" s="77" t="s">
        <v>539</v>
      </c>
      <c r="P191" s="79">
        <v>45162.556539351855</v>
      </c>
      <c r="Q191" s="77" t="s">
        <v>564</v>
      </c>
      <c r="R191" s="77">
        <v>0</v>
      </c>
      <c r="S191" s="77">
        <v>9</v>
      </c>
      <c r="T191" s="77">
        <v>1</v>
      </c>
      <c r="U191" s="77">
        <v>1</v>
      </c>
      <c r="V191" s="77">
        <v>288</v>
      </c>
      <c r="W191" s="81" t="s">
        <v>677</v>
      </c>
      <c r="X191" s="83" t="str">
        <f>HYPERLINK("https://bit.ly/3E8yBoX")</f>
        <v>https://bit.ly/3E8yBoX</v>
      </c>
      <c r="Y191" s="77" t="s">
        <v>740</v>
      </c>
      <c r="Z191" s="77" t="s">
        <v>762</v>
      </c>
      <c r="AA191" s="77"/>
      <c r="AB191" s="77"/>
      <c r="AC191" s="81" t="s">
        <v>853</v>
      </c>
      <c r="AD191" s="77" t="s">
        <v>859</v>
      </c>
      <c r="AE191" s="83" t="str">
        <f>HYPERLINK("https://twitter.com/mihkal/status/1694701446430589097")</f>
        <v>https://twitter.com/mihkal/status/1694701446430589097</v>
      </c>
      <c r="AF191" s="79">
        <v>45162.556539351855</v>
      </c>
      <c r="AG191" s="85">
        <v>45162</v>
      </c>
      <c r="AH191" s="81" t="s">
        <v>891</v>
      </c>
      <c r="AI191" s="77" t="b">
        <v>0</v>
      </c>
      <c r="AJ191" s="77"/>
      <c r="AK191" s="77"/>
      <c r="AL191" s="77"/>
      <c r="AM191" s="77"/>
      <c r="AN191" s="77"/>
      <c r="AO191" s="77"/>
      <c r="AP191" s="77"/>
      <c r="AQ191" s="77"/>
      <c r="AR191" s="77"/>
      <c r="AS191" s="77"/>
      <c r="AT191" s="77"/>
      <c r="AU191" s="77"/>
      <c r="AV191" s="83" t="str">
        <f>HYPERLINK("https://pbs.twimg.com/profile_images/1663227887837757440/XOjtFF4W_normal.jpg")</f>
        <v>https://pbs.twimg.com/profile_images/1663227887837757440/XOjtFF4W_normal.jpg</v>
      </c>
      <c r="AW191" s="81" t="s">
        <v>1046</v>
      </c>
      <c r="AX191" s="81" t="s">
        <v>1046</v>
      </c>
      <c r="AY191" s="77"/>
      <c r="AZ191" s="81" t="s">
        <v>1190</v>
      </c>
      <c r="BA191" s="81" t="s">
        <v>1190</v>
      </c>
      <c r="BB191" s="81" t="s">
        <v>1190</v>
      </c>
      <c r="BC191" s="81" t="s">
        <v>1046</v>
      </c>
      <c r="BD191" s="77">
        <v>24256031</v>
      </c>
      <c r="BE191" s="77"/>
      <c r="BF191" s="77"/>
      <c r="BG191" s="77"/>
      <c r="BH191" s="77"/>
      <c r="BI191" s="77"/>
      <c r="BJ191">
        <v>1</v>
      </c>
      <c r="BK191" s="76" t="str">
        <f>REPLACE(INDEX(GroupVertices[Group],MATCH(Edges[[#This Row],[Vertex 1]],GroupVertices[Vertex],0)),1,1,"")</f>
        <v>1</v>
      </c>
      <c r="BL191" s="76" t="str">
        <f>REPLACE(INDEX(GroupVertices[Group],MATCH(Edges[[#This Row],[Vertex 2]],GroupVertices[Vertex],0)),1,1,"")</f>
        <v>1</v>
      </c>
      <c r="BM191" s="45"/>
      <c r="BN191" s="46"/>
      <c r="BO191" s="45"/>
      <c r="BP191" s="46"/>
      <c r="BQ191" s="45"/>
      <c r="BR191" s="46"/>
      <c r="BS191" s="45"/>
      <c r="BT191" s="46"/>
      <c r="BU191" s="45"/>
    </row>
    <row r="192" spans="1:73" ht="15">
      <c r="A192" s="61" t="s">
        <v>229</v>
      </c>
      <c r="B192" s="61" t="s">
        <v>326</v>
      </c>
      <c r="C192" s="62" t="s">
        <v>11692</v>
      </c>
      <c r="D192" s="63">
        <v>3</v>
      </c>
      <c r="E192" s="64" t="s">
        <v>132</v>
      </c>
      <c r="F192" s="65">
        <v>32</v>
      </c>
      <c r="G192" s="62"/>
      <c r="H192" s="66"/>
      <c r="I192" s="67"/>
      <c r="J192" s="67"/>
      <c r="K192" s="31" t="s">
        <v>65</v>
      </c>
      <c r="L192" s="75">
        <v>192</v>
      </c>
      <c r="M192" s="75"/>
      <c r="N192" s="69"/>
      <c r="O192" s="77" t="s">
        <v>539</v>
      </c>
      <c r="P192" s="79">
        <v>45162.556539351855</v>
      </c>
      <c r="Q192" s="77" t="s">
        <v>564</v>
      </c>
      <c r="R192" s="77">
        <v>0</v>
      </c>
      <c r="S192" s="77">
        <v>9</v>
      </c>
      <c r="T192" s="77">
        <v>1</v>
      </c>
      <c r="U192" s="77">
        <v>1</v>
      </c>
      <c r="V192" s="77">
        <v>288</v>
      </c>
      <c r="W192" s="81" t="s">
        <v>677</v>
      </c>
      <c r="X192" s="83" t="str">
        <f>HYPERLINK("https://bit.ly/3E8yBoX")</f>
        <v>https://bit.ly/3E8yBoX</v>
      </c>
      <c r="Y192" s="77" t="s">
        <v>740</v>
      </c>
      <c r="Z192" s="77" t="s">
        <v>762</v>
      </c>
      <c r="AA192" s="77"/>
      <c r="AB192" s="77"/>
      <c r="AC192" s="81" t="s">
        <v>853</v>
      </c>
      <c r="AD192" s="77" t="s">
        <v>859</v>
      </c>
      <c r="AE192" s="83" t="str">
        <f>HYPERLINK("https://twitter.com/mihkal/status/1694701446430589097")</f>
        <v>https://twitter.com/mihkal/status/1694701446430589097</v>
      </c>
      <c r="AF192" s="79">
        <v>45162.556539351855</v>
      </c>
      <c r="AG192" s="85">
        <v>45162</v>
      </c>
      <c r="AH192" s="81" t="s">
        <v>891</v>
      </c>
      <c r="AI192" s="77" t="b">
        <v>0</v>
      </c>
      <c r="AJ192" s="77"/>
      <c r="AK192" s="77"/>
      <c r="AL192" s="77"/>
      <c r="AM192" s="77"/>
      <c r="AN192" s="77"/>
      <c r="AO192" s="77"/>
      <c r="AP192" s="77"/>
      <c r="AQ192" s="77"/>
      <c r="AR192" s="77"/>
      <c r="AS192" s="77"/>
      <c r="AT192" s="77"/>
      <c r="AU192" s="77"/>
      <c r="AV192" s="83" t="str">
        <f>HYPERLINK("https://pbs.twimg.com/profile_images/1663227887837757440/XOjtFF4W_normal.jpg")</f>
        <v>https://pbs.twimg.com/profile_images/1663227887837757440/XOjtFF4W_normal.jpg</v>
      </c>
      <c r="AW192" s="81" t="s">
        <v>1046</v>
      </c>
      <c r="AX192" s="81" t="s">
        <v>1046</v>
      </c>
      <c r="AY192" s="77"/>
      <c r="AZ192" s="81" t="s">
        <v>1190</v>
      </c>
      <c r="BA192" s="81" t="s">
        <v>1190</v>
      </c>
      <c r="BB192" s="81" t="s">
        <v>1190</v>
      </c>
      <c r="BC192" s="81" t="s">
        <v>1046</v>
      </c>
      <c r="BD192" s="77">
        <v>24256031</v>
      </c>
      <c r="BE192" s="77"/>
      <c r="BF192" s="77"/>
      <c r="BG192" s="77"/>
      <c r="BH192" s="77"/>
      <c r="BI192" s="77"/>
      <c r="BJ192">
        <v>1</v>
      </c>
      <c r="BK192" s="76" t="str">
        <f>REPLACE(INDEX(GroupVertices[Group],MATCH(Edges[[#This Row],[Vertex 1]],GroupVertices[Vertex],0)),1,1,"")</f>
        <v>1</v>
      </c>
      <c r="BL192" s="76" t="str">
        <f>REPLACE(INDEX(GroupVertices[Group],MATCH(Edges[[#This Row],[Vertex 2]],GroupVertices[Vertex],0)),1,1,"")</f>
        <v>1</v>
      </c>
      <c r="BM192" s="45"/>
      <c r="BN192" s="46"/>
      <c r="BO192" s="45"/>
      <c r="BP192" s="46"/>
      <c r="BQ192" s="45"/>
      <c r="BR192" s="46"/>
      <c r="BS192" s="45"/>
      <c r="BT192" s="46"/>
      <c r="BU192" s="45"/>
    </row>
    <row r="193" spans="1:73" ht="15">
      <c r="A193" s="61" t="s">
        <v>229</v>
      </c>
      <c r="B193" s="61" t="s">
        <v>327</v>
      </c>
      <c r="C193" s="62" t="s">
        <v>11692</v>
      </c>
      <c r="D193" s="63">
        <v>3</v>
      </c>
      <c r="E193" s="64" t="s">
        <v>132</v>
      </c>
      <c r="F193" s="65">
        <v>32</v>
      </c>
      <c r="G193" s="62"/>
      <c r="H193" s="66"/>
      <c r="I193" s="67"/>
      <c r="J193" s="67"/>
      <c r="K193" s="31" t="s">
        <v>65</v>
      </c>
      <c r="L193" s="75">
        <v>193</v>
      </c>
      <c r="M193" s="75"/>
      <c r="N193" s="69"/>
      <c r="O193" s="77" t="s">
        <v>539</v>
      </c>
      <c r="P193" s="79">
        <v>45162.556539351855</v>
      </c>
      <c r="Q193" s="77" t="s">
        <v>564</v>
      </c>
      <c r="R193" s="77">
        <v>0</v>
      </c>
      <c r="S193" s="77">
        <v>9</v>
      </c>
      <c r="T193" s="77">
        <v>1</v>
      </c>
      <c r="U193" s="77">
        <v>1</v>
      </c>
      <c r="V193" s="77">
        <v>288</v>
      </c>
      <c r="W193" s="81" t="s">
        <v>677</v>
      </c>
      <c r="X193" s="83" t="str">
        <f>HYPERLINK("https://bit.ly/3E8yBoX")</f>
        <v>https://bit.ly/3E8yBoX</v>
      </c>
      <c r="Y193" s="77" t="s">
        <v>740</v>
      </c>
      <c r="Z193" s="77" t="s">
        <v>762</v>
      </c>
      <c r="AA193" s="77"/>
      <c r="AB193" s="77"/>
      <c r="AC193" s="81" t="s">
        <v>853</v>
      </c>
      <c r="AD193" s="77" t="s">
        <v>859</v>
      </c>
      <c r="AE193" s="83" t="str">
        <f>HYPERLINK("https://twitter.com/mihkal/status/1694701446430589097")</f>
        <v>https://twitter.com/mihkal/status/1694701446430589097</v>
      </c>
      <c r="AF193" s="79">
        <v>45162.556539351855</v>
      </c>
      <c r="AG193" s="85">
        <v>45162</v>
      </c>
      <c r="AH193" s="81" t="s">
        <v>891</v>
      </c>
      <c r="AI193" s="77" t="b">
        <v>0</v>
      </c>
      <c r="AJ193" s="77"/>
      <c r="AK193" s="77"/>
      <c r="AL193" s="77"/>
      <c r="AM193" s="77"/>
      <c r="AN193" s="77"/>
      <c r="AO193" s="77"/>
      <c r="AP193" s="77"/>
      <c r="AQ193" s="77"/>
      <c r="AR193" s="77"/>
      <c r="AS193" s="77"/>
      <c r="AT193" s="77"/>
      <c r="AU193" s="77"/>
      <c r="AV193" s="83" t="str">
        <f>HYPERLINK("https://pbs.twimg.com/profile_images/1663227887837757440/XOjtFF4W_normal.jpg")</f>
        <v>https://pbs.twimg.com/profile_images/1663227887837757440/XOjtFF4W_normal.jpg</v>
      </c>
      <c r="AW193" s="81" t="s">
        <v>1046</v>
      </c>
      <c r="AX193" s="81" t="s">
        <v>1046</v>
      </c>
      <c r="AY193" s="77"/>
      <c r="AZ193" s="81" t="s">
        <v>1190</v>
      </c>
      <c r="BA193" s="81" t="s">
        <v>1190</v>
      </c>
      <c r="BB193" s="81" t="s">
        <v>1190</v>
      </c>
      <c r="BC193" s="81" t="s">
        <v>1046</v>
      </c>
      <c r="BD193" s="77">
        <v>24256031</v>
      </c>
      <c r="BE193" s="77"/>
      <c r="BF193" s="77"/>
      <c r="BG193" s="77"/>
      <c r="BH193" s="77"/>
      <c r="BI193" s="77"/>
      <c r="BJ193">
        <v>1</v>
      </c>
      <c r="BK193" s="76" t="str">
        <f>REPLACE(INDEX(GroupVertices[Group],MATCH(Edges[[#This Row],[Vertex 1]],GroupVertices[Vertex],0)),1,1,"")</f>
        <v>1</v>
      </c>
      <c r="BL193" s="76" t="str">
        <f>REPLACE(INDEX(GroupVertices[Group],MATCH(Edges[[#This Row],[Vertex 2]],GroupVertices[Vertex],0)),1,1,"")</f>
        <v>1</v>
      </c>
      <c r="BM193" s="45"/>
      <c r="BN193" s="46"/>
      <c r="BO193" s="45"/>
      <c r="BP193" s="46"/>
      <c r="BQ193" s="45"/>
      <c r="BR193" s="46"/>
      <c r="BS193" s="45"/>
      <c r="BT193" s="46"/>
      <c r="BU193" s="45"/>
    </row>
    <row r="194" spans="1:73" ht="15">
      <c r="A194" s="61" t="s">
        <v>229</v>
      </c>
      <c r="B194" s="61" t="s">
        <v>328</v>
      </c>
      <c r="C194" s="62" t="s">
        <v>11692</v>
      </c>
      <c r="D194" s="63">
        <v>3</v>
      </c>
      <c r="E194" s="64" t="s">
        <v>132</v>
      </c>
      <c r="F194" s="65">
        <v>32</v>
      </c>
      <c r="G194" s="62"/>
      <c r="H194" s="66"/>
      <c r="I194" s="67"/>
      <c r="J194" s="67"/>
      <c r="K194" s="31" t="s">
        <v>65</v>
      </c>
      <c r="L194" s="75">
        <v>194</v>
      </c>
      <c r="M194" s="75"/>
      <c r="N194" s="69"/>
      <c r="O194" s="77" t="s">
        <v>539</v>
      </c>
      <c r="P194" s="79">
        <v>45162.556539351855</v>
      </c>
      <c r="Q194" s="77" t="s">
        <v>564</v>
      </c>
      <c r="R194" s="77">
        <v>0</v>
      </c>
      <c r="S194" s="77">
        <v>9</v>
      </c>
      <c r="T194" s="77">
        <v>1</v>
      </c>
      <c r="U194" s="77">
        <v>1</v>
      </c>
      <c r="V194" s="77">
        <v>288</v>
      </c>
      <c r="W194" s="81" t="s">
        <v>677</v>
      </c>
      <c r="X194" s="83" t="str">
        <f>HYPERLINK("https://bit.ly/3E8yBoX")</f>
        <v>https://bit.ly/3E8yBoX</v>
      </c>
      <c r="Y194" s="77" t="s">
        <v>740</v>
      </c>
      <c r="Z194" s="77" t="s">
        <v>762</v>
      </c>
      <c r="AA194" s="77"/>
      <c r="AB194" s="77"/>
      <c r="AC194" s="81" t="s">
        <v>853</v>
      </c>
      <c r="AD194" s="77" t="s">
        <v>859</v>
      </c>
      <c r="AE194" s="83" t="str">
        <f>HYPERLINK("https://twitter.com/mihkal/status/1694701446430589097")</f>
        <v>https://twitter.com/mihkal/status/1694701446430589097</v>
      </c>
      <c r="AF194" s="79">
        <v>45162.556539351855</v>
      </c>
      <c r="AG194" s="85">
        <v>45162</v>
      </c>
      <c r="AH194" s="81" t="s">
        <v>891</v>
      </c>
      <c r="AI194" s="77" t="b">
        <v>0</v>
      </c>
      <c r="AJ194" s="77"/>
      <c r="AK194" s="77"/>
      <c r="AL194" s="77"/>
      <c r="AM194" s="77"/>
      <c r="AN194" s="77"/>
      <c r="AO194" s="77"/>
      <c r="AP194" s="77"/>
      <c r="AQ194" s="77"/>
      <c r="AR194" s="77"/>
      <c r="AS194" s="77"/>
      <c r="AT194" s="77"/>
      <c r="AU194" s="77"/>
      <c r="AV194" s="83" t="str">
        <f>HYPERLINK("https://pbs.twimg.com/profile_images/1663227887837757440/XOjtFF4W_normal.jpg")</f>
        <v>https://pbs.twimg.com/profile_images/1663227887837757440/XOjtFF4W_normal.jpg</v>
      </c>
      <c r="AW194" s="81" t="s">
        <v>1046</v>
      </c>
      <c r="AX194" s="81" t="s">
        <v>1046</v>
      </c>
      <c r="AY194" s="77"/>
      <c r="AZ194" s="81" t="s">
        <v>1190</v>
      </c>
      <c r="BA194" s="81" t="s">
        <v>1190</v>
      </c>
      <c r="BB194" s="81" t="s">
        <v>1190</v>
      </c>
      <c r="BC194" s="81" t="s">
        <v>1046</v>
      </c>
      <c r="BD194" s="77">
        <v>24256031</v>
      </c>
      <c r="BE194" s="77"/>
      <c r="BF194" s="77"/>
      <c r="BG194" s="77"/>
      <c r="BH194" s="77"/>
      <c r="BI194" s="77"/>
      <c r="BJ194">
        <v>1</v>
      </c>
      <c r="BK194" s="76" t="str">
        <f>REPLACE(INDEX(GroupVertices[Group],MATCH(Edges[[#This Row],[Vertex 1]],GroupVertices[Vertex],0)),1,1,"")</f>
        <v>1</v>
      </c>
      <c r="BL194" s="76" t="str">
        <f>REPLACE(INDEX(GroupVertices[Group],MATCH(Edges[[#This Row],[Vertex 2]],GroupVertices[Vertex],0)),1,1,"")</f>
        <v>1</v>
      </c>
      <c r="BM194" s="45"/>
      <c r="BN194" s="46"/>
      <c r="BO194" s="45"/>
      <c r="BP194" s="46"/>
      <c r="BQ194" s="45"/>
      <c r="BR194" s="46"/>
      <c r="BS194" s="45"/>
      <c r="BT194" s="46"/>
      <c r="BU194" s="45"/>
    </row>
    <row r="195" spans="1:73" ht="15">
      <c r="A195" s="61" t="s">
        <v>229</v>
      </c>
      <c r="B195" s="61" t="s">
        <v>329</v>
      </c>
      <c r="C195" s="62" t="s">
        <v>11692</v>
      </c>
      <c r="D195" s="63">
        <v>3</v>
      </c>
      <c r="E195" s="64" t="s">
        <v>132</v>
      </c>
      <c r="F195" s="65">
        <v>32</v>
      </c>
      <c r="G195" s="62"/>
      <c r="H195" s="66"/>
      <c r="I195" s="67"/>
      <c r="J195" s="67"/>
      <c r="K195" s="31" t="s">
        <v>65</v>
      </c>
      <c r="L195" s="75">
        <v>195</v>
      </c>
      <c r="M195" s="75"/>
      <c r="N195" s="69"/>
      <c r="O195" s="77" t="s">
        <v>539</v>
      </c>
      <c r="P195" s="79">
        <v>45162.556539351855</v>
      </c>
      <c r="Q195" s="77" t="s">
        <v>564</v>
      </c>
      <c r="R195" s="77">
        <v>0</v>
      </c>
      <c r="S195" s="77">
        <v>9</v>
      </c>
      <c r="T195" s="77">
        <v>1</v>
      </c>
      <c r="U195" s="77">
        <v>1</v>
      </c>
      <c r="V195" s="77">
        <v>288</v>
      </c>
      <c r="W195" s="81" t="s">
        <v>677</v>
      </c>
      <c r="X195" s="83" t="str">
        <f>HYPERLINK("https://bit.ly/3E8yBoX")</f>
        <v>https://bit.ly/3E8yBoX</v>
      </c>
      <c r="Y195" s="77" t="s">
        <v>740</v>
      </c>
      <c r="Z195" s="77" t="s">
        <v>762</v>
      </c>
      <c r="AA195" s="77"/>
      <c r="AB195" s="77"/>
      <c r="AC195" s="81" t="s">
        <v>853</v>
      </c>
      <c r="AD195" s="77" t="s">
        <v>859</v>
      </c>
      <c r="AE195" s="83" t="str">
        <f>HYPERLINK("https://twitter.com/mihkal/status/1694701446430589097")</f>
        <v>https://twitter.com/mihkal/status/1694701446430589097</v>
      </c>
      <c r="AF195" s="79">
        <v>45162.556539351855</v>
      </c>
      <c r="AG195" s="85">
        <v>45162</v>
      </c>
      <c r="AH195" s="81" t="s">
        <v>891</v>
      </c>
      <c r="AI195" s="77" t="b">
        <v>0</v>
      </c>
      <c r="AJ195" s="77"/>
      <c r="AK195" s="77"/>
      <c r="AL195" s="77"/>
      <c r="AM195" s="77"/>
      <c r="AN195" s="77"/>
      <c r="AO195" s="77"/>
      <c r="AP195" s="77"/>
      <c r="AQ195" s="77"/>
      <c r="AR195" s="77"/>
      <c r="AS195" s="77"/>
      <c r="AT195" s="77"/>
      <c r="AU195" s="77"/>
      <c r="AV195" s="83" t="str">
        <f>HYPERLINK("https://pbs.twimg.com/profile_images/1663227887837757440/XOjtFF4W_normal.jpg")</f>
        <v>https://pbs.twimg.com/profile_images/1663227887837757440/XOjtFF4W_normal.jpg</v>
      </c>
      <c r="AW195" s="81" t="s">
        <v>1046</v>
      </c>
      <c r="AX195" s="81" t="s">
        <v>1046</v>
      </c>
      <c r="AY195" s="77"/>
      <c r="AZ195" s="81" t="s">
        <v>1190</v>
      </c>
      <c r="BA195" s="81" t="s">
        <v>1190</v>
      </c>
      <c r="BB195" s="81" t="s">
        <v>1190</v>
      </c>
      <c r="BC195" s="81" t="s">
        <v>1046</v>
      </c>
      <c r="BD195" s="77">
        <v>24256031</v>
      </c>
      <c r="BE195" s="77"/>
      <c r="BF195" s="77"/>
      <c r="BG195" s="77"/>
      <c r="BH195" s="77"/>
      <c r="BI195" s="77"/>
      <c r="BJ195">
        <v>1</v>
      </c>
      <c r="BK195" s="76" t="str">
        <f>REPLACE(INDEX(GroupVertices[Group],MATCH(Edges[[#This Row],[Vertex 1]],GroupVertices[Vertex],0)),1,1,"")</f>
        <v>1</v>
      </c>
      <c r="BL195" s="76" t="str">
        <f>REPLACE(INDEX(GroupVertices[Group],MATCH(Edges[[#This Row],[Vertex 2]],GroupVertices[Vertex],0)),1,1,"")</f>
        <v>1</v>
      </c>
      <c r="BM195" s="45"/>
      <c r="BN195" s="46"/>
      <c r="BO195" s="45"/>
      <c r="BP195" s="46"/>
      <c r="BQ195" s="45"/>
      <c r="BR195" s="46"/>
      <c r="BS195" s="45"/>
      <c r="BT195" s="46"/>
      <c r="BU195" s="45"/>
    </row>
    <row r="196" spans="1:73" ht="15">
      <c r="A196" s="61" t="s">
        <v>229</v>
      </c>
      <c r="B196" s="61" t="s">
        <v>330</v>
      </c>
      <c r="C196" s="62" t="s">
        <v>11692</v>
      </c>
      <c r="D196" s="63">
        <v>3</v>
      </c>
      <c r="E196" s="64" t="s">
        <v>132</v>
      </c>
      <c r="F196" s="65">
        <v>32</v>
      </c>
      <c r="G196" s="62"/>
      <c r="H196" s="66"/>
      <c r="I196" s="67"/>
      <c r="J196" s="67"/>
      <c r="K196" s="31" t="s">
        <v>65</v>
      </c>
      <c r="L196" s="75">
        <v>196</v>
      </c>
      <c r="M196" s="75"/>
      <c r="N196" s="69"/>
      <c r="O196" s="77" t="s">
        <v>539</v>
      </c>
      <c r="P196" s="79">
        <v>45162.556539351855</v>
      </c>
      <c r="Q196" s="77" t="s">
        <v>564</v>
      </c>
      <c r="R196" s="77">
        <v>0</v>
      </c>
      <c r="S196" s="77">
        <v>9</v>
      </c>
      <c r="T196" s="77">
        <v>1</v>
      </c>
      <c r="U196" s="77">
        <v>1</v>
      </c>
      <c r="V196" s="77">
        <v>288</v>
      </c>
      <c r="W196" s="81" t="s">
        <v>677</v>
      </c>
      <c r="X196" s="83" t="str">
        <f>HYPERLINK("https://bit.ly/3E8yBoX")</f>
        <v>https://bit.ly/3E8yBoX</v>
      </c>
      <c r="Y196" s="77" t="s">
        <v>740</v>
      </c>
      <c r="Z196" s="77" t="s">
        <v>762</v>
      </c>
      <c r="AA196" s="77"/>
      <c r="AB196" s="77"/>
      <c r="AC196" s="81" t="s">
        <v>853</v>
      </c>
      <c r="AD196" s="77" t="s">
        <v>859</v>
      </c>
      <c r="AE196" s="83" t="str">
        <f>HYPERLINK("https://twitter.com/mihkal/status/1694701446430589097")</f>
        <v>https://twitter.com/mihkal/status/1694701446430589097</v>
      </c>
      <c r="AF196" s="79">
        <v>45162.556539351855</v>
      </c>
      <c r="AG196" s="85">
        <v>45162</v>
      </c>
      <c r="AH196" s="81" t="s">
        <v>891</v>
      </c>
      <c r="AI196" s="77" t="b">
        <v>0</v>
      </c>
      <c r="AJ196" s="77"/>
      <c r="AK196" s="77"/>
      <c r="AL196" s="77"/>
      <c r="AM196" s="77"/>
      <c r="AN196" s="77"/>
      <c r="AO196" s="77"/>
      <c r="AP196" s="77"/>
      <c r="AQ196" s="77"/>
      <c r="AR196" s="77"/>
      <c r="AS196" s="77"/>
      <c r="AT196" s="77"/>
      <c r="AU196" s="77"/>
      <c r="AV196" s="83" t="str">
        <f>HYPERLINK("https://pbs.twimg.com/profile_images/1663227887837757440/XOjtFF4W_normal.jpg")</f>
        <v>https://pbs.twimg.com/profile_images/1663227887837757440/XOjtFF4W_normal.jpg</v>
      </c>
      <c r="AW196" s="81" t="s">
        <v>1046</v>
      </c>
      <c r="AX196" s="81" t="s">
        <v>1046</v>
      </c>
      <c r="AY196" s="77"/>
      <c r="AZ196" s="81" t="s">
        <v>1190</v>
      </c>
      <c r="BA196" s="81" t="s">
        <v>1190</v>
      </c>
      <c r="BB196" s="81" t="s">
        <v>1190</v>
      </c>
      <c r="BC196" s="81" t="s">
        <v>1046</v>
      </c>
      <c r="BD196" s="77">
        <v>24256031</v>
      </c>
      <c r="BE196" s="77"/>
      <c r="BF196" s="77"/>
      <c r="BG196" s="77"/>
      <c r="BH196" s="77"/>
      <c r="BI196" s="77"/>
      <c r="BJ196">
        <v>1</v>
      </c>
      <c r="BK196" s="76" t="str">
        <f>REPLACE(INDEX(GroupVertices[Group],MATCH(Edges[[#This Row],[Vertex 1]],GroupVertices[Vertex],0)),1,1,"")</f>
        <v>1</v>
      </c>
      <c r="BL196" s="76" t="str">
        <f>REPLACE(INDEX(GroupVertices[Group],MATCH(Edges[[#This Row],[Vertex 2]],GroupVertices[Vertex],0)),1,1,"")</f>
        <v>1</v>
      </c>
      <c r="BM196" s="45"/>
      <c r="BN196" s="46"/>
      <c r="BO196" s="45"/>
      <c r="BP196" s="46"/>
      <c r="BQ196" s="45"/>
      <c r="BR196" s="46"/>
      <c r="BS196" s="45"/>
      <c r="BT196" s="46"/>
      <c r="BU196" s="45"/>
    </row>
    <row r="197" spans="1:73" ht="15">
      <c r="A197" s="61" t="s">
        <v>229</v>
      </c>
      <c r="B197" s="61" t="s">
        <v>331</v>
      </c>
      <c r="C197" s="62" t="s">
        <v>11692</v>
      </c>
      <c r="D197" s="63">
        <v>3</v>
      </c>
      <c r="E197" s="64" t="s">
        <v>132</v>
      </c>
      <c r="F197" s="65">
        <v>32</v>
      </c>
      <c r="G197" s="62"/>
      <c r="H197" s="66"/>
      <c r="I197" s="67"/>
      <c r="J197" s="67"/>
      <c r="K197" s="31" t="s">
        <v>65</v>
      </c>
      <c r="L197" s="75">
        <v>197</v>
      </c>
      <c r="M197" s="75"/>
      <c r="N197" s="69"/>
      <c r="O197" s="77" t="s">
        <v>539</v>
      </c>
      <c r="P197" s="79">
        <v>45162.556539351855</v>
      </c>
      <c r="Q197" s="77" t="s">
        <v>564</v>
      </c>
      <c r="R197" s="77">
        <v>0</v>
      </c>
      <c r="S197" s="77">
        <v>9</v>
      </c>
      <c r="T197" s="77">
        <v>1</v>
      </c>
      <c r="U197" s="77">
        <v>1</v>
      </c>
      <c r="V197" s="77">
        <v>288</v>
      </c>
      <c r="W197" s="81" t="s">
        <v>677</v>
      </c>
      <c r="X197" s="83" t="str">
        <f>HYPERLINK("https://bit.ly/3E8yBoX")</f>
        <v>https://bit.ly/3E8yBoX</v>
      </c>
      <c r="Y197" s="77" t="s">
        <v>740</v>
      </c>
      <c r="Z197" s="77" t="s">
        <v>762</v>
      </c>
      <c r="AA197" s="77"/>
      <c r="AB197" s="77"/>
      <c r="AC197" s="81" t="s">
        <v>853</v>
      </c>
      <c r="AD197" s="77" t="s">
        <v>859</v>
      </c>
      <c r="AE197" s="83" t="str">
        <f>HYPERLINK("https://twitter.com/mihkal/status/1694701446430589097")</f>
        <v>https://twitter.com/mihkal/status/1694701446430589097</v>
      </c>
      <c r="AF197" s="79">
        <v>45162.556539351855</v>
      </c>
      <c r="AG197" s="85">
        <v>45162</v>
      </c>
      <c r="AH197" s="81" t="s">
        <v>891</v>
      </c>
      <c r="AI197" s="77" t="b">
        <v>0</v>
      </c>
      <c r="AJ197" s="77"/>
      <c r="AK197" s="77"/>
      <c r="AL197" s="77"/>
      <c r="AM197" s="77"/>
      <c r="AN197" s="77"/>
      <c r="AO197" s="77"/>
      <c r="AP197" s="77"/>
      <c r="AQ197" s="77"/>
      <c r="AR197" s="77"/>
      <c r="AS197" s="77"/>
      <c r="AT197" s="77"/>
      <c r="AU197" s="77"/>
      <c r="AV197" s="83" t="str">
        <f>HYPERLINK("https://pbs.twimg.com/profile_images/1663227887837757440/XOjtFF4W_normal.jpg")</f>
        <v>https://pbs.twimg.com/profile_images/1663227887837757440/XOjtFF4W_normal.jpg</v>
      </c>
      <c r="AW197" s="81" t="s">
        <v>1046</v>
      </c>
      <c r="AX197" s="81" t="s">
        <v>1046</v>
      </c>
      <c r="AY197" s="77"/>
      <c r="AZ197" s="81" t="s">
        <v>1190</v>
      </c>
      <c r="BA197" s="81" t="s">
        <v>1190</v>
      </c>
      <c r="BB197" s="81" t="s">
        <v>1190</v>
      </c>
      <c r="BC197" s="81" t="s">
        <v>1046</v>
      </c>
      <c r="BD197" s="77">
        <v>24256031</v>
      </c>
      <c r="BE197" s="77"/>
      <c r="BF197" s="77"/>
      <c r="BG197" s="77"/>
      <c r="BH197" s="77"/>
      <c r="BI197" s="77"/>
      <c r="BJ197">
        <v>1</v>
      </c>
      <c r="BK197" s="76" t="str">
        <f>REPLACE(INDEX(GroupVertices[Group],MATCH(Edges[[#This Row],[Vertex 1]],GroupVertices[Vertex],0)),1,1,"")</f>
        <v>1</v>
      </c>
      <c r="BL197" s="76" t="str">
        <f>REPLACE(INDEX(GroupVertices[Group],MATCH(Edges[[#This Row],[Vertex 2]],GroupVertices[Vertex],0)),1,1,"")</f>
        <v>1</v>
      </c>
      <c r="BM197" s="45"/>
      <c r="BN197" s="46"/>
      <c r="BO197" s="45"/>
      <c r="BP197" s="46"/>
      <c r="BQ197" s="45"/>
      <c r="BR197" s="46"/>
      <c r="BS197" s="45"/>
      <c r="BT197" s="46"/>
      <c r="BU197" s="45"/>
    </row>
    <row r="198" spans="1:73" ht="15">
      <c r="A198" s="61" t="s">
        <v>229</v>
      </c>
      <c r="B198" s="61" t="s">
        <v>332</v>
      </c>
      <c r="C198" s="62" t="s">
        <v>11692</v>
      </c>
      <c r="D198" s="63">
        <v>3</v>
      </c>
      <c r="E198" s="64" t="s">
        <v>132</v>
      </c>
      <c r="F198" s="65">
        <v>32</v>
      </c>
      <c r="G198" s="62"/>
      <c r="H198" s="66"/>
      <c r="I198" s="67"/>
      <c r="J198" s="67"/>
      <c r="K198" s="31" t="s">
        <v>65</v>
      </c>
      <c r="L198" s="75">
        <v>198</v>
      </c>
      <c r="M198" s="75"/>
      <c r="N198" s="69"/>
      <c r="O198" s="77" t="s">
        <v>539</v>
      </c>
      <c r="P198" s="79">
        <v>45162.556539351855</v>
      </c>
      <c r="Q198" s="77" t="s">
        <v>564</v>
      </c>
      <c r="R198" s="77">
        <v>0</v>
      </c>
      <c r="S198" s="77">
        <v>9</v>
      </c>
      <c r="T198" s="77">
        <v>1</v>
      </c>
      <c r="U198" s="77">
        <v>1</v>
      </c>
      <c r="V198" s="77">
        <v>288</v>
      </c>
      <c r="W198" s="81" t="s">
        <v>677</v>
      </c>
      <c r="X198" s="83" t="str">
        <f>HYPERLINK("https://bit.ly/3E8yBoX")</f>
        <v>https://bit.ly/3E8yBoX</v>
      </c>
      <c r="Y198" s="77" t="s">
        <v>740</v>
      </c>
      <c r="Z198" s="77" t="s">
        <v>762</v>
      </c>
      <c r="AA198" s="77"/>
      <c r="AB198" s="77"/>
      <c r="AC198" s="81" t="s">
        <v>853</v>
      </c>
      <c r="AD198" s="77" t="s">
        <v>859</v>
      </c>
      <c r="AE198" s="83" t="str">
        <f>HYPERLINK("https://twitter.com/mihkal/status/1694701446430589097")</f>
        <v>https://twitter.com/mihkal/status/1694701446430589097</v>
      </c>
      <c r="AF198" s="79">
        <v>45162.556539351855</v>
      </c>
      <c r="AG198" s="85">
        <v>45162</v>
      </c>
      <c r="AH198" s="81" t="s">
        <v>891</v>
      </c>
      <c r="AI198" s="77" t="b">
        <v>0</v>
      </c>
      <c r="AJ198" s="77"/>
      <c r="AK198" s="77"/>
      <c r="AL198" s="77"/>
      <c r="AM198" s="77"/>
      <c r="AN198" s="77"/>
      <c r="AO198" s="77"/>
      <c r="AP198" s="77"/>
      <c r="AQ198" s="77"/>
      <c r="AR198" s="77"/>
      <c r="AS198" s="77"/>
      <c r="AT198" s="77"/>
      <c r="AU198" s="77"/>
      <c r="AV198" s="83" t="str">
        <f>HYPERLINK("https://pbs.twimg.com/profile_images/1663227887837757440/XOjtFF4W_normal.jpg")</f>
        <v>https://pbs.twimg.com/profile_images/1663227887837757440/XOjtFF4W_normal.jpg</v>
      </c>
      <c r="AW198" s="81" t="s">
        <v>1046</v>
      </c>
      <c r="AX198" s="81" t="s">
        <v>1046</v>
      </c>
      <c r="AY198" s="77"/>
      <c r="AZ198" s="81" t="s">
        <v>1190</v>
      </c>
      <c r="BA198" s="81" t="s">
        <v>1190</v>
      </c>
      <c r="BB198" s="81" t="s">
        <v>1190</v>
      </c>
      <c r="BC198" s="81" t="s">
        <v>1046</v>
      </c>
      <c r="BD198" s="77">
        <v>24256031</v>
      </c>
      <c r="BE198" s="77"/>
      <c r="BF198" s="77"/>
      <c r="BG198" s="77"/>
      <c r="BH198" s="77"/>
      <c r="BI198" s="77"/>
      <c r="BJ198">
        <v>1</v>
      </c>
      <c r="BK198" s="76" t="str">
        <f>REPLACE(INDEX(GroupVertices[Group],MATCH(Edges[[#This Row],[Vertex 1]],GroupVertices[Vertex],0)),1,1,"")</f>
        <v>1</v>
      </c>
      <c r="BL198" s="76" t="str">
        <f>REPLACE(INDEX(GroupVertices[Group],MATCH(Edges[[#This Row],[Vertex 2]],GroupVertices[Vertex],0)),1,1,"")</f>
        <v>1</v>
      </c>
      <c r="BM198" s="45"/>
      <c r="BN198" s="46"/>
      <c r="BO198" s="45"/>
      <c r="BP198" s="46"/>
      <c r="BQ198" s="45"/>
      <c r="BR198" s="46"/>
      <c r="BS198" s="45"/>
      <c r="BT198" s="46"/>
      <c r="BU198" s="45"/>
    </row>
    <row r="199" spans="1:73" ht="15">
      <c r="A199" s="61" t="s">
        <v>229</v>
      </c>
      <c r="B199" s="61" t="s">
        <v>333</v>
      </c>
      <c r="C199" s="62" t="s">
        <v>11692</v>
      </c>
      <c r="D199" s="63">
        <v>3</v>
      </c>
      <c r="E199" s="64" t="s">
        <v>132</v>
      </c>
      <c r="F199" s="65">
        <v>32</v>
      </c>
      <c r="G199" s="62"/>
      <c r="H199" s="66"/>
      <c r="I199" s="67"/>
      <c r="J199" s="67"/>
      <c r="K199" s="31" t="s">
        <v>65</v>
      </c>
      <c r="L199" s="75">
        <v>199</v>
      </c>
      <c r="M199" s="75"/>
      <c r="N199" s="69"/>
      <c r="O199" s="77" t="s">
        <v>539</v>
      </c>
      <c r="P199" s="79">
        <v>45162.556539351855</v>
      </c>
      <c r="Q199" s="77" t="s">
        <v>564</v>
      </c>
      <c r="R199" s="77">
        <v>0</v>
      </c>
      <c r="S199" s="77">
        <v>9</v>
      </c>
      <c r="T199" s="77">
        <v>1</v>
      </c>
      <c r="U199" s="77">
        <v>1</v>
      </c>
      <c r="V199" s="77">
        <v>288</v>
      </c>
      <c r="W199" s="81" t="s">
        <v>677</v>
      </c>
      <c r="X199" s="83" t="str">
        <f>HYPERLINK("https://bit.ly/3E8yBoX")</f>
        <v>https://bit.ly/3E8yBoX</v>
      </c>
      <c r="Y199" s="77" t="s">
        <v>740</v>
      </c>
      <c r="Z199" s="77" t="s">
        <v>762</v>
      </c>
      <c r="AA199" s="77"/>
      <c r="AB199" s="77"/>
      <c r="AC199" s="81" t="s">
        <v>853</v>
      </c>
      <c r="AD199" s="77" t="s">
        <v>859</v>
      </c>
      <c r="AE199" s="83" t="str">
        <f>HYPERLINK("https://twitter.com/mihkal/status/1694701446430589097")</f>
        <v>https://twitter.com/mihkal/status/1694701446430589097</v>
      </c>
      <c r="AF199" s="79">
        <v>45162.556539351855</v>
      </c>
      <c r="AG199" s="85">
        <v>45162</v>
      </c>
      <c r="AH199" s="81" t="s">
        <v>891</v>
      </c>
      <c r="AI199" s="77" t="b">
        <v>0</v>
      </c>
      <c r="AJ199" s="77"/>
      <c r="AK199" s="77"/>
      <c r="AL199" s="77"/>
      <c r="AM199" s="77"/>
      <c r="AN199" s="77"/>
      <c r="AO199" s="77"/>
      <c r="AP199" s="77"/>
      <c r="AQ199" s="77"/>
      <c r="AR199" s="77"/>
      <c r="AS199" s="77"/>
      <c r="AT199" s="77"/>
      <c r="AU199" s="77"/>
      <c r="AV199" s="83" t="str">
        <f>HYPERLINK("https://pbs.twimg.com/profile_images/1663227887837757440/XOjtFF4W_normal.jpg")</f>
        <v>https://pbs.twimg.com/profile_images/1663227887837757440/XOjtFF4W_normal.jpg</v>
      </c>
      <c r="AW199" s="81" t="s">
        <v>1046</v>
      </c>
      <c r="AX199" s="81" t="s">
        <v>1046</v>
      </c>
      <c r="AY199" s="77"/>
      <c r="AZ199" s="81" t="s">
        <v>1190</v>
      </c>
      <c r="BA199" s="81" t="s">
        <v>1190</v>
      </c>
      <c r="BB199" s="81" t="s">
        <v>1190</v>
      </c>
      <c r="BC199" s="81" t="s">
        <v>1046</v>
      </c>
      <c r="BD199" s="77">
        <v>24256031</v>
      </c>
      <c r="BE199" s="77"/>
      <c r="BF199" s="77"/>
      <c r="BG199" s="77"/>
      <c r="BH199" s="77"/>
      <c r="BI199" s="77"/>
      <c r="BJ199">
        <v>1</v>
      </c>
      <c r="BK199" s="76" t="str">
        <f>REPLACE(INDEX(GroupVertices[Group],MATCH(Edges[[#This Row],[Vertex 1]],GroupVertices[Vertex],0)),1,1,"")</f>
        <v>1</v>
      </c>
      <c r="BL199" s="76" t="str">
        <f>REPLACE(INDEX(GroupVertices[Group],MATCH(Edges[[#This Row],[Vertex 2]],GroupVertices[Vertex],0)),1,1,"")</f>
        <v>1</v>
      </c>
      <c r="BM199" s="45"/>
      <c r="BN199" s="46"/>
      <c r="BO199" s="45"/>
      <c r="BP199" s="46"/>
      <c r="BQ199" s="45"/>
      <c r="BR199" s="46"/>
      <c r="BS199" s="45"/>
      <c r="BT199" s="46"/>
      <c r="BU199" s="45"/>
    </row>
    <row r="200" spans="1:73" ht="15">
      <c r="A200" s="61" t="s">
        <v>229</v>
      </c>
      <c r="B200" s="61" t="s">
        <v>334</v>
      </c>
      <c r="C200" s="62" t="s">
        <v>11692</v>
      </c>
      <c r="D200" s="63">
        <v>3</v>
      </c>
      <c r="E200" s="64" t="s">
        <v>132</v>
      </c>
      <c r="F200" s="65">
        <v>32</v>
      </c>
      <c r="G200" s="62"/>
      <c r="H200" s="66"/>
      <c r="I200" s="67"/>
      <c r="J200" s="67"/>
      <c r="K200" s="31" t="s">
        <v>65</v>
      </c>
      <c r="L200" s="75">
        <v>200</v>
      </c>
      <c r="M200" s="75"/>
      <c r="N200" s="69"/>
      <c r="O200" s="77" t="s">
        <v>539</v>
      </c>
      <c r="P200" s="79">
        <v>45160.88125</v>
      </c>
      <c r="Q200" s="77" t="s">
        <v>565</v>
      </c>
      <c r="R200" s="77">
        <v>0</v>
      </c>
      <c r="S200" s="77">
        <v>4</v>
      </c>
      <c r="T200" s="77">
        <v>0</v>
      </c>
      <c r="U200" s="77">
        <v>0</v>
      </c>
      <c r="V200" s="77">
        <v>97</v>
      </c>
      <c r="W200" s="81" t="s">
        <v>678</v>
      </c>
      <c r="X200" s="83" t="str">
        <f>HYPERLINK("https://bit.ly/3YIJPKw")</f>
        <v>https://bit.ly/3YIJPKw</v>
      </c>
      <c r="Y200" s="77" t="s">
        <v>740</v>
      </c>
      <c r="Z200" s="77" t="s">
        <v>763</v>
      </c>
      <c r="AA200" s="77"/>
      <c r="AB200" s="77"/>
      <c r="AC200" s="81" t="s">
        <v>853</v>
      </c>
      <c r="AD200" s="77" t="s">
        <v>859</v>
      </c>
      <c r="AE200" s="83" t="str">
        <f>HYPERLINK("https://twitter.com/mihkal/status/1694094340023259162")</f>
        <v>https://twitter.com/mihkal/status/1694094340023259162</v>
      </c>
      <c r="AF200" s="79">
        <v>45160.88125</v>
      </c>
      <c r="AG200" s="85">
        <v>45160</v>
      </c>
      <c r="AH200" s="81" t="s">
        <v>892</v>
      </c>
      <c r="AI200" s="77" t="b">
        <v>0</v>
      </c>
      <c r="AJ200" s="77"/>
      <c r="AK200" s="77"/>
      <c r="AL200" s="77"/>
      <c r="AM200" s="77"/>
      <c r="AN200" s="77"/>
      <c r="AO200" s="77"/>
      <c r="AP200" s="77"/>
      <c r="AQ200" s="77"/>
      <c r="AR200" s="77"/>
      <c r="AS200" s="77"/>
      <c r="AT200" s="77"/>
      <c r="AU200" s="77"/>
      <c r="AV200" s="83" t="str">
        <f>HYPERLINK("https://pbs.twimg.com/profile_images/1663227887837757440/XOjtFF4W_normal.jpg")</f>
        <v>https://pbs.twimg.com/profile_images/1663227887837757440/XOjtFF4W_normal.jpg</v>
      </c>
      <c r="AW200" s="81" t="s">
        <v>1047</v>
      </c>
      <c r="AX200" s="81" t="s">
        <v>1047</v>
      </c>
      <c r="AY200" s="77"/>
      <c r="AZ200" s="81" t="s">
        <v>1190</v>
      </c>
      <c r="BA200" s="81" t="s">
        <v>1190</v>
      </c>
      <c r="BB200" s="81" t="s">
        <v>1190</v>
      </c>
      <c r="BC200" s="81" t="s">
        <v>1047</v>
      </c>
      <c r="BD200" s="77">
        <v>24256031</v>
      </c>
      <c r="BE200" s="77"/>
      <c r="BF200" s="77"/>
      <c r="BG200" s="77"/>
      <c r="BH200" s="77"/>
      <c r="BI200" s="77"/>
      <c r="BJ200">
        <v>1</v>
      </c>
      <c r="BK200" s="76" t="str">
        <f>REPLACE(INDEX(GroupVertices[Group],MATCH(Edges[[#This Row],[Vertex 1]],GroupVertices[Vertex],0)),1,1,"")</f>
        <v>1</v>
      </c>
      <c r="BL200" s="76" t="str">
        <f>REPLACE(INDEX(GroupVertices[Group],MATCH(Edges[[#This Row],[Vertex 2]],GroupVertices[Vertex],0)),1,1,"")</f>
        <v>1</v>
      </c>
      <c r="BM200" s="45"/>
      <c r="BN200" s="46"/>
      <c r="BO200" s="45"/>
      <c r="BP200" s="46"/>
      <c r="BQ200" s="45"/>
      <c r="BR200" s="46"/>
      <c r="BS200" s="45"/>
      <c r="BT200" s="46"/>
      <c r="BU200" s="45"/>
    </row>
    <row r="201" spans="1:73" ht="15">
      <c r="A201" s="61" t="s">
        <v>229</v>
      </c>
      <c r="B201" s="61" t="s">
        <v>335</v>
      </c>
      <c r="C201" s="62" t="s">
        <v>11692</v>
      </c>
      <c r="D201" s="63">
        <v>3</v>
      </c>
      <c r="E201" s="64" t="s">
        <v>132</v>
      </c>
      <c r="F201" s="65">
        <v>32</v>
      </c>
      <c r="G201" s="62"/>
      <c r="H201" s="66"/>
      <c r="I201" s="67"/>
      <c r="J201" s="67"/>
      <c r="K201" s="31" t="s">
        <v>65</v>
      </c>
      <c r="L201" s="75">
        <v>201</v>
      </c>
      <c r="M201" s="75"/>
      <c r="N201" s="69"/>
      <c r="O201" s="77" t="s">
        <v>539</v>
      </c>
      <c r="P201" s="79">
        <v>45160.88125</v>
      </c>
      <c r="Q201" s="77" t="s">
        <v>565</v>
      </c>
      <c r="R201" s="77">
        <v>0</v>
      </c>
      <c r="S201" s="77">
        <v>4</v>
      </c>
      <c r="T201" s="77">
        <v>0</v>
      </c>
      <c r="U201" s="77">
        <v>0</v>
      </c>
      <c r="V201" s="77">
        <v>97</v>
      </c>
      <c r="W201" s="81" t="s">
        <v>678</v>
      </c>
      <c r="X201" s="83" t="str">
        <f>HYPERLINK("https://bit.ly/3YIJPKw")</f>
        <v>https://bit.ly/3YIJPKw</v>
      </c>
      <c r="Y201" s="77" t="s">
        <v>740</v>
      </c>
      <c r="Z201" s="77" t="s">
        <v>763</v>
      </c>
      <c r="AA201" s="77"/>
      <c r="AB201" s="77"/>
      <c r="AC201" s="81" t="s">
        <v>853</v>
      </c>
      <c r="AD201" s="77" t="s">
        <v>859</v>
      </c>
      <c r="AE201" s="83" t="str">
        <f>HYPERLINK("https://twitter.com/mihkal/status/1694094340023259162")</f>
        <v>https://twitter.com/mihkal/status/1694094340023259162</v>
      </c>
      <c r="AF201" s="79">
        <v>45160.88125</v>
      </c>
      <c r="AG201" s="85">
        <v>45160</v>
      </c>
      <c r="AH201" s="81" t="s">
        <v>892</v>
      </c>
      <c r="AI201" s="77" t="b">
        <v>0</v>
      </c>
      <c r="AJ201" s="77"/>
      <c r="AK201" s="77"/>
      <c r="AL201" s="77"/>
      <c r="AM201" s="77"/>
      <c r="AN201" s="77"/>
      <c r="AO201" s="77"/>
      <c r="AP201" s="77"/>
      <c r="AQ201" s="77"/>
      <c r="AR201" s="77"/>
      <c r="AS201" s="77"/>
      <c r="AT201" s="77"/>
      <c r="AU201" s="77"/>
      <c r="AV201" s="83" t="str">
        <f>HYPERLINK("https://pbs.twimg.com/profile_images/1663227887837757440/XOjtFF4W_normal.jpg")</f>
        <v>https://pbs.twimg.com/profile_images/1663227887837757440/XOjtFF4W_normal.jpg</v>
      </c>
      <c r="AW201" s="81" t="s">
        <v>1047</v>
      </c>
      <c r="AX201" s="81" t="s">
        <v>1047</v>
      </c>
      <c r="AY201" s="77"/>
      <c r="AZ201" s="81" t="s">
        <v>1190</v>
      </c>
      <c r="BA201" s="81" t="s">
        <v>1190</v>
      </c>
      <c r="BB201" s="81" t="s">
        <v>1190</v>
      </c>
      <c r="BC201" s="81" t="s">
        <v>1047</v>
      </c>
      <c r="BD201" s="77">
        <v>24256031</v>
      </c>
      <c r="BE201" s="77"/>
      <c r="BF201" s="77"/>
      <c r="BG201" s="77"/>
      <c r="BH201" s="77"/>
      <c r="BI201" s="77"/>
      <c r="BJ201">
        <v>1</v>
      </c>
      <c r="BK201" s="76" t="str">
        <f>REPLACE(INDEX(GroupVertices[Group],MATCH(Edges[[#This Row],[Vertex 1]],GroupVertices[Vertex],0)),1,1,"")</f>
        <v>1</v>
      </c>
      <c r="BL201" s="76" t="str">
        <f>REPLACE(INDEX(GroupVertices[Group],MATCH(Edges[[#This Row],[Vertex 2]],GroupVertices[Vertex],0)),1,1,"")</f>
        <v>1</v>
      </c>
      <c r="BM201" s="45"/>
      <c r="BN201" s="46"/>
      <c r="BO201" s="45"/>
      <c r="BP201" s="46"/>
      <c r="BQ201" s="45"/>
      <c r="BR201" s="46"/>
      <c r="BS201" s="45"/>
      <c r="BT201" s="46"/>
      <c r="BU201" s="45"/>
    </row>
    <row r="202" spans="1:73" ht="15">
      <c r="A202" s="61" t="s">
        <v>229</v>
      </c>
      <c r="B202" s="61" t="s">
        <v>336</v>
      </c>
      <c r="C202" s="62" t="s">
        <v>11692</v>
      </c>
      <c r="D202" s="63">
        <v>3</v>
      </c>
      <c r="E202" s="64" t="s">
        <v>132</v>
      </c>
      <c r="F202" s="65">
        <v>32</v>
      </c>
      <c r="G202" s="62"/>
      <c r="H202" s="66"/>
      <c r="I202" s="67"/>
      <c r="J202" s="67"/>
      <c r="K202" s="31" t="s">
        <v>65</v>
      </c>
      <c r="L202" s="75">
        <v>202</v>
      </c>
      <c r="M202" s="75"/>
      <c r="N202" s="69"/>
      <c r="O202" s="77" t="s">
        <v>539</v>
      </c>
      <c r="P202" s="79">
        <v>45160.88125</v>
      </c>
      <c r="Q202" s="77" t="s">
        <v>565</v>
      </c>
      <c r="R202" s="77">
        <v>0</v>
      </c>
      <c r="S202" s="77">
        <v>4</v>
      </c>
      <c r="T202" s="77">
        <v>0</v>
      </c>
      <c r="U202" s="77">
        <v>0</v>
      </c>
      <c r="V202" s="77">
        <v>97</v>
      </c>
      <c r="W202" s="81" t="s">
        <v>678</v>
      </c>
      <c r="X202" s="83" t="str">
        <f>HYPERLINK("https://bit.ly/3YIJPKw")</f>
        <v>https://bit.ly/3YIJPKw</v>
      </c>
      <c r="Y202" s="77" t="s">
        <v>740</v>
      </c>
      <c r="Z202" s="77" t="s">
        <v>763</v>
      </c>
      <c r="AA202" s="77"/>
      <c r="AB202" s="77"/>
      <c r="AC202" s="81" t="s">
        <v>853</v>
      </c>
      <c r="AD202" s="77" t="s">
        <v>859</v>
      </c>
      <c r="AE202" s="83" t="str">
        <f>HYPERLINK("https://twitter.com/mihkal/status/1694094340023259162")</f>
        <v>https://twitter.com/mihkal/status/1694094340023259162</v>
      </c>
      <c r="AF202" s="79">
        <v>45160.88125</v>
      </c>
      <c r="AG202" s="85">
        <v>45160</v>
      </c>
      <c r="AH202" s="81" t="s">
        <v>892</v>
      </c>
      <c r="AI202" s="77" t="b">
        <v>0</v>
      </c>
      <c r="AJ202" s="77"/>
      <c r="AK202" s="77"/>
      <c r="AL202" s="77"/>
      <c r="AM202" s="77"/>
      <c r="AN202" s="77"/>
      <c r="AO202" s="77"/>
      <c r="AP202" s="77"/>
      <c r="AQ202" s="77"/>
      <c r="AR202" s="77"/>
      <c r="AS202" s="77"/>
      <c r="AT202" s="77"/>
      <c r="AU202" s="77"/>
      <c r="AV202" s="83" t="str">
        <f>HYPERLINK("https://pbs.twimg.com/profile_images/1663227887837757440/XOjtFF4W_normal.jpg")</f>
        <v>https://pbs.twimg.com/profile_images/1663227887837757440/XOjtFF4W_normal.jpg</v>
      </c>
      <c r="AW202" s="81" t="s">
        <v>1047</v>
      </c>
      <c r="AX202" s="81" t="s">
        <v>1047</v>
      </c>
      <c r="AY202" s="77"/>
      <c r="AZ202" s="81" t="s">
        <v>1190</v>
      </c>
      <c r="BA202" s="81" t="s">
        <v>1190</v>
      </c>
      <c r="BB202" s="81" t="s">
        <v>1190</v>
      </c>
      <c r="BC202" s="81" t="s">
        <v>1047</v>
      </c>
      <c r="BD202" s="77">
        <v>24256031</v>
      </c>
      <c r="BE202" s="77"/>
      <c r="BF202" s="77"/>
      <c r="BG202" s="77"/>
      <c r="BH202" s="77"/>
      <c r="BI202" s="77"/>
      <c r="BJ202">
        <v>1</v>
      </c>
      <c r="BK202" s="76" t="str">
        <f>REPLACE(INDEX(GroupVertices[Group],MATCH(Edges[[#This Row],[Vertex 1]],GroupVertices[Vertex],0)),1,1,"")</f>
        <v>1</v>
      </c>
      <c r="BL202" s="76" t="str">
        <f>REPLACE(INDEX(GroupVertices[Group],MATCH(Edges[[#This Row],[Vertex 2]],GroupVertices[Vertex],0)),1,1,"")</f>
        <v>1</v>
      </c>
      <c r="BM202" s="45"/>
      <c r="BN202" s="46"/>
      <c r="BO202" s="45"/>
      <c r="BP202" s="46"/>
      <c r="BQ202" s="45"/>
      <c r="BR202" s="46"/>
      <c r="BS202" s="45"/>
      <c r="BT202" s="46"/>
      <c r="BU202" s="45"/>
    </row>
    <row r="203" spans="1:73" ht="15">
      <c r="A203" s="61" t="s">
        <v>229</v>
      </c>
      <c r="B203" s="61" t="s">
        <v>337</v>
      </c>
      <c r="C203" s="62" t="s">
        <v>11692</v>
      </c>
      <c r="D203" s="63">
        <v>3</v>
      </c>
      <c r="E203" s="64" t="s">
        <v>132</v>
      </c>
      <c r="F203" s="65">
        <v>32</v>
      </c>
      <c r="G203" s="62"/>
      <c r="H203" s="66"/>
      <c r="I203" s="67"/>
      <c r="J203" s="67"/>
      <c r="K203" s="31" t="s">
        <v>65</v>
      </c>
      <c r="L203" s="75">
        <v>203</v>
      </c>
      <c r="M203" s="75"/>
      <c r="N203" s="69"/>
      <c r="O203" s="77" t="s">
        <v>539</v>
      </c>
      <c r="P203" s="79">
        <v>45160.88125</v>
      </c>
      <c r="Q203" s="77" t="s">
        <v>565</v>
      </c>
      <c r="R203" s="77">
        <v>0</v>
      </c>
      <c r="S203" s="77">
        <v>4</v>
      </c>
      <c r="T203" s="77">
        <v>0</v>
      </c>
      <c r="U203" s="77">
        <v>0</v>
      </c>
      <c r="V203" s="77">
        <v>97</v>
      </c>
      <c r="W203" s="81" t="s">
        <v>678</v>
      </c>
      <c r="X203" s="83" t="str">
        <f>HYPERLINK("https://bit.ly/3YIJPKw")</f>
        <v>https://bit.ly/3YIJPKw</v>
      </c>
      <c r="Y203" s="77" t="s">
        <v>740</v>
      </c>
      <c r="Z203" s="77" t="s">
        <v>763</v>
      </c>
      <c r="AA203" s="77"/>
      <c r="AB203" s="77"/>
      <c r="AC203" s="81" t="s">
        <v>853</v>
      </c>
      <c r="AD203" s="77" t="s">
        <v>859</v>
      </c>
      <c r="AE203" s="83" t="str">
        <f>HYPERLINK("https://twitter.com/mihkal/status/1694094340023259162")</f>
        <v>https://twitter.com/mihkal/status/1694094340023259162</v>
      </c>
      <c r="AF203" s="79">
        <v>45160.88125</v>
      </c>
      <c r="AG203" s="85">
        <v>45160</v>
      </c>
      <c r="AH203" s="81" t="s">
        <v>892</v>
      </c>
      <c r="AI203" s="77" t="b">
        <v>0</v>
      </c>
      <c r="AJ203" s="77"/>
      <c r="AK203" s="77"/>
      <c r="AL203" s="77"/>
      <c r="AM203" s="77"/>
      <c r="AN203" s="77"/>
      <c r="AO203" s="77"/>
      <c r="AP203" s="77"/>
      <c r="AQ203" s="77"/>
      <c r="AR203" s="77"/>
      <c r="AS203" s="77"/>
      <c r="AT203" s="77"/>
      <c r="AU203" s="77"/>
      <c r="AV203" s="83" t="str">
        <f>HYPERLINK("https://pbs.twimg.com/profile_images/1663227887837757440/XOjtFF4W_normal.jpg")</f>
        <v>https://pbs.twimg.com/profile_images/1663227887837757440/XOjtFF4W_normal.jpg</v>
      </c>
      <c r="AW203" s="81" t="s">
        <v>1047</v>
      </c>
      <c r="AX203" s="81" t="s">
        <v>1047</v>
      </c>
      <c r="AY203" s="77"/>
      <c r="AZ203" s="81" t="s">
        <v>1190</v>
      </c>
      <c r="BA203" s="81" t="s">
        <v>1190</v>
      </c>
      <c r="BB203" s="81" t="s">
        <v>1190</v>
      </c>
      <c r="BC203" s="81" t="s">
        <v>1047</v>
      </c>
      <c r="BD203" s="77">
        <v>24256031</v>
      </c>
      <c r="BE203" s="77"/>
      <c r="BF203" s="77"/>
      <c r="BG203" s="77"/>
      <c r="BH203" s="77"/>
      <c r="BI203" s="77"/>
      <c r="BJ203">
        <v>1</v>
      </c>
      <c r="BK203" s="76" t="str">
        <f>REPLACE(INDEX(GroupVertices[Group],MATCH(Edges[[#This Row],[Vertex 1]],GroupVertices[Vertex],0)),1,1,"")</f>
        <v>1</v>
      </c>
      <c r="BL203" s="76" t="str">
        <f>REPLACE(INDEX(GroupVertices[Group],MATCH(Edges[[#This Row],[Vertex 2]],GroupVertices[Vertex],0)),1,1,"")</f>
        <v>1</v>
      </c>
      <c r="BM203" s="45"/>
      <c r="BN203" s="46"/>
      <c r="BO203" s="45"/>
      <c r="BP203" s="46"/>
      <c r="BQ203" s="45"/>
      <c r="BR203" s="46"/>
      <c r="BS203" s="45"/>
      <c r="BT203" s="46"/>
      <c r="BU203" s="45"/>
    </row>
    <row r="204" spans="1:73" ht="15">
      <c r="A204" s="61" t="s">
        <v>229</v>
      </c>
      <c r="B204" s="61" t="s">
        <v>338</v>
      </c>
      <c r="C204" s="62" t="s">
        <v>11692</v>
      </c>
      <c r="D204" s="63">
        <v>3</v>
      </c>
      <c r="E204" s="64" t="s">
        <v>132</v>
      </c>
      <c r="F204" s="65">
        <v>32</v>
      </c>
      <c r="G204" s="62"/>
      <c r="H204" s="66"/>
      <c r="I204" s="67"/>
      <c r="J204" s="67"/>
      <c r="K204" s="31" t="s">
        <v>65</v>
      </c>
      <c r="L204" s="75">
        <v>204</v>
      </c>
      <c r="M204" s="75"/>
      <c r="N204" s="69"/>
      <c r="O204" s="77" t="s">
        <v>539</v>
      </c>
      <c r="P204" s="79">
        <v>45160.88125</v>
      </c>
      <c r="Q204" s="77" t="s">
        <v>565</v>
      </c>
      <c r="R204" s="77">
        <v>0</v>
      </c>
      <c r="S204" s="77">
        <v>4</v>
      </c>
      <c r="T204" s="77">
        <v>0</v>
      </c>
      <c r="U204" s="77">
        <v>0</v>
      </c>
      <c r="V204" s="77">
        <v>97</v>
      </c>
      <c r="W204" s="81" t="s">
        <v>678</v>
      </c>
      <c r="X204" s="83" t="str">
        <f>HYPERLINK("https://bit.ly/3YIJPKw")</f>
        <v>https://bit.ly/3YIJPKw</v>
      </c>
      <c r="Y204" s="77" t="s">
        <v>740</v>
      </c>
      <c r="Z204" s="77" t="s">
        <v>763</v>
      </c>
      <c r="AA204" s="77"/>
      <c r="AB204" s="77"/>
      <c r="AC204" s="81" t="s">
        <v>853</v>
      </c>
      <c r="AD204" s="77" t="s">
        <v>859</v>
      </c>
      <c r="AE204" s="83" t="str">
        <f>HYPERLINK("https://twitter.com/mihkal/status/1694094340023259162")</f>
        <v>https://twitter.com/mihkal/status/1694094340023259162</v>
      </c>
      <c r="AF204" s="79">
        <v>45160.88125</v>
      </c>
      <c r="AG204" s="85">
        <v>45160</v>
      </c>
      <c r="AH204" s="81" t="s">
        <v>892</v>
      </c>
      <c r="AI204" s="77" t="b">
        <v>0</v>
      </c>
      <c r="AJ204" s="77"/>
      <c r="AK204" s="77"/>
      <c r="AL204" s="77"/>
      <c r="AM204" s="77"/>
      <c r="AN204" s="77"/>
      <c r="AO204" s="77"/>
      <c r="AP204" s="77"/>
      <c r="AQ204" s="77"/>
      <c r="AR204" s="77"/>
      <c r="AS204" s="77"/>
      <c r="AT204" s="77"/>
      <c r="AU204" s="77"/>
      <c r="AV204" s="83" t="str">
        <f>HYPERLINK("https://pbs.twimg.com/profile_images/1663227887837757440/XOjtFF4W_normal.jpg")</f>
        <v>https://pbs.twimg.com/profile_images/1663227887837757440/XOjtFF4W_normal.jpg</v>
      </c>
      <c r="AW204" s="81" t="s">
        <v>1047</v>
      </c>
      <c r="AX204" s="81" t="s">
        <v>1047</v>
      </c>
      <c r="AY204" s="77"/>
      <c r="AZ204" s="81" t="s">
        <v>1190</v>
      </c>
      <c r="BA204" s="81" t="s">
        <v>1190</v>
      </c>
      <c r="BB204" s="81" t="s">
        <v>1190</v>
      </c>
      <c r="BC204" s="81" t="s">
        <v>1047</v>
      </c>
      <c r="BD204" s="77">
        <v>24256031</v>
      </c>
      <c r="BE204" s="77"/>
      <c r="BF204" s="77"/>
      <c r="BG204" s="77"/>
      <c r="BH204" s="77"/>
      <c r="BI204" s="77"/>
      <c r="BJ204">
        <v>1</v>
      </c>
      <c r="BK204" s="76" t="str">
        <f>REPLACE(INDEX(GroupVertices[Group],MATCH(Edges[[#This Row],[Vertex 1]],GroupVertices[Vertex],0)),1,1,"")</f>
        <v>1</v>
      </c>
      <c r="BL204" s="76" t="str">
        <f>REPLACE(INDEX(GroupVertices[Group],MATCH(Edges[[#This Row],[Vertex 2]],GroupVertices[Vertex],0)),1,1,"")</f>
        <v>1</v>
      </c>
      <c r="BM204" s="45"/>
      <c r="BN204" s="46"/>
      <c r="BO204" s="45"/>
      <c r="BP204" s="46"/>
      <c r="BQ204" s="45"/>
      <c r="BR204" s="46"/>
      <c r="BS204" s="45"/>
      <c r="BT204" s="46"/>
      <c r="BU204" s="45"/>
    </row>
    <row r="205" spans="1:73" ht="15">
      <c r="A205" s="61" t="s">
        <v>229</v>
      </c>
      <c r="B205" s="61" t="s">
        <v>339</v>
      </c>
      <c r="C205" s="62" t="s">
        <v>11692</v>
      </c>
      <c r="D205" s="63">
        <v>3</v>
      </c>
      <c r="E205" s="64" t="s">
        <v>132</v>
      </c>
      <c r="F205" s="65">
        <v>32</v>
      </c>
      <c r="G205" s="62"/>
      <c r="H205" s="66"/>
      <c r="I205" s="67"/>
      <c r="J205" s="67"/>
      <c r="K205" s="31" t="s">
        <v>65</v>
      </c>
      <c r="L205" s="75">
        <v>205</v>
      </c>
      <c r="M205" s="75"/>
      <c r="N205" s="69"/>
      <c r="O205" s="77" t="s">
        <v>539</v>
      </c>
      <c r="P205" s="79">
        <v>45160.88125</v>
      </c>
      <c r="Q205" s="77" t="s">
        <v>565</v>
      </c>
      <c r="R205" s="77">
        <v>0</v>
      </c>
      <c r="S205" s="77">
        <v>4</v>
      </c>
      <c r="T205" s="77">
        <v>0</v>
      </c>
      <c r="U205" s="77">
        <v>0</v>
      </c>
      <c r="V205" s="77">
        <v>97</v>
      </c>
      <c r="W205" s="81" t="s">
        <v>678</v>
      </c>
      <c r="X205" s="83" t="str">
        <f>HYPERLINK("https://bit.ly/3YIJPKw")</f>
        <v>https://bit.ly/3YIJPKw</v>
      </c>
      <c r="Y205" s="77" t="s">
        <v>740</v>
      </c>
      <c r="Z205" s="77" t="s">
        <v>763</v>
      </c>
      <c r="AA205" s="77"/>
      <c r="AB205" s="77"/>
      <c r="AC205" s="81" t="s">
        <v>853</v>
      </c>
      <c r="AD205" s="77" t="s">
        <v>859</v>
      </c>
      <c r="AE205" s="83" t="str">
        <f>HYPERLINK("https://twitter.com/mihkal/status/1694094340023259162")</f>
        <v>https://twitter.com/mihkal/status/1694094340023259162</v>
      </c>
      <c r="AF205" s="79">
        <v>45160.88125</v>
      </c>
      <c r="AG205" s="85">
        <v>45160</v>
      </c>
      <c r="AH205" s="81" t="s">
        <v>892</v>
      </c>
      <c r="AI205" s="77" t="b">
        <v>0</v>
      </c>
      <c r="AJ205" s="77"/>
      <c r="AK205" s="77"/>
      <c r="AL205" s="77"/>
      <c r="AM205" s="77"/>
      <c r="AN205" s="77"/>
      <c r="AO205" s="77"/>
      <c r="AP205" s="77"/>
      <c r="AQ205" s="77"/>
      <c r="AR205" s="77"/>
      <c r="AS205" s="77"/>
      <c r="AT205" s="77"/>
      <c r="AU205" s="77"/>
      <c r="AV205" s="83" t="str">
        <f>HYPERLINK("https://pbs.twimg.com/profile_images/1663227887837757440/XOjtFF4W_normal.jpg")</f>
        <v>https://pbs.twimg.com/profile_images/1663227887837757440/XOjtFF4W_normal.jpg</v>
      </c>
      <c r="AW205" s="81" t="s">
        <v>1047</v>
      </c>
      <c r="AX205" s="81" t="s">
        <v>1047</v>
      </c>
      <c r="AY205" s="77"/>
      <c r="AZ205" s="81" t="s">
        <v>1190</v>
      </c>
      <c r="BA205" s="81" t="s">
        <v>1190</v>
      </c>
      <c r="BB205" s="81" t="s">
        <v>1190</v>
      </c>
      <c r="BC205" s="81" t="s">
        <v>1047</v>
      </c>
      <c r="BD205" s="77">
        <v>24256031</v>
      </c>
      <c r="BE205" s="77"/>
      <c r="BF205" s="77"/>
      <c r="BG205" s="77"/>
      <c r="BH205" s="77"/>
      <c r="BI205" s="77"/>
      <c r="BJ205">
        <v>1</v>
      </c>
      <c r="BK205" s="76" t="str">
        <f>REPLACE(INDEX(GroupVertices[Group],MATCH(Edges[[#This Row],[Vertex 1]],GroupVertices[Vertex],0)),1,1,"")</f>
        <v>1</v>
      </c>
      <c r="BL205" s="76" t="str">
        <f>REPLACE(INDEX(GroupVertices[Group],MATCH(Edges[[#This Row],[Vertex 2]],GroupVertices[Vertex],0)),1,1,"")</f>
        <v>1</v>
      </c>
      <c r="BM205" s="45"/>
      <c r="BN205" s="46"/>
      <c r="BO205" s="45"/>
      <c r="BP205" s="46"/>
      <c r="BQ205" s="45"/>
      <c r="BR205" s="46"/>
      <c r="BS205" s="45"/>
      <c r="BT205" s="46"/>
      <c r="BU205" s="45"/>
    </row>
    <row r="206" spans="1:73" ht="15">
      <c r="A206" s="61" t="s">
        <v>229</v>
      </c>
      <c r="B206" s="61" t="s">
        <v>340</v>
      </c>
      <c r="C206" s="62" t="s">
        <v>11692</v>
      </c>
      <c r="D206" s="63">
        <v>3</v>
      </c>
      <c r="E206" s="64" t="s">
        <v>132</v>
      </c>
      <c r="F206" s="65">
        <v>32</v>
      </c>
      <c r="G206" s="62"/>
      <c r="H206" s="66"/>
      <c r="I206" s="67"/>
      <c r="J206" s="67"/>
      <c r="K206" s="31" t="s">
        <v>65</v>
      </c>
      <c r="L206" s="75">
        <v>206</v>
      </c>
      <c r="M206" s="75"/>
      <c r="N206" s="69"/>
      <c r="O206" s="77" t="s">
        <v>539</v>
      </c>
      <c r="P206" s="79">
        <v>45163.71129629629</v>
      </c>
      <c r="Q206" s="77" t="s">
        <v>566</v>
      </c>
      <c r="R206" s="77">
        <v>0</v>
      </c>
      <c r="S206" s="77">
        <v>6</v>
      </c>
      <c r="T206" s="77">
        <v>1</v>
      </c>
      <c r="U206" s="77">
        <v>0</v>
      </c>
      <c r="V206" s="77">
        <v>122</v>
      </c>
      <c r="W206" s="81" t="s">
        <v>679</v>
      </c>
      <c r="X206" s="83" t="str">
        <f>HYPERLINK("https://bit.ly/44lcKFG")</f>
        <v>https://bit.ly/44lcKFG</v>
      </c>
      <c r="Y206" s="77" t="s">
        <v>740</v>
      </c>
      <c r="Z206" s="77" t="s">
        <v>764</v>
      </c>
      <c r="AA206" s="77"/>
      <c r="AB206" s="77"/>
      <c r="AC206" s="81" t="s">
        <v>853</v>
      </c>
      <c r="AD206" s="77" t="s">
        <v>859</v>
      </c>
      <c r="AE206" s="83" t="str">
        <f>HYPERLINK("https://twitter.com/mihkal/status/1695119915429085633")</f>
        <v>https://twitter.com/mihkal/status/1695119915429085633</v>
      </c>
      <c r="AF206" s="79">
        <v>45163.71129629629</v>
      </c>
      <c r="AG206" s="85">
        <v>45163</v>
      </c>
      <c r="AH206" s="81" t="s">
        <v>893</v>
      </c>
      <c r="AI206" s="77" t="b">
        <v>0</v>
      </c>
      <c r="AJ206" s="77"/>
      <c r="AK206" s="77"/>
      <c r="AL206" s="77"/>
      <c r="AM206" s="77"/>
      <c r="AN206" s="77"/>
      <c r="AO206" s="77"/>
      <c r="AP206" s="77"/>
      <c r="AQ206" s="77"/>
      <c r="AR206" s="77"/>
      <c r="AS206" s="77"/>
      <c r="AT206" s="77"/>
      <c r="AU206" s="77"/>
      <c r="AV206" s="83" t="str">
        <f>HYPERLINK("https://pbs.twimg.com/profile_images/1663227887837757440/XOjtFF4W_normal.jpg")</f>
        <v>https://pbs.twimg.com/profile_images/1663227887837757440/XOjtFF4W_normal.jpg</v>
      </c>
      <c r="AW206" s="81" t="s">
        <v>1048</v>
      </c>
      <c r="AX206" s="81" t="s">
        <v>1048</v>
      </c>
      <c r="AY206" s="77"/>
      <c r="AZ206" s="81" t="s">
        <v>1190</v>
      </c>
      <c r="BA206" s="81" t="s">
        <v>1190</v>
      </c>
      <c r="BB206" s="81" t="s">
        <v>1190</v>
      </c>
      <c r="BC206" s="81" t="s">
        <v>1048</v>
      </c>
      <c r="BD206" s="77">
        <v>24256031</v>
      </c>
      <c r="BE206" s="77"/>
      <c r="BF206" s="77"/>
      <c r="BG206" s="77"/>
      <c r="BH206" s="77"/>
      <c r="BI206" s="77"/>
      <c r="BJ206">
        <v>1</v>
      </c>
      <c r="BK206" s="76" t="str">
        <f>REPLACE(INDEX(GroupVertices[Group],MATCH(Edges[[#This Row],[Vertex 1]],GroupVertices[Vertex],0)),1,1,"")</f>
        <v>1</v>
      </c>
      <c r="BL206" s="76" t="str">
        <f>REPLACE(INDEX(GroupVertices[Group],MATCH(Edges[[#This Row],[Vertex 2]],GroupVertices[Vertex],0)),1,1,"")</f>
        <v>1</v>
      </c>
      <c r="BM206" s="45"/>
      <c r="BN206" s="46"/>
      <c r="BO206" s="45"/>
      <c r="BP206" s="46"/>
      <c r="BQ206" s="45"/>
      <c r="BR206" s="46"/>
      <c r="BS206" s="45"/>
      <c r="BT206" s="46"/>
      <c r="BU206" s="45"/>
    </row>
    <row r="207" spans="1:73" ht="15">
      <c r="A207" s="61" t="s">
        <v>229</v>
      </c>
      <c r="B207" s="61" t="s">
        <v>341</v>
      </c>
      <c r="C207" s="62" t="s">
        <v>11692</v>
      </c>
      <c r="D207" s="63">
        <v>3</v>
      </c>
      <c r="E207" s="64" t="s">
        <v>132</v>
      </c>
      <c r="F207" s="65">
        <v>32</v>
      </c>
      <c r="G207" s="62"/>
      <c r="H207" s="66"/>
      <c r="I207" s="67"/>
      <c r="J207" s="67"/>
      <c r="K207" s="31" t="s">
        <v>65</v>
      </c>
      <c r="L207" s="75">
        <v>207</v>
      </c>
      <c r="M207" s="75"/>
      <c r="N207" s="69"/>
      <c r="O207" s="77" t="s">
        <v>539</v>
      </c>
      <c r="P207" s="79">
        <v>45163.71129629629</v>
      </c>
      <c r="Q207" s="77" t="s">
        <v>566</v>
      </c>
      <c r="R207" s="77">
        <v>0</v>
      </c>
      <c r="S207" s="77">
        <v>6</v>
      </c>
      <c r="T207" s="77">
        <v>1</v>
      </c>
      <c r="U207" s="77">
        <v>0</v>
      </c>
      <c r="V207" s="77">
        <v>122</v>
      </c>
      <c r="W207" s="81" t="s">
        <v>679</v>
      </c>
      <c r="X207" s="83" t="str">
        <f>HYPERLINK("https://bit.ly/44lcKFG")</f>
        <v>https://bit.ly/44lcKFG</v>
      </c>
      <c r="Y207" s="77" t="s">
        <v>740</v>
      </c>
      <c r="Z207" s="77" t="s">
        <v>764</v>
      </c>
      <c r="AA207" s="77"/>
      <c r="AB207" s="77"/>
      <c r="AC207" s="81" t="s">
        <v>853</v>
      </c>
      <c r="AD207" s="77" t="s">
        <v>859</v>
      </c>
      <c r="AE207" s="83" t="str">
        <f>HYPERLINK("https://twitter.com/mihkal/status/1695119915429085633")</f>
        <v>https://twitter.com/mihkal/status/1695119915429085633</v>
      </c>
      <c r="AF207" s="79">
        <v>45163.71129629629</v>
      </c>
      <c r="AG207" s="85">
        <v>45163</v>
      </c>
      <c r="AH207" s="81" t="s">
        <v>893</v>
      </c>
      <c r="AI207" s="77" t="b">
        <v>0</v>
      </c>
      <c r="AJ207" s="77"/>
      <c r="AK207" s="77"/>
      <c r="AL207" s="77"/>
      <c r="AM207" s="77"/>
      <c r="AN207" s="77"/>
      <c r="AO207" s="77"/>
      <c r="AP207" s="77"/>
      <c r="AQ207" s="77"/>
      <c r="AR207" s="77"/>
      <c r="AS207" s="77"/>
      <c r="AT207" s="77"/>
      <c r="AU207" s="77"/>
      <c r="AV207" s="83" t="str">
        <f>HYPERLINK("https://pbs.twimg.com/profile_images/1663227887837757440/XOjtFF4W_normal.jpg")</f>
        <v>https://pbs.twimg.com/profile_images/1663227887837757440/XOjtFF4W_normal.jpg</v>
      </c>
      <c r="AW207" s="81" t="s">
        <v>1048</v>
      </c>
      <c r="AX207" s="81" t="s">
        <v>1048</v>
      </c>
      <c r="AY207" s="77"/>
      <c r="AZ207" s="81" t="s">
        <v>1190</v>
      </c>
      <c r="BA207" s="81" t="s">
        <v>1190</v>
      </c>
      <c r="BB207" s="81" t="s">
        <v>1190</v>
      </c>
      <c r="BC207" s="81" t="s">
        <v>1048</v>
      </c>
      <c r="BD207" s="77">
        <v>24256031</v>
      </c>
      <c r="BE207" s="77"/>
      <c r="BF207" s="77"/>
      <c r="BG207" s="77"/>
      <c r="BH207" s="77"/>
      <c r="BI207" s="77"/>
      <c r="BJ207">
        <v>1</v>
      </c>
      <c r="BK207" s="76" t="str">
        <f>REPLACE(INDEX(GroupVertices[Group],MATCH(Edges[[#This Row],[Vertex 1]],GroupVertices[Vertex],0)),1,1,"")</f>
        <v>1</v>
      </c>
      <c r="BL207" s="76" t="str">
        <f>REPLACE(INDEX(GroupVertices[Group],MATCH(Edges[[#This Row],[Vertex 2]],GroupVertices[Vertex],0)),1,1,"")</f>
        <v>1</v>
      </c>
      <c r="BM207" s="45"/>
      <c r="BN207" s="46"/>
      <c r="BO207" s="45"/>
      <c r="BP207" s="46"/>
      <c r="BQ207" s="45"/>
      <c r="BR207" s="46"/>
      <c r="BS207" s="45"/>
      <c r="BT207" s="46"/>
      <c r="BU207" s="45"/>
    </row>
    <row r="208" spans="1:73" ht="15">
      <c r="A208" s="61" t="s">
        <v>229</v>
      </c>
      <c r="B208" s="61" t="s">
        <v>342</v>
      </c>
      <c r="C208" s="62" t="s">
        <v>11692</v>
      </c>
      <c r="D208" s="63">
        <v>3</v>
      </c>
      <c r="E208" s="64" t="s">
        <v>132</v>
      </c>
      <c r="F208" s="65">
        <v>32</v>
      </c>
      <c r="G208" s="62"/>
      <c r="H208" s="66"/>
      <c r="I208" s="67"/>
      <c r="J208" s="67"/>
      <c r="K208" s="31" t="s">
        <v>65</v>
      </c>
      <c r="L208" s="75">
        <v>208</v>
      </c>
      <c r="M208" s="75"/>
      <c r="N208" s="69"/>
      <c r="O208" s="77" t="s">
        <v>539</v>
      </c>
      <c r="P208" s="79">
        <v>45163.71129629629</v>
      </c>
      <c r="Q208" s="77" t="s">
        <v>566</v>
      </c>
      <c r="R208" s="77">
        <v>0</v>
      </c>
      <c r="S208" s="77">
        <v>6</v>
      </c>
      <c r="T208" s="77">
        <v>1</v>
      </c>
      <c r="U208" s="77">
        <v>0</v>
      </c>
      <c r="V208" s="77">
        <v>122</v>
      </c>
      <c r="W208" s="81" t="s">
        <v>679</v>
      </c>
      <c r="X208" s="83" t="str">
        <f>HYPERLINK("https://bit.ly/44lcKFG")</f>
        <v>https://bit.ly/44lcKFG</v>
      </c>
      <c r="Y208" s="77" t="s">
        <v>740</v>
      </c>
      <c r="Z208" s="77" t="s">
        <v>764</v>
      </c>
      <c r="AA208" s="77"/>
      <c r="AB208" s="77"/>
      <c r="AC208" s="81" t="s">
        <v>853</v>
      </c>
      <c r="AD208" s="77" t="s">
        <v>859</v>
      </c>
      <c r="AE208" s="83" t="str">
        <f>HYPERLINK("https://twitter.com/mihkal/status/1695119915429085633")</f>
        <v>https://twitter.com/mihkal/status/1695119915429085633</v>
      </c>
      <c r="AF208" s="79">
        <v>45163.71129629629</v>
      </c>
      <c r="AG208" s="85">
        <v>45163</v>
      </c>
      <c r="AH208" s="81" t="s">
        <v>893</v>
      </c>
      <c r="AI208" s="77" t="b">
        <v>0</v>
      </c>
      <c r="AJ208" s="77"/>
      <c r="AK208" s="77"/>
      <c r="AL208" s="77"/>
      <c r="AM208" s="77"/>
      <c r="AN208" s="77"/>
      <c r="AO208" s="77"/>
      <c r="AP208" s="77"/>
      <c r="AQ208" s="77"/>
      <c r="AR208" s="77"/>
      <c r="AS208" s="77"/>
      <c r="AT208" s="77"/>
      <c r="AU208" s="77"/>
      <c r="AV208" s="83" t="str">
        <f>HYPERLINK("https://pbs.twimg.com/profile_images/1663227887837757440/XOjtFF4W_normal.jpg")</f>
        <v>https://pbs.twimg.com/profile_images/1663227887837757440/XOjtFF4W_normal.jpg</v>
      </c>
      <c r="AW208" s="81" t="s">
        <v>1048</v>
      </c>
      <c r="AX208" s="81" t="s">
        <v>1048</v>
      </c>
      <c r="AY208" s="77"/>
      <c r="AZ208" s="81" t="s">
        <v>1190</v>
      </c>
      <c r="BA208" s="81" t="s">
        <v>1190</v>
      </c>
      <c r="BB208" s="81" t="s">
        <v>1190</v>
      </c>
      <c r="BC208" s="81" t="s">
        <v>1048</v>
      </c>
      <c r="BD208" s="77">
        <v>24256031</v>
      </c>
      <c r="BE208" s="77"/>
      <c r="BF208" s="77"/>
      <c r="BG208" s="77"/>
      <c r="BH208" s="77"/>
      <c r="BI208" s="77"/>
      <c r="BJ208">
        <v>1</v>
      </c>
      <c r="BK208" s="76" t="str">
        <f>REPLACE(INDEX(GroupVertices[Group],MATCH(Edges[[#This Row],[Vertex 1]],GroupVertices[Vertex],0)),1,1,"")</f>
        <v>1</v>
      </c>
      <c r="BL208" s="76" t="str">
        <f>REPLACE(INDEX(GroupVertices[Group],MATCH(Edges[[#This Row],[Vertex 2]],GroupVertices[Vertex],0)),1,1,"")</f>
        <v>1</v>
      </c>
      <c r="BM208" s="45"/>
      <c r="BN208" s="46"/>
      <c r="BO208" s="45"/>
      <c r="BP208" s="46"/>
      <c r="BQ208" s="45"/>
      <c r="BR208" s="46"/>
      <c r="BS208" s="45"/>
      <c r="BT208" s="46"/>
      <c r="BU208" s="45"/>
    </row>
    <row r="209" spans="1:73" ht="15">
      <c r="A209" s="61" t="s">
        <v>229</v>
      </c>
      <c r="B209" s="61" t="s">
        <v>343</v>
      </c>
      <c r="C209" s="62" t="s">
        <v>11692</v>
      </c>
      <c r="D209" s="63">
        <v>3</v>
      </c>
      <c r="E209" s="64" t="s">
        <v>132</v>
      </c>
      <c r="F209" s="65">
        <v>32</v>
      </c>
      <c r="G209" s="62"/>
      <c r="H209" s="66"/>
      <c r="I209" s="67"/>
      <c r="J209" s="67"/>
      <c r="K209" s="31" t="s">
        <v>65</v>
      </c>
      <c r="L209" s="75">
        <v>209</v>
      </c>
      <c r="M209" s="75"/>
      <c r="N209" s="69"/>
      <c r="O209" s="77" t="s">
        <v>539</v>
      </c>
      <c r="P209" s="79">
        <v>45163.71129629629</v>
      </c>
      <c r="Q209" s="77" t="s">
        <v>566</v>
      </c>
      <c r="R209" s="77">
        <v>0</v>
      </c>
      <c r="S209" s="77">
        <v>6</v>
      </c>
      <c r="T209" s="77">
        <v>1</v>
      </c>
      <c r="U209" s="77">
        <v>0</v>
      </c>
      <c r="V209" s="77">
        <v>122</v>
      </c>
      <c r="W209" s="81" t="s">
        <v>679</v>
      </c>
      <c r="X209" s="83" t="str">
        <f>HYPERLINK("https://bit.ly/44lcKFG")</f>
        <v>https://bit.ly/44lcKFG</v>
      </c>
      <c r="Y209" s="77" t="s">
        <v>740</v>
      </c>
      <c r="Z209" s="77" t="s">
        <v>764</v>
      </c>
      <c r="AA209" s="77"/>
      <c r="AB209" s="77"/>
      <c r="AC209" s="81" t="s">
        <v>853</v>
      </c>
      <c r="AD209" s="77" t="s">
        <v>859</v>
      </c>
      <c r="AE209" s="83" t="str">
        <f>HYPERLINK("https://twitter.com/mihkal/status/1695119915429085633")</f>
        <v>https://twitter.com/mihkal/status/1695119915429085633</v>
      </c>
      <c r="AF209" s="79">
        <v>45163.71129629629</v>
      </c>
      <c r="AG209" s="85">
        <v>45163</v>
      </c>
      <c r="AH209" s="81" t="s">
        <v>893</v>
      </c>
      <c r="AI209" s="77" t="b">
        <v>0</v>
      </c>
      <c r="AJ209" s="77"/>
      <c r="AK209" s="77"/>
      <c r="AL209" s="77"/>
      <c r="AM209" s="77"/>
      <c r="AN209" s="77"/>
      <c r="AO209" s="77"/>
      <c r="AP209" s="77"/>
      <c r="AQ209" s="77"/>
      <c r="AR209" s="77"/>
      <c r="AS209" s="77"/>
      <c r="AT209" s="77"/>
      <c r="AU209" s="77"/>
      <c r="AV209" s="83" t="str">
        <f>HYPERLINK("https://pbs.twimg.com/profile_images/1663227887837757440/XOjtFF4W_normal.jpg")</f>
        <v>https://pbs.twimg.com/profile_images/1663227887837757440/XOjtFF4W_normal.jpg</v>
      </c>
      <c r="AW209" s="81" t="s">
        <v>1048</v>
      </c>
      <c r="AX209" s="81" t="s">
        <v>1048</v>
      </c>
      <c r="AY209" s="77"/>
      <c r="AZ209" s="81" t="s">
        <v>1190</v>
      </c>
      <c r="BA209" s="81" t="s">
        <v>1190</v>
      </c>
      <c r="BB209" s="81" t="s">
        <v>1190</v>
      </c>
      <c r="BC209" s="81" t="s">
        <v>1048</v>
      </c>
      <c r="BD209" s="77">
        <v>24256031</v>
      </c>
      <c r="BE209" s="77"/>
      <c r="BF209" s="77"/>
      <c r="BG209" s="77"/>
      <c r="BH209" s="77"/>
      <c r="BI209" s="77"/>
      <c r="BJ209">
        <v>1</v>
      </c>
      <c r="BK209" s="76" t="str">
        <f>REPLACE(INDEX(GroupVertices[Group],MATCH(Edges[[#This Row],[Vertex 1]],GroupVertices[Vertex],0)),1,1,"")</f>
        <v>1</v>
      </c>
      <c r="BL209" s="76" t="str">
        <f>REPLACE(INDEX(GroupVertices[Group],MATCH(Edges[[#This Row],[Vertex 2]],GroupVertices[Vertex],0)),1,1,"")</f>
        <v>1</v>
      </c>
      <c r="BM209" s="45"/>
      <c r="BN209" s="46"/>
      <c r="BO209" s="45"/>
      <c r="BP209" s="46"/>
      <c r="BQ209" s="45"/>
      <c r="BR209" s="46"/>
      <c r="BS209" s="45"/>
      <c r="BT209" s="46"/>
      <c r="BU209" s="45"/>
    </row>
    <row r="210" spans="1:73" ht="15">
      <c r="A210" s="61" t="s">
        <v>229</v>
      </c>
      <c r="B210" s="61" t="s">
        <v>344</v>
      </c>
      <c r="C210" s="62" t="s">
        <v>11692</v>
      </c>
      <c r="D210" s="63">
        <v>3</v>
      </c>
      <c r="E210" s="64" t="s">
        <v>132</v>
      </c>
      <c r="F210" s="65">
        <v>32</v>
      </c>
      <c r="G210" s="62"/>
      <c r="H210" s="66"/>
      <c r="I210" s="67"/>
      <c r="J210" s="67"/>
      <c r="K210" s="31" t="s">
        <v>65</v>
      </c>
      <c r="L210" s="75">
        <v>210</v>
      </c>
      <c r="M210" s="75"/>
      <c r="N210" s="69"/>
      <c r="O210" s="77" t="s">
        <v>539</v>
      </c>
      <c r="P210" s="79">
        <v>45163.71129629629</v>
      </c>
      <c r="Q210" s="77" t="s">
        <v>566</v>
      </c>
      <c r="R210" s="77">
        <v>0</v>
      </c>
      <c r="S210" s="77">
        <v>6</v>
      </c>
      <c r="T210" s="77">
        <v>1</v>
      </c>
      <c r="U210" s="77">
        <v>0</v>
      </c>
      <c r="V210" s="77">
        <v>122</v>
      </c>
      <c r="W210" s="81" t="s">
        <v>679</v>
      </c>
      <c r="X210" s="83" t="str">
        <f>HYPERLINK("https://bit.ly/44lcKFG")</f>
        <v>https://bit.ly/44lcKFG</v>
      </c>
      <c r="Y210" s="77" t="s">
        <v>740</v>
      </c>
      <c r="Z210" s="77" t="s">
        <v>764</v>
      </c>
      <c r="AA210" s="77"/>
      <c r="AB210" s="77"/>
      <c r="AC210" s="81" t="s">
        <v>853</v>
      </c>
      <c r="AD210" s="77" t="s">
        <v>859</v>
      </c>
      <c r="AE210" s="83" t="str">
        <f>HYPERLINK("https://twitter.com/mihkal/status/1695119915429085633")</f>
        <v>https://twitter.com/mihkal/status/1695119915429085633</v>
      </c>
      <c r="AF210" s="79">
        <v>45163.71129629629</v>
      </c>
      <c r="AG210" s="85">
        <v>45163</v>
      </c>
      <c r="AH210" s="81" t="s">
        <v>893</v>
      </c>
      <c r="AI210" s="77" t="b">
        <v>0</v>
      </c>
      <c r="AJ210" s="77"/>
      <c r="AK210" s="77"/>
      <c r="AL210" s="77"/>
      <c r="AM210" s="77"/>
      <c r="AN210" s="77"/>
      <c r="AO210" s="77"/>
      <c r="AP210" s="77"/>
      <c r="AQ210" s="77"/>
      <c r="AR210" s="77"/>
      <c r="AS210" s="77"/>
      <c r="AT210" s="77"/>
      <c r="AU210" s="77"/>
      <c r="AV210" s="83" t="str">
        <f>HYPERLINK("https://pbs.twimg.com/profile_images/1663227887837757440/XOjtFF4W_normal.jpg")</f>
        <v>https://pbs.twimg.com/profile_images/1663227887837757440/XOjtFF4W_normal.jpg</v>
      </c>
      <c r="AW210" s="81" t="s">
        <v>1048</v>
      </c>
      <c r="AX210" s="81" t="s">
        <v>1048</v>
      </c>
      <c r="AY210" s="77"/>
      <c r="AZ210" s="81" t="s">
        <v>1190</v>
      </c>
      <c r="BA210" s="81" t="s">
        <v>1190</v>
      </c>
      <c r="BB210" s="81" t="s">
        <v>1190</v>
      </c>
      <c r="BC210" s="81" t="s">
        <v>1048</v>
      </c>
      <c r="BD210" s="77">
        <v>24256031</v>
      </c>
      <c r="BE210" s="77"/>
      <c r="BF210" s="77"/>
      <c r="BG210" s="77"/>
      <c r="BH210" s="77"/>
      <c r="BI210" s="77"/>
      <c r="BJ210">
        <v>1</v>
      </c>
      <c r="BK210" s="76" t="str">
        <f>REPLACE(INDEX(GroupVertices[Group],MATCH(Edges[[#This Row],[Vertex 1]],GroupVertices[Vertex],0)),1,1,"")</f>
        <v>1</v>
      </c>
      <c r="BL210" s="76" t="str">
        <f>REPLACE(INDEX(GroupVertices[Group],MATCH(Edges[[#This Row],[Vertex 2]],GroupVertices[Vertex],0)),1,1,"")</f>
        <v>1</v>
      </c>
      <c r="BM210" s="45"/>
      <c r="BN210" s="46"/>
      <c r="BO210" s="45"/>
      <c r="BP210" s="46"/>
      <c r="BQ210" s="45"/>
      <c r="BR210" s="46"/>
      <c r="BS210" s="45"/>
      <c r="BT210" s="46"/>
      <c r="BU210" s="45"/>
    </row>
    <row r="211" spans="1:73" ht="15">
      <c r="A211" s="61" t="s">
        <v>229</v>
      </c>
      <c r="B211" s="61" t="s">
        <v>345</v>
      </c>
      <c r="C211" s="62" t="s">
        <v>11692</v>
      </c>
      <c r="D211" s="63">
        <v>3</v>
      </c>
      <c r="E211" s="64" t="s">
        <v>132</v>
      </c>
      <c r="F211" s="65">
        <v>32</v>
      </c>
      <c r="G211" s="62"/>
      <c r="H211" s="66"/>
      <c r="I211" s="67"/>
      <c r="J211" s="67"/>
      <c r="K211" s="31" t="s">
        <v>65</v>
      </c>
      <c r="L211" s="75">
        <v>211</v>
      </c>
      <c r="M211" s="75"/>
      <c r="N211" s="69"/>
      <c r="O211" s="77" t="s">
        <v>539</v>
      </c>
      <c r="P211" s="79">
        <v>45163.71129629629</v>
      </c>
      <c r="Q211" s="77" t="s">
        <v>566</v>
      </c>
      <c r="R211" s="77">
        <v>0</v>
      </c>
      <c r="S211" s="77">
        <v>6</v>
      </c>
      <c r="T211" s="77">
        <v>1</v>
      </c>
      <c r="U211" s="77">
        <v>0</v>
      </c>
      <c r="V211" s="77">
        <v>122</v>
      </c>
      <c r="W211" s="81" t="s">
        <v>679</v>
      </c>
      <c r="X211" s="83" t="str">
        <f>HYPERLINK("https://bit.ly/44lcKFG")</f>
        <v>https://bit.ly/44lcKFG</v>
      </c>
      <c r="Y211" s="77" t="s">
        <v>740</v>
      </c>
      <c r="Z211" s="77" t="s">
        <v>764</v>
      </c>
      <c r="AA211" s="77"/>
      <c r="AB211" s="77"/>
      <c r="AC211" s="81" t="s">
        <v>853</v>
      </c>
      <c r="AD211" s="77" t="s">
        <v>859</v>
      </c>
      <c r="AE211" s="83" t="str">
        <f>HYPERLINK("https://twitter.com/mihkal/status/1695119915429085633")</f>
        <v>https://twitter.com/mihkal/status/1695119915429085633</v>
      </c>
      <c r="AF211" s="79">
        <v>45163.71129629629</v>
      </c>
      <c r="AG211" s="85">
        <v>45163</v>
      </c>
      <c r="AH211" s="81" t="s">
        <v>893</v>
      </c>
      <c r="AI211" s="77" t="b">
        <v>0</v>
      </c>
      <c r="AJ211" s="77"/>
      <c r="AK211" s="77"/>
      <c r="AL211" s="77"/>
      <c r="AM211" s="77"/>
      <c r="AN211" s="77"/>
      <c r="AO211" s="77"/>
      <c r="AP211" s="77"/>
      <c r="AQ211" s="77"/>
      <c r="AR211" s="77"/>
      <c r="AS211" s="77"/>
      <c r="AT211" s="77"/>
      <c r="AU211" s="77"/>
      <c r="AV211" s="83" t="str">
        <f>HYPERLINK("https://pbs.twimg.com/profile_images/1663227887837757440/XOjtFF4W_normal.jpg")</f>
        <v>https://pbs.twimg.com/profile_images/1663227887837757440/XOjtFF4W_normal.jpg</v>
      </c>
      <c r="AW211" s="81" t="s">
        <v>1048</v>
      </c>
      <c r="AX211" s="81" t="s">
        <v>1048</v>
      </c>
      <c r="AY211" s="77"/>
      <c r="AZ211" s="81" t="s">
        <v>1190</v>
      </c>
      <c r="BA211" s="81" t="s">
        <v>1190</v>
      </c>
      <c r="BB211" s="81" t="s">
        <v>1190</v>
      </c>
      <c r="BC211" s="81" t="s">
        <v>1048</v>
      </c>
      <c r="BD211" s="77">
        <v>24256031</v>
      </c>
      <c r="BE211" s="77"/>
      <c r="BF211" s="77"/>
      <c r="BG211" s="77"/>
      <c r="BH211" s="77"/>
      <c r="BI211" s="77"/>
      <c r="BJ211">
        <v>1</v>
      </c>
      <c r="BK211" s="76" t="str">
        <f>REPLACE(INDEX(GroupVertices[Group],MATCH(Edges[[#This Row],[Vertex 1]],GroupVertices[Vertex],0)),1,1,"")</f>
        <v>1</v>
      </c>
      <c r="BL211" s="76" t="str">
        <f>REPLACE(INDEX(GroupVertices[Group],MATCH(Edges[[#This Row],[Vertex 2]],GroupVertices[Vertex],0)),1,1,"")</f>
        <v>1</v>
      </c>
      <c r="BM211" s="45"/>
      <c r="BN211" s="46"/>
      <c r="BO211" s="45"/>
      <c r="BP211" s="46"/>
      <c r="BQ211" s="45"/>
      <c r="BR211" s="46"/>
      <c r="BS211" s="45"/>
      <c r="BT211" s="46"/>
      <c r="BU211" s="45"/>
    </row>
    <row r="212" spans="1:73" ht="15">
      <c r="A212" s="61" t="s">
        <v>229</v>
      </c>
      <c r="B212" s="61" t="s">
        <v>346</v>
      </c>
      <c r="C212" s="62" t="s">
        <v>11692</v>
      </c>
      <c r="D212" s="63">
        <v>3</v>
      </c>
      <c r="E212" s="64" t="s">
        <v>132</v>
      </c>
      <c r="F212" s="65">
        <v>32</v>
      </c>
      <c r="G212" s="62"/>
      <c r="H212" s="66"/>
      <c r="I212" s="67"/>
      <c r="J212" s="67"/>
      <c r="K212" s="31" t="s">
        <v>65</v>
      </c>
      <c r="L212" s="75">
        <v>212</v>
      </c>
      <c r="M212" s="75"/>
      <c r="N212" s="69"/>
      <c r="O212" s="77" t="s">
        <v>539</v>
      </c>
      <c r="P212" s="79">
        <v>45163.71129629629</v>
      </c>
      <c r="Q212" s="77" t="s">
        <v>566</v>
      </c>
      <c r="R212" s="77">
        <v>0</v>
      </c>
      <c r="S212" s="77">
        <v>6</v>
      </c>
      <c r="T212" s="77">
        <v>1</v>
      </c>
      <c r="U212" s="77">
        <v>0</v>
      </c>
      <c r="V212" s="77">
        <v>122</v>
      </c>
      <c r="W212" s="81" t="s">
        <v>679</v>
      </c>
      <c r="X212" s="83" t="str">
        <f>HYPERLINK("https://bit.ly/44lcKFG")</f>
        <v>https://bit.ly/44lcKFG</v>
      </c>
      <c r="Y212" s="77" t="s">
        <v>740</v>
      </c>
      <c r="Z212" s="77" t="s">
        <v>764</v>
      </c>
      <c r="AA212" s="77"/>
      <c r="AB212" s="77"/>
      <c r="AC212" s="81" t="s">
        <v>853</v>
      </c>
      <c r="AD212" s="77" t="s">
        <v>859</v>
      </c>
      <c r="AE212" s="83" t="str">
        <f>HYPERLINK("https://twitter.com/mihkal/status/1695119915429085633")</f>
        <v>https://twitter.com/mihkal/status/1695119915429085633</v>
      </c>
      <c r="AF212" s="79">
        <v>45163.71129629629</v>
      </c>
      <c r="AG212" s="85">
        <v>45163</v>
      </c>
      <c r="AH212" s="81" t="s">
        <v>893</v>
      </c>
      <c r="AI212" s="77" t="b">
        <v>0</v>
      </c>
      <c r="AJ212" s="77"/>
      <c r="AK212" s="77"/>
      <c r="AL212" s="77"/>
      <c r="AM212" s="77"/>
      <c r="AN212" s="77"/>
      <c r="AO212" s="77"/>
      <c r="AP212" s="77"/>
      <c r="AQ212" s="77"/>
      <c r="AR212" s="77"/>
      <c r="AS212" s="77"/>
      <c r="AT212" s="77"/>
      <c r="AU212" s="77"/>
      <c r="AV212" s="83" t="str">
        <f>HYPERLINK("https://pbs.twimg.com/profile_images/1663227887837757440/XOjtFF4W_normal.jpg")</f>
        <v>https://pbs.twimg.com/profile_images/1663227887837757440/XOjtFF4W_normal.jpg</v>
      </c>
      <c r="AW212" s="81" t="s">
        <v>1048</v>
      </c>
      <c r="AX212" s="81" t="s">
        <v>1048</v>
      </c>
      <c r="AY212" s="77"/>
      <c r="AZ212" s="81" t="s">
        <v>1190</v>
      </c>
      <c r="BA212" s="81" t="s">
        <v>1190</v>
      </c>
      <c r="BB212" s="81" t="s">
        <v>1190</v>
      </c>
      <c r="BC212" s="81" t="s">
        <v>1048</v>
      </c>
      <c r="BD212" s="77">
        <v>24256031</v>
      </c>
      <c r="BE212" s="77"/>
      <c r="BF212" s="77"/>
      <c r="BG212" s="77"/>
      <c r="BH212" s="77"/>
      <c r="BI212" s="77"/>
      <c r="BJ212">
        <v>1</v>
      </c>
      <c r="BK212" s="76" t="str">
        <f>REPLACE(INDEX(GroupVertices[Group],MATCH(Edges[[#This Row],[Vertex 1]],GroupVertices[Vertex],0)),1,1,"")</f>
        <v>1</v>
      </c>
      <c r="BL212" s="76" t="str">
        <f>REPLACE(INDEX(GroupVertices[Group],MATCH(Edges[[#This Row],[Vertex 2]],GroupVertices[Vertex],0)),1,1,"")</f>
        <v>1</v>
      </c>
      <c r="BM212" s="45"/>
      <c r="BN212" s="46"/>
      <c r="BO212" s="45"/>
      <c r="BP212" s="46"/>
      <c r="BQ212" s="45"/>
      <c r="BR212" s="46"/>
      <c r="BS212" s="45"/>
      <c r="BT212" s="46"/>
      <c r="BU212" s="45"/>
    </row>
    <row r="213" spans="1:73" ht="15">
      <c r="A213" s="61" t="s">
        <v>229</v>
      </c>
      <c r="B213" s="61" t="s">
        <v>347</v>
      </c>
      <c r="C213" s="62" t="s">
        <v>11692</v>
      </c>
      <c r="D213" s="63">
        <v>3</v>
      </c>
      <c r="E213" s="64" t="s">
        <v>132</v>
      </c>
      <c r="F213" s="65">
        <v>32</v>
      </c>
      <c r="G213" s="62"/>
      <c r="H213" s="66"/>
      <c r="I213" s="67"/>
      <c r="J213" s="67"/>
      <c r="K213" s="31" t="s">
        <v>65</v>
      </c>
      <c r="L213" s="75">
        <v>213</v>
      </c>
      <c r="M213" s="75"/>
      <c r="N213" s="69"/>
      <c r="O213" s="77" t="s">
        <v>539</v>
      </c>
      <c r="P213" s="79">
        <v>45161.711643518516</v>
      </c>
      <c r="Q213" s="77" t="s">
        <v>567</v>
      </c>
      <c r="R213" s="77">
        <v>0</v>
      </c>
      <c r="S213" s="77">
        <v>5</v>
      </c>
      <c r="T213" s="77">
        <v>0</v>
      </c>
      <c r="U213" s="77">
        <v>0</v>
      </c>
      <c r="V213" s="77">
        <v>64</v>
      </c>
      <c r="W213" s="81" t="s">
        <v>680</v>
      </c>
      <c r="X213" s="83" t="str">
        <f>HYPERLINK("https://bit.ly/3E8a4Ax")</f>
        <v>https://bit.ly/3E8a4Ax</v>
      </c>
      <c r="Y213" s="77" t="s">
        <v>740</v>
      </c>
      <c r="Z213" s="77" t="s">
        <v>765</v>
      </c>
      <c r="AA213" s="77"/>
      <c r="AB213" s="77"/>
      <c r="AC213" s="81" t="s">
        <v>853</v>
      </c>
      <c r="AD213" s="77" t="s">
        <v>859</v>
      </c>
      <c r="AE213" s="83" t="str">
        <f>HYPERLINK("https://twitter.com/mihkal/status/1694395266164576549")</f>
        <v>https://twitter.com/mihkal/status/1694395266164576549</v>
      </c>
      <c r="AF213" s="79">
        <v>45161.711643518516</v>
      </c>
      <c r="AG213" s="85">
        <v>45161</v>
      </c>
      <c r="AH213" s="81" t="s">
        <v>894</v>
      </c>
      <c r="AI213" s="77" t="b">
        <v>0</v>
      </c>
      <c r="AJ213" s="77"/>
      <c r="AK213" s="77"/>
      <c r="AL213" s="77"/>
      <c r="AM213" s="77"/>
      <c r="AN213" s="77"/>
      <c r="AO213" s="77"/>
      <c r="AP213" s="77"/>
      <c r="AQ213" s="77"/>
      <c r="AR213" s="77"/>
      <c r="AS213" s="77"/>
      <c r="AT213" s="77"/>
      <c r="AU213" s="77"/>
      <c r="AV213" s="83" t="str">
        <f>HYPERLINK("https://pbs.twimg.com/profile_images/1663227887837757440/XOjtFF4W_normal.jpg")</f>
        <v>https://pbs.twimg.com/profile_images/1663227887837757440/XOjtFF4W_normal.jpg</v>
      </c>
      <c r="AW213" s="81" t="s">
        <v>1049</v>
      </c>
      <c r="AX213" s="81" t="s">
        <v>1049</v>
      </c>
      <c r="AY213" s="77"/>
      <c r="AZ213" s="81" t="s">
        <v>1190</v>
      </c>
      <c r="BA213" s="81" t="s">
        <v>1190</v>
      </c>
      <c r="BB213" s="81" t="s">
        <v>1190</v>
      </c>
      <c r="BC213" s="81" t="s">
        <v>1049</v>
      </c>
      <c r="BD213" s="77">
        <v>24256031</v>
      </c>
      <c r="BE213" s="77"/>
      <c r="BF213" s="77"/>
      <c r="BG213" s="77"/>
      <c r="BH213" s="77"/>
      <c r="BI213" s="77"/>
      <c r="BJ213">
        <v>1</v>
      </c>
      <c r="BK213" s="76" t="str">
        <f>REPLACE(INDEX(GroupVertices[Group],MATCH(Edges[[#This Row],[Vertex 1]],GroupVertices[Vertex],0)),1,1,"")</f>
        <v>1</v>
      </c>
      <c r="BL213" s="76" t="str">
        <f>REPLACE(INDEX(GroupVertices[Group],MATCH(Edges[[#This Row],[Vertex 2]],GroupVertices[Vertex],0)),1,1,"")</f>
        <v>1</v>
      </c>
      <c r="BM213" s="45"/>
      <c r="BN213" s="46"/>
      <c r="BO213" s="45"/>
      <c r="BP213" s="46"/>
      <c r="BQ213" s="45"/>
      <c r="BR213" s="46"/>
      <c r="BS213" s="45"/>
      <c r="BT213" s="46"/>
      <c r="BU213" s="45"/>
    </row>
    <row r="214" spans="1:73" ht="15">
      <c r="A214" s="61" t="s">
        <v>229</v>
      </c>
      <c r="B214" s="61" t="s">
        <v>348</v>
      </c>
      <c r="C214" s="62" t="s">
        <v>11692</v>
      </c>
      <c r="D214" s="63">
        <v>3</v>
      </c>
      <c r="E214" s="64" t="s">
        <v>132</v>
      </c>
      <c r="F214" s="65">
        <v>32</v>
      </c>
      <c r="G214" s="62"/>
      <c r="H214" s="66"/>
      <c r="I214" s="67"/>
      <c r="J214" s="67"/>
      <c r="K214" s="31" t="s">
        <v>65</v>
      </c>
      <c r="L214" s="75">
        <v>214</v>
      </c>
      <c r="M214" s="75"/>
      <c r="N214" s="69"/>
      <c r="O214" s="77" t="s">
        <v>539</v>
      </c>
      <c r="P214" s="79">
        <v>45161.711643518516</v>
      </c>
      <c r="Q214" s="77" t="s">
        <v>567</v>
      </c>
      <c r="R214" s="77">
        <v>0</v>
      </c>
      <c r="S214" s="77">
        <v>5</v>
      </c>
      <c r="T214" s="77">
        <v>0</v>
      </c>
      <c r="U214" s="77">
        <v>0</v>
      </c>
      <c r="V214" s="77">
        <v>64</v>
      </c>
      <c r="W214" s="81" t="s">
        <v>680</v>
      </c>
      <c r="X214" s="83" t="str">
        <f>HYPERLINK("https://bit.ly/3E8a4Ax")</f>
        <v>https://bit.ly/3E8a4Ax</v>
      </c>
      <c r="Y214" s="77" t="s">
        <v>740</v>
      </c>
      <c r="Z214" s="77" t="s">
        <v>765</v>
      </c>
      <c r="AA214" s="77"/>
      <c r="AB214" s="77"/>
      <c r="AC214" s="81" t="s">
        <v>853</v>
      </c>
      <c r="AD214" s="77" t="s">
        <v>859</v>
      </c>
      <c r="AE214" s="83" t="str">
        <f>HYPERLINK("https://twitter.com/mihkal/status/1694395266164576549")</f>
        <v>https://twitter.com/mihkal/status/1694395266164576549</v>
      </c>
      <c r="AF214" s="79">
        <v>45161.711643518516</v>
      </c>
      <c r="AG214" s="85">
        <v>45161</v>
      </c>
      <c r="AH214" s="81" t="s">
        <v>894</v>
      </c>
      <c r="AI214" s="77" t="b">
        <v>0</v>
      </c>
      <c r="AJ214" s="77"/>
      <c r="AK214" s="77"/>
      <c r="AL214" s="77"/>
      <c r="AM214" s="77"/>
      <c r="AN214" s="77"/>
      <c r="AO214" s="77"/>
      <c r="AP214" s="77"/>
      <c r="AQ214" s="77"/>
      <c r="AR214" s="77"/>
      <c r="AS214" s="77"/>
      <c r="AT214" s="77"/>
      <c r="AU214" s="77"/>
      <c r="AV214" s="83" t="str">
        <f>HYPERLINK("https://pbs.twimg.com/profile_images/1663227887837757440/XOjtFF4W_normal.jpg")</f>
        <v>https://pbs.twimg.com/profile_images/1663227887837757440/XOjtFF4W_normal.jpg</v>
      </c>
      <c r="AW214" s="81" t="s">
        <v>1049</v>
      </c>
      <c r="AX214" s="81" t="s">
        <v>1049</v>
      </c>
      <c r="AY214" s="77"/>
      <c r="AZ214" s="81" t="s">
        <v>1190</v>
      </c>
      <c r="BA214" s="81" t="s">
        <v>1190</v>
      </c>
      <c r="BB214" s="81" t="s">
        <v>1190</v>
      </c>
      <c r="BC214" s="81" t="s">
        <v>1049</v>
      </c>
      <c r="BD214" s="77">
        <v>24256031</v>
      </c>
      <c r="BE214" s="77"/>
      <c r="BF214" s="77"/>
      <c r="BG214" s="77"/>
      <c r="BH214" s="77"/>
      <c r="BI214" s="77"/>
      <c r="BJ214">
        <v>1</v>
      </c>
      <c r="BK214" s="76" t="str">
        <f>REPLACE(INDEX(GroupVertices[Group],MATCH(Edges[[#This Row],[Vertex 1]],GroupVertices[Vertex],0)),1,1,"")</f>
        <v>1</v>
      </c>
      <c r="BL214" s="76" t="str">
        <f>REPLACE(INDEX(GroupVertices[Group],MATCH(Edges[[#This Row],[Vertex 2]],GroupVertices[Vertex],0)),1,1,"")</f>
        <v>1</v>
      </c>
      <c r="BM214" s="45"/>
      <c r="BN214" s="46"/>
      <c r="BO214" s="45"/>
      <c r="BP214" s="46"/>
      <c r="BQ214" s="45"/>
      <c r="BR214" s="46"/>
      <c r="BS214" s="45"/>
      <c r="BT214" s="46"/>
      <c r="BU214" s="45"/>
    </row>
    <row r="215" spans="1:73" ht="15">
      <c r="A215" s="61" t="s">
        <v>229</v>
      </c>
      <c r="B215" s="61" t="s">
        <v>349</v>
      </c>
      <c r="C215" s="62" t="s">
        <v>11692</v>
      </c>
      <c r="D215" s="63">
        <v>3</v>
      </c>
      <c r="E215" s="64" t="s">
        <v>132</v>
      </c>
      <c r="F215" s="65">
        <v>32</v>
      </c>
      <c r="G215" s="62"/>
      <c r="H215" s="66"/>
      <c r="I215" s="67"/>
      <c r="J215" s="67"/>
      <c r="K215" s="31" t="s">
        <v>65</v>
      </c>
      <c r="L215" s="75">
        <v>215</v>
      </c>
      <c r="M215" s="75"/>
      <c r="N215" s="69"/>
      <c r="O215" s="77" t="s">
        <v>539</v>
      </c>
      <c r="P215" s="79">
        <v>45161.711643518516</v>
      </c>
      <c r="Q215" s="77" t="s">
        <v>567</v>
      </c>
      <c r="R215" s="77">
        <v>0</v>
      </c>
      <c r="S215" s="77">
        <v>5</v>
      </c>
      <c r="T215" s="77">
        <v>0</v>
      </c>
      <c r="U215" s="77">
        <v>0</v>
      </c>
      <c r="V215" s="77">
        <v>64</v>
      </c>
      <c r="W215" s="81" t="s">
        <v>680</v>
      </c>
      <c r="X215" s="83" t="str">
        <f>HYPERLINK("https://bit.ly/3E8a4Ax")</f>
        <v>https://bit.ly/3E8a4Ax</v>
      </c>
      <c r="Y215" s="77" t="s">
        <v>740</v>
      </c>
      <c r="Z215" s="77" t="s">
        <v>765</v>
      </c>
      <c r="AA215" s="77"/>
      <c r="AB215" s="77"/>
      <c r="AC215" s="81" t="s">
        <v>853</v>
      </c>
      <c r="AD215" s="77" t="s">
        <v>859</v>
      </c>
      <c r="AE215" s="83" t="str">
        <f>HYPERLINK("https://twitter.com/mihkal/status/1694395266164576549")</f>
        <v>https://twitter.com/mihkal/status/1694395266164576549</v>
      </c>
      <c r="AF215" s="79">
        <v>45161.711643518516</v>
      </c>
      <c r="AG215" s="85">
        <v>45161</v>
      </c>
      <c r="AH215" s="81" t="s">
        <v>894</v>
      </c>
      <c r="AI215" s="77" t="b">
        <v>0</v>
      </c>
      <c r="AJ215" s="77"/>
      <c r="AK215" s="77"/>
      <c r="AL215" s="77"/>
      <c r="AM215" s="77"/>
      <c r="AN215" s="77"/>
      <c r="AO215" s="77"/>
      <c r="AP215" s="77"/>
      <c r="AQ215" s="77"/>
      <c r="AR215" s="77"/>
      <c r="AS215" s="77"/>
      <c r="AT215" s="77"/>
      <c r="AU215" s="77"/>
      <c r="AV215" s="83" t="str">
        <f>HYPERLINK("https://pbs.twimg.com/profile_images/1663227887837757440/XOjtFF4W_normal.jpg")</f>
        <v>https://pbs.twimg.com/profile_images/1663227887837757440/XOjtFF4W_normal.jpg</v>
      </c>
      <c r="AW215" s="81" t="s">
        <v>1049</v>
      </c>
      <c r="AX215" s="81" t="s">
        <v>1049</v>
      </c>
      <c r="AY215" s="77"/>
      <c r="AZ215" s="81" t="s">
        <v>1190</v>
      </c>
      <c r="BA215" s="81" t="s">
        <v>1190</v>
      </c>
      <c r="BB215" s="81" t="s">
        <v>1190</v>
      </c>
      <c r="BC215" s="81" t="s">
        <v>1049</v>
      </c>
      <c r="BD215" s="77">
        <v>24256031</v>
      </c>
      <c r="BE215" s="77"/>
      <c r="BF215" s="77"/>
      <c r="BG215" s="77"/>
      <c r="BH215" s="77"/>
      <c r="BI215" s="77"/>
      <c r="BJ215">
        <v>1</v>
      </c>
      <c r="BK215" s="76" t="str">
        <f>REPLACE(INDEX(GroupVertices[Group],MATCH(Edges[[#This Row],[Vertex 1]],GroupVertices[Vertex],0)),1,1,"")</f>
        <v>1</v>
      </c>
      <c r="BL215" s="76" t="str">
        <f>REPLACE(INDEX(GroupVertices[Group],MATCH(Edges[[#This Row],[Vertex 2]],GroupVertices[Vertex],0)),1,1,"")</f>
        <v>1</v>
      </c>
      <c r="BM215" s="45"/>
      <c r="BN215" s="46"/>
      <c r="BO215" s="45"/>
      <c r="BP215" s="46"/>
      <c r="BQ215" s="45"/>
      <c r="BR215" s="46"/>
      <c r="BS215" s="45"/>
      <c r="BT215" s="46"/>
      <c r="BU215" s="45"/>
    </row>
    <row r="216" spans="1:73" ht="15">
      <c r="A216" s="61" t="s">
        <v>229</v>
      </c>
      <c r="B216" s="61" t="s">
        <v>350</v>
      </c>
      <c r="C216" s="62" t="s">
        <v>11692</v>
      </c>
      <c r="D216" s="63">
        <v>3</v>
      </c>
      <c r="E216" s="64" t="s">
        <v>132</v>
      </c>
      <c r="F216" s="65">
        <v>32</v>
      </c>
      <c r="G216" s="62"/>
      <c r="H216" s="66"/>
      <c r="I216" s="67"/>
      <c r="J216" s="67"/>
      <c r="K216" s="31" t="s">
        <v>65</v>
      </c>
      <c r="L216" s="75">
        <v>216</v>
      </c>
      <c r="M216" s="75"/>
      <c r="N216" s="69"/>
      <c r="O216" s="77" t="s">
        <v>539</v>
      </c>
      <c r="P216" s="79">
        <v>45161.711643518516</v>
      </c>
      <c r="Q216" s="77" t="s">
        <v>567</v>
      </c>
      <c r="R216" s="77">
        <v>0</v>
      </c>
      <c r="S216" s="77">
        <v>5</v>
      </c>
      <c r="T216" s="77">
        <v>0</v>
      </c>
      <c r="U216" s="77">
        <v>0</v>
      </c>
      <c r="V216" s="77">
        <v>64</v>
      </c>
      <c r="W216" s="81" t="s">
        <v>680</v>
      </c>
      <c r="X216" s="83" t="str">
        <f>HYPERLINK("https://bit.ly/3E8a4Ax")</f>
        <v>https://bit.ly/3E8a4Ax</v>
      </c>
      <c r="Y216" s="77" t="s">
        <v>740</v>
      </c>
      <c r="Z216" s="77" t="s">
        <v>765</v>
      </c>
      <c r="AA216" s="77"/>
      <c r="AB216" s="77"/>
      <c r="AC216" s="81" t="s">
        <v>853</v>
      </c>
      <c r="AD216" s="77" t="s">
        <v>859</v>
      </c>
      <c r="AE216" s="83" t="str">
        <f>HYPERLINK("https://twitter.com/mihkal/status/1694395266164576549")</f>
        <v>https://twitter.com/mihkal/status/1694395266164576549</v>
      </c>
      <c r="AF216" s="79">
        <v>45161.711643518516</v>
      </c>
      <c r="AG216" s="85">
        <v>45161</v>
      </c>
      <c r="AH216" s="81" t="s">
        <v>894</v>
      </c>
      <c r="AI216" s="77" t="b">
        <v>0</v>
      </c>
      <c r="AJ216" s="77"/>
      <c r="AK216" s="77"/>
      <c r="AL216" s="77"/>
      <c r="AM216" s="77"/>
      <c r="AN216" s="77"/>
      <c r="AO216" s="77"/>
      <c r="AP216" s="77"/>
      <c r="AQ216" s="77"/>
      <c r="AR216" s="77"/>
      <c r="AS216" s="77"/>
      <c r="AT216" s="77"/>
      <c r="AU216" s="77"/>
      <c r="AV216" s="83" t="str">
        <f>HYPERLINK("https://pbs.twimg.com/profile_images/1663227887837757440/XOjtFF4W_normal.jpg")</f>
        <v>https://pbs.twimg.com/profile_images/1663227887837757440/XOjtFF4W_normal.jpg</v>
      </c>
      <c r="AW216" s="81" t="s">
        <v>1049</v>
      </c>
      <c r="AX216" s="81" t="s">
        <v>1049</v>
      </c>
      <c r="AY216" s="77"/>
      <c r="AZ216" s="81" t="s">
        <v>1190</v>
      </c>
      <c r="BA216" s="81" t="s">
        <v>1190</v>
      </c>
      <c r="BB216" s="81" t="s">
        <v>1190</v>
      </c>
      <c r="BC216" s="81" t="s">
        <v>1049</v>
      </c>
      <c r="BD216" s="77">
        <v>24256031</v>
      </c>
      <c r="BE216" s="77"/>
      <c r="BF216" s="77"/>
      <c r="BG216" s="77"/>
      <c r="BH216" s="77"/>
      <c r="BI216" s="77"/>
      <c r="BJ216">
        <v>1</v>
      </c>
      <c r="BK216" s="76" t="str">
        <f>REPLACE(INDEX(GroupVertices[Group],MATCH(Edges[[#This Row],[Vertex 1]],GroupVertices[Vertex],0)),1,1,"")</f>
        <v>1</v>
      </c>
      <c r="BL216" s="76" t="str">
        <f>REPLACE(INDEX(GroupVertices[Group],MATCH(Edges[[#This Row],[Vertex 2]],GroupVertices[Vertex],0)),1,1,"")</f>
        <v>1</v>
      </c>
      <c r="BM216" s="45"/>
      <c r="BN216" s="46"/>
      <c r="BO216" s="45"/>
      <c r="BP216" s="46"/>
      <c r="BQ216" s="45"/>
      <c r="BR216" s="46"/>
      <c r="BS216" s="45"/>
      <c r="BT216" s="46"/>
      <c r="BU216" s="45"/>
    </row>
    <row r="217" spans="1:73" ht="15">
      <c r="A217" s="61" t="s">
        <v>229</v>
      </c>
      <c r="B217" s="61" t="s">
        <v>351</v>
      </c>
      <c r="C217" s="62" t="s">
        <v>11692</v>
      </c>
      <c r="D217" s="63">
        <v>3</v>
      </c>
      <c r="E217" s="64" t="s">
        <v>132</v>
      </c>
      <c r="F217" s="65">
        <v>32</v>
      </c>
      <c r="G217" s="62"/>
      <c r="H217" s="66"/>
      <c r="I217" s="67"/>
      <c r="J217" s="67"/>
      <c r="K217" s="31" t="s">
        <v>65</v>
      </c>
      <c r="L217" s="75">
        <v>217</v>
      </c>
      <c r="M217" s="75"/>
      <c r="N217" s="69"/>
      <c r="O217" s="77" t="s">
        <v>539</v>
      </c>
      <c r="P217" s="79">
        <v>45161.711643518516</v>
      </c>
      <c r="Q217" s="77" t="s">
        <v>567</v>
      </c>
      <c r="R217" s="77">
        <v>0</v>
      </c>
      <c r="S217" s="77">
        <v>5</v>
      </c>
      <c r="T217" s="77">
        <v>0</v>
      </c>
      <c r="U217" s="77">
        <v>0</v>
      </c>
      <c r="V217" s="77">
        <v>64</v>
      </c>
      <c r="W217" s="81" t="s">
        <v>680</v>
      </c>
      <c r="X217" s="83" t="str">
        <f>HYPERLINK("https://bit.ly/3E8a4Ax")</f>
        <v>https://bit.ly/3E8a4Ax</v>
      </c>
      <c r="Y217" s="77" t="s">
        <v>740</v>
      </c>
      <c r="Z217" s="77" t="s">
        <v>765</v>
      </c>
      <c r="AA217" s="77"/>
      <c r="AB217" s="77"/>
      <c r="AC217" s="81" t="s">
        <v>853</v>
      </c>
      <c r="AD217" s="77" t="s">
        <v>859</v>
      </c>
      <c r="AE217" s="83" t="str">
        <f>HYPERLINK("https://twitter.com/mihkal/status/1694395266164576549")</f>
        <v>https://twitter.com/mihkal/status/1694395266164576549</v>
      </c>
      <c r="AF217" s="79">
        <v>45161.711643518516</v>
      </c>
      <c r="AG217" s="85">
        <v>45161</v>
      </c>
      <c r="AH217" s="81" t="s">
        <v>894</v>
      </c>
      <c r="AI217" s="77" t="b">
        <v>0</v>
      </c>
      <c r="AJ217" s="77"/>
      <c r="AK217" s="77"/>
      <c r="AL217" s="77"/>
      <c r="AM217" s="77"/>
      <c r="AN217" s="77"/>
      <c r="AO217" s="77"/>
      <c r="AP217" s="77"/>
      <c r="AQ217" s="77"/>
      <c r="AR217" s="77"/>
      <c r="AS217" s="77"/>
      <c r="AT217" s="77"/>
      <c r="AU217" s="77"/>
      <c r="AV217" s="83" t="str">
        <f>HYPERLINK("https://pbs.twimg.com/profile_images/1663227887837757440/XOjtFF4W_normal.jpg")</f>
        <v>https://pbs.twimg.com/profile_images/1663227887837757440/XOjtFF4W_normal.jpg</v>
      </c>
      <c r="AW217" s="81" t="s">
        <v>1049</v>
      </c>
      <c r="AX217" s="81" t="s">
        <v>1049</v>
      </c>
      <c r="AY217" s="77"/>
      <c r="AZ217" s="81" t="s">
        <v>1190</v>
      </c>
      <c r="BA217" s="81" t="s">
        <v>1190</v>
      </c>
      <c r="BB217" s="81" t="s">
        <v>1190</v>
      </c>
      <c r="BC217" s="81" t="s">
        <v>1049</v>
      </c>
      <c r="BD217" s="77">
        <v>24256031</v>
      </c>
      <c r="BE217" s="77"/>
      <c r="BF217" s="77"/>
      <c r="BG217" s="77"/>
      <c r="BH217" s="77"/>
      <c r="BI217" s="77"/>
      <c r="BJ217">
        <v>1</v>
      </c>
      <c r="BK217" s="76" t="str">
        <f>REPLACE(INDEX(GroupVertices[Group],MATCH(Edges[[#This Row],[Vertex 1]],GroupVertices[Vertex],0)),1,1,"")</f>
        <v>1</v>
      </c>
      <c r="BL217" s="76" t="str">
        <f>REPLACE(INDEX(GroupVertices[Group],MATCH(Edges[[#This Row],[Vertex 2]],GroupVertices[Vertex],0)),1,1,"")</f>
        <v>1</v>
      </c>
      <c r="BM217" s="45"/>
      <c r="BN217" s="46"/>
      <c r="BO217" s="45"/>
      <c r="BP217" s="46"/>
      <c r="BQ217" s="45"/>
      <c r="BR217" s="46"/>
      <c r="BS217" s="45"/>
      <c r="BT217" s="46"/>
      <c r="BU217" s="45"/>
    </row>
    <row r="218" spans="1:73" ht="15">
      <c r="A218" s="61" t="s">
        <v>229</v>
      </c>
      <c r="B218" s="61" t="s">
        <v>352</v>
      </c>
      <c r="C218" s="62" t="s">
        <v>11692</v>
      </c>
      <c r="D218" s="63">
        <v>3</v>
      </c>
      <c r="E218" s="64" t="s">
        <v>132</v>
      </c>
      <c r="F218" s="65">
        <v>32</v>
      </c>
      <c r="G218" s="62"/>
      <c r="H218" s="66"/>
      <c r="I218" s="67"/>
      <c r="J218" s="67"/>
      <c r="K218" s="31" t="s">
        <v>65</v>
      </c>
      <c r="L218" s="75">
        <v>218</v>
      </c>
      <c r="M218" s="75"/>
      <c r="N218" s="69"/>
      <c r="O218" s="77" t="s">
        <v>539</v>
      </c>
      <c r="P218" s="79">
        <v>45161.711643518516</v>
      </c>
      <c r="Q218" s="77" t="s">
        <v>567</v>
      </c>
      <c r="R218" s="77">
        <v>0</v>
      </c>
      <c r="S218" s="77">
        <v>5</v>
      </c>
      <c r="T218" s="77">
        <v>0</v>
      </c>
      <c r="U218" s="77">
        <v>0</v>
      </c>
      <c r="V218" s="77">
        <v>64</v>
      </c>
      <c r="W218" s="81" t="s">
        <v>680</v>
      </c>
      <c r="X218" s="83" t="str">
        <f>HYPERLINK("https://bit.ly/3E8a4Ax")</f>
        <v>https://bit.ly/3E8a4Ax</v>
      </c>
      <c r="Y218" s="77" t="s">
        <v>740</v>
      </c>
      <c r="Z218" s="77" t="s">
        <v>765</v>
      </c>
      <c r="AA218" s="77"/>
      <c r="AB218" s="77"/>
      <c r="AC218" s="81" t="s">
        <v>853</v>
      </c>
      <c r="AD218" s="77" t="s">
        <v>859</v>
      </c>
      <c r="AE218" s="83" t="str">
        <f>HYPERLINK("https://twitter.com/mihkal/status/1694395266164576549")</f>
        <v>https://twitter.com/mihkal/status/1694395266164576549</v>
      </c>
      <c r="AF218" s="79">
        <v>45161.711643518516</v>
      </c>
      <c r="AG218" s="85">
        <v>45161</v>
      </c>
      <c r="AH218" s="81" t="s">
        <v>894</v>
      </c>
      <c r="AI218" s="77" t="b">
        <v>0</v>
      </c>
      <c r="AJ218" s="77"/>
      <c r="AK218" s="77"/>
      <c r="AL218" s="77"/>
      <c r="AM218" s="77"/>
      <c r="AN218" s="77"/>
      <c r="AO218" s="77"/>
      <c r="AP218" s="77"/>
      <c r="AQ218" s="77"/>
      <c r="AR218" s="77"/>
      <c r="AS218" s="77"/>
      <c r="AT218" s="77"/>
      <c r="AU218" s="77"/>
      <c r="AV218" s="83" t="str">
        <f>HYPERLINK("https://pbs.twimg.com/profile_images/1663227887837757440/XOjtFF4W_normal.jpg")</f>
        <v>https://pbs.twimg.com/profile_images/1663227887837757440/XOjtFF4W_normal.jpg</v>
      </c>
      <c r="AW218" s="81" t="s">
        <v>1049</v>
      </c>
      <c r="AX218" s="81" t="s">
        <v>1049</v>
      </c>
      <c r="AY218" s="77"/>
      <c r="AZ218" s="81" t="s">
        <v>1190</v>
      </c>
      <c r="BA218" s="81" t="s">
        <v>1190</v>
      </c>
      <c r="BB218" s="81" t="s">
        <v>1190</v>
      </c>
      <c r="BC218" s="81" t="s">
        <v>1049</v>
      </c>
      <c r="BD218" s="77">
        <v>24256031</v>
      </c>
      <c r="BE218" s="77"/>
      <c r="BF218" s="77"/>
      <c r="BG218" s="77"/>
      <c r="BH218" s="77"/>
      <c r="BI218" s="77"/>
      <c r="BJ218">
        <v>1</v>
      </c>
      <c r="BK218" s="76" t="str">
        <f>REPLACE(INDEX(GroupVertices[Group],MATCH(Edges[[#This Row],[Vertex 1]],GroupVertices[Vertex],0)),1,1,"")</f>
        <v>1</v>
      </c>
      <c r="BL218" s="76" t="str">
        <f>REPLACE(INDEX(GroupVertices[Group],MATCH(Edges[[#This Row],[Vertex 2]],GroupVertices[Vertex],0)),1,1,"")</f>
        <v>1</v>
      </c>
      <c r="BM218" s="45"/>
      <c r="BN218" s="46"/>
      <c r="BO218" s="45"/>
      <c r="BP218" s="46"/>
      <c r="BQ218" s="45"/>
      <c r="BR218" s="46"/>
      <c r="BS218" s="45"/>
      <c r="BT218" s="46"/>
      <c r="BU218" s="45"/>
    </row>
    <row r="219" spans="1:73" ht="15">
      <c r="A219" s="61" t="s">
        <v>229</v>
      </c>
      <c r="B219" s="61" t="s">
        <v>353</v>
      </c>
      <c r="C219" s="62" t="s">
        <v>11692</v>
      </c>
      <c r="D219" s="63">
        <v>3</v>
      </c>
      <c r="E219" s="64" t="s">
        <v>132</v>
      </c>
      <c r="F219" s="65">
        <v>32</v>
      </c>
      <c r="G219" s="62"/>
      <c r="H219" s="66"/>
      <c r="I219" s="67"/>
      <c r="J219" s="67"/>
      <c r="K219" s="31" t="s">
        <v>65</v>
      </c>
      <c r="L219" s="75">
        <v>219</v>
      </c>
      <c r="M219" s="75"/>
      <c r="N219" s="69"/>
      <c r="O219" s="77" t="s">
        <v>539</v>
      </c>
      <c r="P219" s="79">
        <v>45161.711643518516</v>
      </c>
      <c r="Q219" s="77" t="s">
        <v>567</v>
      </c>
      <c r="R219" s="77">
        <v>0</v>
      </c>
      <c r="S219" s="77">
        <v>5</v>
      </c>
      <c r="T219" s="77">
        <v>0</v>
      </c>
      <c r="U219" s="77">
        <v>0</v>
      </c>
      <c r="V219" s="77">
        <v>64</v>
      </c>
      <c r="W219" s="81" t="s">
        <v>680</v>
      </c>
      <c r="X219" s="83" t="str">
        <f>HYPERLINK("https://bit.ly/3E8a4Ax")</f>
        <v>https://bit.ly/3E8a4Ax</v>
      </c>
      <c r="Y219" s="77" t="s">
        <v>740</v>
      </c>
      <c r="Z219" s="77" t="s">
        <v>765</v>
      </c>
      <c r="AA219" s="77"/>
      <c r="AB219" s="77"/>
      <c r="AC219" s="81" t="s">
        <v>853</v>
      </c>
      <c r="AD219" s="77" t="s">
        <v>859</v>
      </c>
      <c r="AE219" s="83" t="str">
        <f>HYPERLINK("https://twitter.com/mihkal/status/1694395266164576549")</f>
        <v>https://twitter.com/mihkal/status/1694395266164576549</v>
      </c>
      <c r="AF219" s="79">
        <v>45161.711643518516</v>
      </c>
      <c r="AG219" s="85">
        <v>45161</v>
      </c>
      <c r="AH219" s="81" t="s">
        <v>894</v>
      </c>
      <c r="AI219" s="77" t="b">
        <v>0</v>
      </c>
      <c r="AJ219" s="77"/>
      <c r="AK219" s="77"/>
      <c r="AL219" s="77"/>
      <c r="AM219" s="77"/>
      <c r="AN219" s="77"/>
      <c r="AO219" s="77"/>
      <c r="AP219" s="77"/>
      <c r="AQ219" s="77"/>
      <c r="AR219" s="77"/>
      <c r="AS219" s="77"/>
      <c r="AT219" s="77"/>
      <c r="AU219" s="77"/>
      <c r="AV219" s="83" t="str">
        <f>HYPERLINK("https://pbs.twimg.com/profile_images/1663227887837757440/XOjtFF4W_normal.jpg")</f>
        <v>https://pbs.twimg.com/profile_images/1663227887837757440/XOjtFF4W_normal.jpg</v>
      </c>
      <c r="AW219" s="81" t="s">
        <v>1049</v>
      </c>
      <c r="AX219" s="81" t="s">
        <v>1049</v>
      </c>
      <c r="AY219" s="77"/>
      <c r="AZ219" s="81" t="s">
        <v>1190</v>
      </c>
      <c r="BA219" s="81" t="s">
        <v>1190</v>
      </c>
      <c r="BB219" s="81" t="s">
        <v>1190</v>
      </c>
      <c r="BC219" s="81" t="s">
        <v>1049</v>
      </c>
      <c r="BD219" s="77">
        <v>24256031</v>
      </c>
      <c r="BE219" s="77"/>
      <c r="BF219" s="77"/>
      <c r="BG219" s="77"/>
      <c r="BH219" s="77"/>
      <c r="BI219" s="77"/>
      <c r="BJ219">
        <v>1</v>
      </c>
      <c r="BK219" s="76" t="str">
        <f>REPLACE(INDEX(GroupVertices[Group],MATCH(Edges[[#This Row],[Vertex 1]],GroupVertices[Vertex],0)),1,1,"")</f>
        <v>1</v>
      </c>
      <c r="BL219" s="76" t="str">
        <f>REPLACE(INDEX(GroupVertices[Group],MATCH(Edges[[#This Row],[Vertex 2]],GroupVertices[Vertex],0)),1,1,"")</f>
        <v>1</v>
      </c>
      <c r="BM219" s="45"/>
      <c r="BN219" s="46"/>
      <c r="BO219" s="45"/>
      <c r="BP219" s="46"/>
      <c r="BQ219" s="45"/>
      <c r="BR219" s="46"/>
      <c r="BS219" s="45"/>
      <c r="BT219" s="46"/>
      <c r="BU219" s="45"/>
    </row>
    <row r="220" spans="1:73" ht="15">
      <c r="A220" s="61" t="s">
        <v>229</v>
      </c>
      <c r="B220" s="61" t="s">
        <v>354</v>
      </c>
      <c r="C220" s="62" t="s">
        <v>11692</v>
      </c>
      <c r="D220" s="63">
        <v>3</v>
      </c>
      <c r="E220" s="64" t="s">
        <v>132</v>
      </c>
      <c r="F220" s="65">
        <v>32</v>
      </c>
      <c r="G220" s="62"/>
      <c r="H220" s="66"/>
      <c r="I220" s="67"/>
      <c r="J220" s="67"/>
      <c r="K220" s="31" t="s">
        <v>65</v>
      </c>
      <c r="L220" s="75">
        <v>220</v>
      </c>
      <c r="M220" s="75"/>
      <c r="N220" s="69"/>
      <c r="O220" s="77" t="s">
        <v>539</v>
      </c>
      <c r="P220" s="79">
        <v>45161.711643518516</v>
      </c>
      <c r="Q220" s="77" t="s">
        <v>567</v>
      </c>
      <c r="R220" s="77">
        <v>0</v>
      </c>
      <c r="S220" s="77">
        <v>5</v>
      </c>
      <c r="T220" s="77">
        <v>0</v>
      </c>
      <c r="U220" s="77">
        <v>0</v>
      </c>
      <c r="V220" s="77">
        <v>64</v>
      </c>
      <c r="W220" s="81" t="s">
        <v>680</v>
      </c>
      <c r="X220" s="83" t="str">
        <f>HYPERLINK("https://bit.ly/3E8a4Ax")</f>
        <v>https://bit.ly/3E8a4Ax</v>
      </c>
      <c r="Y220" s="77" t="s">
        <v>740</v>
      </c>
      <c r="Z220" s="77" t="s">
        <v>765</v>
      </c>
      <c r="AA220" s="77"/>
      <c r="AB220" s="77"/>
      <c r="AC220" s="81" t="s">
        <v>853</v>
      </c>
      <c r="AD220" s="77" t="s">
        <v>859</v>
      </c>
      <c r="AE220" s="83" t="str">
        <f>HYPERLINK("https://twitter.com/mihkal/status/1694395266164576549")</f>
        <v>https://twitter.com/mihkal/status/1694395266164576549</v>
      </c>
      <c r="AF220" s="79">
        <v>45161.711643518516</v>
      </c>
      <c r="AG220" s="85">
        <v>45161</v>
      </c>
      <c r="AH220" s="81" t="s">
        <v>894</v>
      </c>
      <c r="AI220" s="77" t="b">
        <v>0</v>
      </c>
      <c r="AJ220" s="77"/>
      <c r="AK220" s="77"/>
      <c r="AL220" s="77"/>
      <c r="AM220" s="77"/>
      <c r="AN220" s="77"/>
      <c r="AO220" s="77"/>
      <c r="AP220" s="77"/>
      <c r="AQ220" s="77"/>
      <c r="AR220" s="77"/>
      <c r="AS220" s="77"/>
      <c r="AT220" s="77"/>
      <c r="AU220" s="77"/>
      <c r="AV220" s="83" t="str">
        <f>HYPERLINK("https://pbs.twimg.com/profile_images/1663227887837757440/XOjtFF4W_normal.jpg")</f>
        <v>https://pbs.twimg.com/profile_images/1663227887837757440/XOjtFF4W_normal.jpg</v>
      </c>
      <c r="AW220" s="81" t="s">
        <v>1049</v>
      </c>
      <c r="AX220" s="81" t="s">
        <v>1049</v>
      </c>
      <c r="AY220" s="77"/>
      <c r="AZ220" s="81" t="s">
        <v>1190</v>
      </c>
      <c r="BA220" s="81" t="s">
        <v>1190</v>
      </c>
      <c r="BB220" s="81" t="s">
        <v>1190</v>
      </c>
      <c r="BC220" s="81" t="s">
        <v>1049</v>
      </c>
      <c r="BD220" s="77">
        <v>24256031</v>
      </c>
      <c r="BE220" s="77"/>
      <c r="BF220" s="77"/>
      <c r="BG220" s="77"/>
      <c r="BH220" s="77"/>
      <c r="BI220" s="77"/>
      <c r="BJ220">
        <v>1</v>
      </c>
      <c r="BK220" s="76" t="str">
        <f>REPLACE(INDEX(GroupVertices[Group],MATCH(Edges[[#This Row],[Vertex 1]],GroupVertices[Vertex],0)),1,1,"")</f>
        <v>1</v>
      </c>
      <c r="BL220" s="76" t="str">
        <f>REPLACE(INDEX(GroupVertices[Group],MATCH(Edges[[#This Row],[Vertex 2]],GroupVertices[Vertex],0)),1,1,"")</f>
        <v>1</v>
      </c>
      <c r="BM220" s="45"/>
      <c r="BN220" s="46"/>
      <c r="BO220" s="45"/>
      <c r="BP220" s="46"/>
      <c r="BQ220" s="45"/>
      <c r="BR220" s="46"/>
      <c r="BS220" s="45"/>
      <c r="BT220" s="46"/>
      <c r="BU220" s="45"/>
    </row>
    <row r="221" spans="1:73" ht="15">
      <c r="A221" s="61" t="s">
        <v>229</v>
      </c>
      <c r="B221" s="61" t="s">
        <v>355</v>
      </c>
      <c r="C221" s="62" t="s">
        <v>11692</v>
      </c>
      <c r="D221" s="63">
        <v>3</v>
      </c>
      <c r="E221" s="64" t="s">
        <v>132</v>
      </c>
      <c r="F221" s="65">
        <v>32</v>
      </c>
      <c r="G221" s="62"/>
      <c r="H221" s="66"/>
      <c r="I221" s="67"/>
      <c r="J221" s="67"/>
      <c r="K221" s="31" t="s">
        <v>65</v>
      </c>
      <c r="L221" s="75">
        <v>221</v>
      </c>
      <c r="M221" s="75"/>
      <c r="N221" s="69"/>
      <c r="O221" s="77" t="s">
        <v>539</v>
      </c>
      <c r="P221" s="79">
        <v>45161.711643518516</v>
      </c>
      <c r="Q221" s="77" t="s">
        <v>567</v>
      </c>
      <c r="R221" s="77">
        <v>0</v>
      </c>
      <c r="S221" s="77">
        <v>5</v>
      </c>
      <c r="T221" s="77">
        <v>0</v>
      </c>
      <c r="U221" s="77">
        <v>0</v>
      </c>
      <c r="V221" s="77">
        <v>64</v>
      </c>
      <c r="W221" s="81" t="s">
        <v>680</v>
      </c>
      <c r="X221" s="83" t="str">
        <f>HYPERLINK("https://bit.ly/3E8a4Ax")</f>
        <v>https://bit.ly/3E8a4Ax</v>
      </c>
      <c r="Y221" s="77" t="s">
        <v>740</v>
      </c>
      <c r="Z221" s="77" t="s">
        <v>765</v>
      </c>
      <c r="AA221" s="77"/>
      <c r="AB221" s="77"/>
      <c r="AC221" s="81" t="s">
        <v>853</v>
      </c>
      <c r="AD221" s="77" t="s">
        <v>859</v>
      </c>
      <c r="AE221" s="83" t="str">
        <f>HYPERLINK("https://twitter.com/mihkal/status/1694395266164576549")</f>
        <v>https://twitter.com/mihkal/status/1694395266164576549</v>
      </c>
      <c r="AF221" s="79">
        <v>45161.711643518516</v>
      </c>
      <c r="AG221" s="85">
        <v>45161</v>
      </c>
      <c r="AH221" s="81" t="s">
        <v>894</v>
      </c>
      <c r="AI221" s="77" t="b">
        <v>0</v>
      </c>
      <c r="AJ221" s="77"/>
      <c r="AK221" s="77"/>
      <c r="AL221" s="77"/>
      <c r="AM221" s="77"/>
      <c r="AN221" s="77"/>
      <c r="AO221" s="77"/>
      <c r="AP221" s="77"/>
      <c r="AQ221" s="77"/>
      <c r="AR221" s="77"/>
      <c r="AS221" s="77"/>
      <c r="AT221" s="77"/>
      <c r="AU221" s="77"/>
      <c r="AV221" s="83" t="str">
        <f>HYPERLINK("https://pbs.twimg.com/profile_images/1663227887837757440/XOjtFF4W_normal.jpg")</f>
        <v>https://pbs.twimg.com/profile_images/1663227887837757440/XOjtFF4W_normal.jpg</v>
      </c>
      <c r="AW221" s="81" t="s">
        <v>1049</v>
      </c>
      <c r="AX221" s="81" t="s">
        <v>1049</v>
      </c>
      <c r="AY221" s="77"/>
      <c r="AZ221" s="81" t="s">
        <v>1190</v>
      </c>
      <c r="BA221" s="81" t="s">
        <v>1190</v>
      </c>
      <c r="BB221" s="81" t="s">
        <v>1190</v>
      </c>
      <c r="BC221" s="81" t="s">
        <v>1049</v>
      </c>
      <c r="BD221" s="77">
        <v>24256031</v>
      </c>
      <c r="BE221" s="77"/>
      <c r="BF221" s="77"/>
      <c r="BG221" s="77"/>
      <c r="BH221" s="77"/>
      <c r="BI221" s="77"/>
      <c r="BJ221">
        <v>1</v>
      </c>
      <c r="BK221" s="76" t="str">
        <f>REPLACE(INDEX(GroupVertices[Group],MATCH(Edges[[#This Row],[Vertex 1]],GroupVertices[Vertex],0)),1,1,"")</f>
        <v>1</v>
      </c>
      <c r="BL221" s="76" t="str">
        <f>REPLACE(INDEX(GroupVertices[Group],MATCH(Edges[[#This Row],[Vertex 2]],GroupVertices[Vertex],0)),1,1,"")</f>
        <v>1</v>
      </c>
      <c r="BM221" s="45"/>
      <c r="BN221" s="46"/>
      <c r="BO221" s="45"/>
      <c r="BP221" s="46"/>
      <c r="BQ221" s="45"/>
      <c r="BR221" s="46"/>
      <c r="BS221" s="45"/>
      <c r="BT221" s="46"/>
      <c r="BU221" s="45"/>
    </row>
    <row r="222" spans="1:73" ht="15">
      <c r="A222" s="61" t="s">
        <v>229</v>
      </c>
      <c r="B222" s="61" t="s">
        <v>356</v>
      </c>
      <c r="C222" s="62" t="s">
        <v>11692</v>
      </c>
      <c r="D222" s="63">
        <v>3</v>
      </c>
      <c r="E222" s="64" t="s">
        <v>132</v>
      </c>
      <c r="F222" s="65">
        <v>32</v>
      </c>
      <c r="G222" s="62"/>
      <c r="H222" s="66"/>
      <c r="I222" s="67"/>
      <c r="J222" s="67"/>
      <c r="K222" s="31" t="s">
        <v>65</v>
      </c>
      <c r="L222" s="75">
        <v>222</v>
      </c>
      <c r="M222" s="75"/>
      <c r="N222" s="69"/>
      <c r="O222" s="77" t="s">
        <v>539</v>
      </c>
      <c r="P222" s="79">
        <v>45161.711643518516</v>
      </c>
      <c r="Q222" s="77" t="s">
        <v>567</v>
      </c>
      <c r="R222" s="77">
        <v>0</v>
      </c>
      <c r="S222" s="77">
        <v>5</v>
      </c>
      <c r="T222" s="77">
        <v>0</v>
      </c>
      <c r="U222" s="77">
        <v>0</v>
      </c>
      <c r="V222" s="77">
        <v>64</v>
      </c>
      <c r="W222" s="81" t="s">
        <v>680</v>
      </c>
      <c r="X222" s="83" t="str">
        <f>HYPERLINK("https://bit.ly/3E8a4Ax")</f>
        <v>https://bit.ly/3E8a4Ax</v>
      </c>
      <c r="Y222" s="77" t="s">
        <v>740</v>
      </c>
      <c r="Z222" s="77" t="s">
        <v>765</v>
      </c>
      <c r="AA222" s="77"/>
      <c r="AB222" s="77"/>
      <c r="AC222" s="81" t="s">
        <v>853</v>
      </c>
      <c r="AD222" s="77" t="s">
        <v>859</v>
      </c>
      <c r="AE222" s="83" t="str">
        <f>HYPERLINK("https://twitter.com/mihkal/status/1694395266164576549")</f>
        <v>https://twitter.com/mihkal/status/1694395266164576549</v>
      </c>
      <c r="AF222" s="79">
        <v>45161.711643518516</v>
      </c>
      <c r="AG222" s="85">
        <v>45161</v>
      </c>
      <c r="AH222" s="81" t="s">
        <v>894</v>
      </c>
      <c r="AI222" s="77" t="b">
        <v>0</v>
      </c>
      <c r="AJ222" s="77"/>
      <c r="AK222" s="77"/>
      <c r="AL222" s="77"/>
      <c r="AM222" s="77"/>
      <c r="AN222" s="77"/>
      <c r="AO222" s="77"/>
      <c r="AP222" s="77"/>
      <c r="AQ222" s="77"/>
      <c r="AR222" s="77"/>
      <c r="AS222" s="77"/>
      <c r="AT222" s="77"/>
      <c r="AU222" s="77"/>
      <c r="AV222" s="83" t="str">
        <f>HYPERLINK("https://pbs.twimg.com/profile_images/1663227887837757440/XOjtFF4W_normal.jpg")</f>
        <v>https://pbs.twimg.com/profile_images/1663227887837757440/XOjtFF4W_normal.jpg</v>
      </c>
      <c r="AW222" s="81" t="s">
        <v>1049</v>
      </c>
      <c r="AX222" s="81" t="s">
        <v>1049</v>
      </c>
      <c r="AY222" s="77"/>
      <c r="AZ222" s="81" t="s">
        <v>1190</v>
      </c>
      <c r="BA222" s="81" t="s">
        <v>1190</v>
      </c>
      <c r="BB222" s="81" t="s">
        <v>1190</v>
      </c>
      <c r="BC222" s="81" t="s">
        <v>1049</v>
      </c>
      <c r="BD222" s="77">
        <v>24256031</v>
      </c>
      <c r="BE222" s="77"/>
      <c r="BF222" s="77"/>
      <c r="BG222" s="77"/>
      <c r="BH222" s="77"/>
      <c r="BI222" s="77"/>
      <c r="BJ222">
        <v>1</v>
      </c>
      <c r="BK222" s="76" t="str">
        <f>REPLACE(INDEX(GroupVertices[Group],MATCH(Edges[[#This Row],[Vertex 1]],GroupVertices[Vertex],0)),1,1,"")</f>
        <v>1</v>
      </c>
      <c r="BL222" s="76" t="str">
        <f>REPLACE(INDEX(GroupVertices[Group],MATCH(Edges[[#This Row],[Vertex 2]],GroupVertices[Vertex],0)),1,1,"")</f>
        <v>1</v>
      </c>
      <c r="BM222" s="45">
        <v>1</v>
      </c>
      <c r="BN222" s="46">
        <v>6.25</v>
      </c>
      <c r="BO222" s="45">
        <v>0</v>
      </c>
      <c r="BP222" s="46">
        <v>0</v>
      </c>
      <c r="BQ222" s="45">
        <v>0</v>
      </c>
      <c r="BR222" s="46">
        <v>0</v>
      </c>
      <c r="BS222" s="45">
        <v>14</v>
      </c>
      <c r="BT222" s="46">
        <v>87.5</v>
      </c>
      <c r="BU222" s="45">
        <v>16</v>
      </c>
    </row>
    <row r="223" spans="1:73" ht="15">
      <c r="A223" s="61" t="s">
        <v>229</v>
      </c>
      <c r="B223" s="61" t="s">
        <v>357</v>
      </c>
      <c r="C223" s="62" t="s">
        <v>11692</v>
      </c>
      <c r="D223" s="63">
        <v>3</v>
      </c>
      <c r="E223" s="64" t="s">
        <v>132</v>
      </c>
      <c r="F223" s="65">
        <v>32</v>
      </c>
      <c r="G223" s="62"/>
      <c r="H223" s="66"/>
      <c r="I223" s="67"/>
      <c r="J223" s="67"/>
      <c r="K223" s="31" t="s">
        <v>65</v>
      </c>
      <c r="L223" s="75">
        <v>223</v>
      </c>
      <c r="M223" s="75"/>
      <c r="N223" s="69"/>
      <c r="O223" s="77" t="s">
        <v>539</v>
      </c>
      <c r="P223" s="79">
        <v>45153.73174768518</v>
      </c>
      <c r="Q223" s="77" t="s">
        <v>568</v>
      </c>
      <c r="R223" s="77">
        <v>0</v>
      </c>
      <c r="S223" s="77">
        <v>5</v>
      </c>
      <c r="T223" s="77">
        <v>0</v>
      </c>
      <c r="U223" s="77">
        <v>0</v>
      </c>
      <c r="V223" s="77">
        <v>309</v>
      </c>
      <c r="W223" s="81" t="s">
        <v>681</v>
      </c>
      <c r="X223" s="83" t="str">
        <f>HYPERLINK("https://bit.ly/3OSFbpT")</f>
        <v>https://bit.ly/3OSFbpT</v>
      </c>
      <c r="Y223" s="77" t="s">
        <v>740</v>
      </c>
      <c r="Z223" s="77" t="s">
        <v>766</v>
      </c>
      <c r="AA223" s="77"/>
      <c r="AB223" s="77"/>
      <c r="AC223" s="81" t="s">
        <v>853</v>
      </c>
      <c r="AD223" s="77" t="s">
        <v>859</v>
      </c>
      <c r="AE223" s="83" t="str">
        <f>HYPERLINK("https://twitter.com/mihkal/status/1691503450989666304")</f>
        <v>https://twitter.com/mihkal/status/1691503450989666304</v>
      </c>
      <c r="AF223" s="79">
        <v>45153.73174768518</v>
      </c>
      <c r="AG223" s="85">
        <v>45153</v>
      </c>
      <c r="AH223" s="81" t="s">
        <v>895</v>
      </c>
      <c r="AI223" s="77" t="b">
        <v>0</v>
      </c>
      <c r="AJ223" s="77"/>
      <c r="AK223" s="77"/>
      <c r="AL223" s="77"/>
      <c r="AM223" s="77"/>
      <c r="AN223" s="77"/>
      <c r="AO223" s="77"/>
      <c r="AP223" s="77"/>
      <c r="AQ223" s="77"/>
      <c r="AR223" s="77"/>
      <c r="AS223" s="77"/>
      <c r="AT223" s="77"/>
      <c r="AU223" s="77"/>
      <c r="AV223" s="83" t="str">
        <f>HYPERLINK("https://pbs.twimg.com/profile_images/1663227887837757440/XOjtFF4W_normal.jpg")</f>
        <v>https://pbs.twimg.com/profile_images/1663227887837757440/XOjtFF4W_normal.jpg</v>
      </c>
      <c r="AW223" s="81" t="s">
        <v>1050</v>
      </c>
      <c r="AX223" s="81" t="s">
        <v>1050</v>
      </c>
      <c r="AY223" s="77"/>
      <c r="AZ223" s="81" t="s">
        <v>1190</v>
      </c>
      <c r="BA223" s="81" t="s">
        <v>1190</v>
      </c>
      <c r="BB223" s="81" t="s">
        <v>1190</v>
      </c>
      <c r="BC223" s="81" t="s">
        <v>1050</v>
      </c>
      <c r="BD223" s="77">
        <v>24256031</v>
      </c>
      <c r="BE223" s="77"/>
      <c r="BF223" s="77"/>
      <c r="BG223" s="77"/>
      <c r="BH223" s="77"/>
      <c r="BI223" s="77"/>
      <c r="BJ223">
        <v>1</v>
      </c>
      <c r="BK223" s="76" t="str">
        <f>REPLACE(INDEX(GroupVertices[Group],MATCH(Edges[[#This Row],[Vertex 1]],GroupVertices[Vertex],0)),1,1,"")</f>
        <v>1</v>
      </c>
      <c r="BL223" s="76" t="str">
        <f>REPLACE(INDEX(GroupVertices[Group],MATCH(Edges[[#This Row],[Vertex 2]],GroupVertices[Vertex],0)),1,1,"")</f>
        <v>1</v>
      </c>
      <c r="BM223" s="45"/>
      <c r="BN223" s="46"/>
      <c r="BO223" s="45"/>
      <c r="BP223" s="46"/>
      <c r="BQ223" s="45"/>
      <c r="BR223" s="46"/>
      <c r="BS223" s="45"/>
      <c r="BT223" s="46"/>
      <c r="BU223" s="45"/>
    </row>
    <row r="224" spans="1:73" ht="15">
      <c r="A224" s="61" t="s">
        <v>229</v>
      </c>
      <c r="B224" s="61" t="s">
        <v>358</v>
      </c>
      <c r="C224" s="62" t="s">
        <v>11692</v>
      </c>
      <c r="D224" s="63">
        <v>3</v>
      </c>
      <c r="E224" s="64" t="s">
        <v>132</v>
      </c>
      <c r="F224" s="65">
        <v>32</v>
      </c>
      <c r="G224" s="62"/>
      <c r="H224" s="66"/>
      <c r="I224" s="67"/>
      <c r="J224" s="67"/>
      <c r="K224" s="31" t="s">
        <v>65</v>
      </c>
      <c r="L224" s="75">
        <v>224</v>
      </c>
      <c r="M224" s="75"/>
      <c r="N224" s="69"/>
      <c r="O224" s="77" t="s">
        <v>539</v>
      </c>
      <c r="P224" s="79">
        <v>45153.73174768518</v>
      </c>
      <c r="Q224" s="77" t="s">
        <v>568</v>
      </c>
      <c r="R224" s="77">
        <v>0</v>
      </c>
      <c r="S224" s="77">
        <v>5</v>
      </c>
      <c r="T224" s="77">
        <v>0</v>
      </c>
      <c r="U224" s="77">
        <v>0</v>
      </c>
      <c r="V224" s="77">
        <v>309</v>
      </c>
      <c r="W224" s="81" t="s">
        <v>681</v>
      </c>
      <c r="X224" s="83" t="str">
        <f>HYPERLINK("https://bit.ly/3OSFbpT")</f>
        <v>https://bit.ly/3OSFbpT</v>
      </c>
      <c r="Y224" s="77" t="s">
        <v>740</v>
      </c>
      <c r="Z224" s="77" t="s">
        <v>766</v>
      </c>
      <c r="AA224" s="77"/>
      <c r="AB224" s="77"/>
      <c r="AC224" s="81" t="s">
        <v>853</v>
      </c>
      <c r="AD224" s="77" t="s">
        <v>859</v>
      </c>
      <c r="AE224" s="83" t="str">
        <f>HYPERLINK("https://twitter.com/mihkal/status/1691503450989666304")</f>
        <v>https://twitter.com/mihkal/status/1691503450989666304</v>
      </c>
      <c r="AF224" s="79">
        <v>45153.73174768518</v>
      </c>
      <c r="AG224" s="85">
        <v>45153</v>
      </c>
      <c r="AH224" s="81" t="s">
        <v>895</v>
      </c>
      <c r="AI224" s="77" t="b">
        <v>0</v>
      </c>
      <c r="AJ224" s="77"/>
      <c r="AK224" s="77"/>
      <c r="AL224" s="77"/>
      <c r="AM224" s="77"/>
      <c r="AN224" s="77"/>
      <c r="AO224" s="77"/>
      <c r="AP224" s="77"/>
      <c r="AQ224" s="77"/>
      <c r="AR224" s="77"/>
      <c r="AS224" s="77"/>
      <c r="AT224" s="77"/>
      <c r="AU224" s="77"/>
      <c r="AV224" s="83" t="str">
        <f>HYPERLINK("https://pbs.twimg.com/profile_images/1663227887837757440/XOjtFF4W_normal.jpg")</f>
        <v>https://pbs.twimg.com/profile_images/1663227887837757440/XOjtFF4W_normal.jpg</v>
      </c>
      <c r="AW224" s="81" t="s">
        <v>1050</v>
      </c>
      <c r="AX224" s="81" t="s">
        <v>1050</v>
      </c>
      <c r="AY224" s="77"/>
      <c r="AZ224" s="81" t="s">
        <v>1190</v>
      </c>
      <c r="BA224" s="81" t="s">
        <v>1190</v>
      </c>
      <c r="BB224" s="81" t="s">
        <v>1190</v>
      </c>
      <c r="BC224" s="81" t="s">
        <v>1050</v>
      </c>
      <c r="BD224" s="77">
        <v>24256031</v>
      </c>
      <c r="BE224" s="77"/>
      <c r="BF224" s="77"/>
      <c r="BG224" s="77"/>
      <c r="BH224" s="77"/>
      <c r="BI224" s="77"/>
      <c r="BJ224">
        <v>1</v>
      </c>
      <c r="BK224" s="76" t="str">
        <f>REPLACE(INDEX(GroupVertices[Group],MATCH(Edges[[#This Row],[Vertex 1]],GroupVertices[Vertex],0)),1,1,"")</f>
        <v>1</v>
      </c>
      <c r="BL224" s="76" t="str">
        <f>REPLACE(INDEX(GroupVertices[Group],MATCH(Edges[[#This Row],[Vertex 2]],GroupVertices[Vertex],0)),1,1,"")</f>
        <v>1</v>
      </c>
      <c r="BM224" s="45"/>
      <c r="BN224" s="46"/>
      <c r="BO224" s="45"/>
      <c r="BP224" s="46"/>
      <c r="BQ224" s="45"/>
      <c r="BR224" s="46"/>
      <c r="BS224" s="45"/>
      <c r="BT224" s="46"/>
      <c r="BU224" s="45"/>
    </row>
    <row r="225" spans="1:73" ht="15">
      <c r="A225" s="61" t="s">
        <v>229</v>
      </c>
      <c r="B225" s="61" t="s">
        <v>359</v>
      </c>
      <c r="C225" s="62" t="s">
        <v>11692</v>
      </c>
      <c r="D225" s="63">
        <v>3</v>
      </c>
      <c r="E225" s="64" t="s">
        <v>132</v>
      </c>
      <c r="F225" s="65">
        <v>32</v>
      </c>
      <c r="G225" s="62"/>
      <c r="H225" s="66"/>
      <c r="I225" s="67"/>
      <c r="J225" s="67"/>
      <c r="K225" s="31" t="s">
        <v>65</v>
      </c>
      <c r="L225" s="75">
        <v>225</v>
      </c>
      <c r="M225" s="75"/>
      <c r="N225" s="69"/>
      <c r="O225" s="77" t="s">
        <v>539</v>
      </c>
      <c r="P225" s="79">
        <v>45153.73174768518</v>
      </c>
      <c r="Q225" s="77" t="s">
        <v>568</v>
      </c>
      <c r="R225" s="77">
        <v>0</v>
      </c>
      <c r="S225" s="77">
        <v>5</v>
      </c>
      <c r="T225" s="77">
        <v>0</v>
      </c>
      <c r="U225" s="77">
        <v>0</v>
      </c>
      <c r="V225" s="77">
        <v>309</v>
      </c>
      <c r="W225" s="81" t="s">
        <v>681</v>
      </c>
      <c r="X225" s="83" t="str">
        <f>HYPERLINK("https://bit.ly/3OSFbpT")</f>
        <v>https://bit.ly/3OSFbpT</v>
      </c>
      <c r="Y225" s="77" t="s">
        <v>740</v>
      </c>
      <c r="Z225" s="77" t="s">
        <v>766</v>
      </c>
      <c r="AA225" s="77"/>
      <c r="AB225" s="77"/>
      <c r="AC225" s="81" t="s">
        <v>853</v>
      </c>
      <c r="AD225" s="77" t="s">
        <v>859</v>
      </c>
      <c r="AE225" s="83" t="str">
        <f>HYPERLINK("https://twitter.com/mihkal/status/1691503450989666304")</f>
        <v>https://twitter.com/mihkal/status/1691503450989666304</v>
      </c>
      <c r="AF225" s="79">
        <v>45153.73174768518</v>
      </c>
      <c r="AG225" s="85">
        <v>45153</v>
      </c>
      <c r="AH225" s="81" t="s">
        <v>895</v>
      </c>
      <c r="AI225" s="77" t="b">
        <v>0</v>
      </c>
      <c r="AJ225" s="77"/>
      <c r="AK225" s="77"/>
      <c r="AL225" s="77"/>
      <c r="AM225" s="77"/>
      <c r="AN225" s="77"/>
      <c r="AO225" s="77"/>
      <c r="AP225" s="77"/>
      <c r="AQ225" s="77"/>
      <c r="AR225" s="77"/>
      <c r="AS225" s="77"/>
      <c r="AT225" s="77"/>
      <c r="AU225" s="77"/>
      <c r="AV225" s="83" t="str">
        <f>HYPERLINK("https://pbs.twimg.com/profile_images/1663227887837757440/XOjtFF4W_normal.jpg")</f>
        <v>https://pbs.twimg.com/profile_images/1663227887837757440/XOjtFF4W_normal.jpg</v>
      </c>
      <c r="AW225" s="81" t="s">
        <v>1050</v>
      </c>
      <c r="AX225" s="81" t="s">
        <v>1050</v>
      </c>
      <c r="AY225" s="77"/>
      <c r="AZ225" s="81" t="s">
        <v>1190</v>
      </c>
      <c r="BA225" s="81" t="s">
        <v>1190</v>
      </c>
      <c r="BB225" s="81" t="s">
        <v>1190</v>
      </c>
      <c r="BC225" s="81" t="s">
        <v>1050</v>
      </c>
      <c r="BD225" s="77">
        <v>24256031</v>
      </c>
      <c r="BE225" s="77"/>
      <c r="BF225" s="77"/>
      <c r="BG225" s="77"/>
      <c r="BH225" s="77"/>
      <c r="BI225" s="77"/>
      <c r="BJ225">
        <v>1</v>
      </c>
      <c r="BK225" s="76" t="str">
        <f>REPLACE(INDEX(GroupVertices[Group],MATCH(Edges[[#This Row],[Vertex 1]],GroupVertices[Vertex],0)),1,1,"")</f>
        <v>1</v>
      </c>
      <c r="BL225" s="76" t="str">
        <f>REPLACE(INDEX(GroupVertices[Group],MATCH(Edges[[#This Row],[Vertex 2]],GroupVertices[Vertex],0)),1,1,"")</f>
        <v>1</v>
      </c>
      <c r="BM225" s="45"/>
      <c r="BN225" s="46"/>
      <c r="BO225" s="45"/>
      <c r="BP225" s="46"/>
      <c r="BQ225" s="45"/>
      <c r="BR225" s="46"/>
      <c r="BS225" s="45"/>
      <c r="BT225" s="46"/>
      <c r="BU225" s="45"/>
    </row>
    <row r="226" spans="1:73" ht="15">
      <c r="A226" s="61" t="s">
        <v>229</v>
      </c>
      <c r="B226" s="61" t="s">
        <v>360</v>
      </c>
      <c r="C226" s="62" t="s">
        <v>11692</v>
      </c>
      <c r="D226" s="63">
        <v>3</v>
      </c>
      <c r="E226" s="64" t="s">
        <v>132</v>
      </c>
      <c r="F226" s="65">
        <v>32</v>
      </c>
      <c r="G226" s="62"/>
      <c r="H226" s="66"/>
      <c r="I226" s="67"/>
      <c r="J226" s="67"/>
      <c r="K226" s="31" t="s">
        <v>65</v>
      </c>
      <c r="L226" s="75">
        <v>226</v>
      </c>
      <c r="M226" s="75"/>
      <c r="N226" s="69"/>
      <c r="O226" s="77" t="s">
        <v>539</v>
      </c>
      <c r="P226" s="79">
        <v>45153.61119212963</v>
      </c>
      <c r="Q226" s="77" t="s">
        <v>569</v>
      </c>
      <c r="R226" s="77">
        <v>0</v>
      </c>
      <c r="S226" s="77">
        <v>4</v>
      </c>
      <c r="T226" s="77">
        <v>0</v>
      </c>
      <c r="U226" s="77">
        <v>0</v>
      </c>
      <c r="V226" s="77">
        <v>21</v>
      </c>
      <c r="W226" s="81" t="s">
        <v>682</v>
      </c>
      <c r="X226" s="83" t="str">
        <f>HYPERLINK("https://bit.ly/457scqc")</f>
        <v>https://bit.ly/457scqc</v>
      </c>
      <c r="Y226" s="77" t="s">
        <v>740</v>
      </c>
      <c r="Z226" s="77" t="s">
        <v>767</v>
      </c>
      <c r="AA226" s="77"/>
      <c r="AB226" s="77"/>
      <c r="AC226" s="81" t="s">
        <v>853</v>
      </c>
      <c r="AD226" s="77" t="s">
        <v>859</v>
      </c>
      <c r="AE226" s="83" t="str">
        <f>HYPERLINK("https://twitter.com/mihkal/status/1691459761919995904")</f>
        <v>https://twitter.com/mihkal/status/1691459761919995904</v>
      </c>
      <c r="AF226" s="79">
        <v>45153.61119212963</v>
      </c>
      <c r="AG226" s="85">
        <v>45153</v>
      </c>
      <c r="AH226" s="81" t="s">
        <v>896</v>
      </c>
      <c r="AI226" s="77" t="b">
        <v>0</v>
      </c>
      <c r="AJ226" s="77"/>
      <c r="AK226" s="77"/>
      <c r="AL226" s="77"/>
      <c r="AM226" s="77"/>
      <c r="AN226" s="77"/>
      <c r="AO226" s="77"/>
      <c r="AP226" s="77"/>
      <c r="AQ226" s="77"/>
      <c r="AR226" s="77"/>
      <c r="AS226" s="77"/>
      <c r="AT226" s="77"/>
      <c r="AU226" s="77"/>
      <c r="AV226" s="83" t="str">
        <f>HYPERLINK("https://pbs.twimg.com/profile_images/1663227887837757440/XOjtFF4W_normal.jpg")</f>
        <v>https://pbs.twimg.com/profile_images/1663227887837757440/XOjtFF4W_normal.jpg</v>
      </c>
      <c r="AW226" s="81" t="s">
        <v>1051</v>
      </c>
      <c r="AX226" s="81" t="s">
        <v>1051</v>
      </c>
      <c r="AY226" s="81" t="s">
        <v>1175</v>
      </c>
      <c r="AZ226" s="81" t="s">
        <v>1190</v>
      </c>
      <c r="BA226" s="81" t="s">
        <v>1190</v>
      </c>
      <c r="BB226" s="81" t="s">
        <v>1190</v>
      </c>
      <c r="BC226" s="81" t="s">
        <v>1051</v>
      </c>
      <c r="BD226" s="77">
        <v>24256031</v>
      </c>
      <c r="BE226" s="77"/>
      <c r="BF226" s="77"/>
      <c r="BG226" s="77"/>
      <c r="BH226" s="77"/>
      <c r="BI226" s="77"/>
      <c r="BJ226">
        <v>1</v>
      </c>
      <c r="BK226" s="76" t="str">
        <f>REPLACE(INDEX(GroupVertices[Group],MATCH(Edges[[#This Row],[Vertex 1]],GroupVertices[Vertex],0)),1,1,"")</f>
        <v>1</v>
      </c>
      <c r="BL226" s="76" t="str">
        <f>REPLACE(INDEX(GroupVertices[Group],MATCH(Edges[[#This Row],[Vertex 2]],GroupVertices[Vertex],0)),1,1,"")</f>
        <v>1</v>
      </c>
      <c r="BM226" s="45"/>
      <c r="BN226" s="46"/>
      <c r="BO226" s="45"/>
      <c r="BP226" s="46"/>
      <c r="BQ226" s="45"/>
      <c r="BR226" s="46"/>
      <c r="BS226" s="45"/>
      <c r="BT226" s="46"/>
      <c r="BU226" s="45"/>
    </row>
    <row r="227" spans="1:73" ht="15">
      <c r="A227" s="61" t="s">
        <v>229</v>
      </c>
      <c r="B227" s="61" t="s">
        <v>361</v>
      </c>
      <c r="C227" s="62" t="s">
        <v>11692</v>
      </c>
      <c r="D227" s="63">
        <v>3</v>
      </c>
      <c r="E227" s="64" t="s">
        <v>132</v>
      </c>
      <c r="F227" s="65">
        <v>32</v>
      </c>
      <c r="G227" s="62"/>
      <c r="H227" s="66"/>
      <c r="I227" s="67"/>
      <c r="J227" s="67"/>
      <c r="K227" s="31" t="s">
        <v>65</v>
      </c>
      <c r="L227" s="75">
        <v>227</v>
      </c>
      <c r="M227" s="75"/>
      <c r="N227" s="69"/>
      <c r="O227" s="77" t="s">
        <v>539</v>
      </c>
      <c r="P227" s="79">
        <v>45153.61119212963</v>
      </c>
      <c r="Q227" s="77" t="s">
        <v>569</v>
      </c>
      <c r="R227" s="77">
        <v>0</v>
      </c>
      <c r="S227" s="77">
        <v>4</v>
      </c>
      <c r="T227" s="77">
        <v>0</v>
      </c>
      <c r="U227" s="77">
        <v>0</v>
      </c>
      <c r="V227" s="77">
        <v>21</v>
      </c>
      <c r="W227" s="81" t="s">
        <v>682</v>
      </c>
      <c r="X227" s="83" t="str">
        <f>HYPERLINK("https://bit.ly/457scqc")</f>
        <v>https://bit.ly/457scqc</v>
      </c>
      <c r="Y227" s="77" t="s">
        <v>740</v>
      </c>
      <c r="Z227" s="77" t="s">
        <v>767</v>
      </c>
      <c r="AA227" s="77"/>
      <c r="AB227" s="77"/>
      <c r="AC227" s="81" t="s">
        <v>853</v>
      </c>
      <c r="AD227" s="77" t="s">
        <v>859</v>
      </c>
      <c r="AE227" s="83" t="str">
        <f>HYPERLINK("https://twitter.com/mihkal/status/1691459761919995904")</f>
        <v>https://twitter.com/mihkal/status/1691459761919995904</v>
      </c>
      <c r="AF227" s="79">
        <v>45153.61119212963</v>
      </c>
      <c r="AG227" s="85">
        <v>45153</v>
      </c>
      <c r="AH227" s="81" t="s">
        <v>896</v>
      </c>
      <c r="AI227" s="77" t="b">
        <v>0</v>
      </c>
      <c r="AJ227" s="77"/>
      <c r="AK227" s="77"/>
      <c r="AL227" s="77"/>
      <c r="AM227" s="77"/>
      <c r="AN227" s="77"/>
      <c r="AO227" s="77"/>
      <c r="AP227" s="77"/>
      <c r="AQ227" s="77"/>
      <c r="AR227" s="77"/>
      <c r="AS227" s="77"/>
      <c r="AT227" s="77"/>
      <c r="AU227" s="77"/>
      <c r="AV227" s="83" t="str">
        <f>HYPERLINK("https://pbs.twimg.com/profile_images/1663227887837757440/XOjtFF4W_normal.jpg")</f>
        <v>https://pbs.twimg.com/profile_images/1663227887837757440/XOjtFF4W_normal.jpg</v>
      </c>
      <c r="AW227" s="81" t="s">
        <v>1051</v>
      </c>
      <c r="AX227" s="81" t="s">
        <v>1051</v>
      </c>
      <c r="AY227" s="81" t="s">
        <v>1175</v>
      </c>
      <c r="AZ227" s="81" t="s">
        <v>1190</v>
      </c>
      <c r="BA227" s="81" t="s">
        <v>1190</v>
      </c>
      <c r="BB227" s="81" t="s">
        <v>1190</v>
      </c>
      <c r="BC227" s="81" t="s">
        <v>1051</v>
      </c>
      <c r="BD227" s="77">
        <v>24256031</v>
      </c>
      <c r="BE227" s="77"/>
      <c r="BF227" s="77"/>
      <c r="BG227" s="77"/>
      <c r="BH227" s="77"/>
      <c r="BI227" s="77"/>
      <c r="BJ227">
        <v>1</v>
      </c>
      <c r="BK227" s="76" t="str">
        <f>REPLACE(INDEX(GroupVertices[Group],MATCH(Edges[[#This Row],[Vertex 1]],GroupVertices[Vertex],0)),1,1,"")</f>
        <v>1</v>
      </c>
      <c r="BL227" s="76" t="str">
        <f>REPLACE(INDEX(GroupVertices[Group],MATCH(Edges[[#This Row],[Vertex 2]],GroupVertices[Vertex],0)),1,1,"")</f>
        <v>1</v>
      </c>
      <c r="BM227" s="45"/>
      <c r="BN227" s="46"/>
      <c r="BO227" s="45"/>
      <c r="BP227" s="46"/>
      <c r="BQ227" s="45"/>
      <c r="BR227" s="46"/>
      <c r="BS227" s="45"/>
      <c r="BT227" s="46"/>
      <c r="BU227" s="45"/>
    </row>
    <row r="228" spans="1:73" ht="15">
      <c r="A228" s="61" t="s">
        <v>229</v>
      </c>
      <c r="B228" s="61" t="s">
        <v>362</v>
      </c>
      <c r="C228" s="62" t="s">
        <v>11694</v>
      </c>
      <c r="D228" s="63">
        <v>5.8</v>
      </c>
      <c r="E228" s="64" t="s">
        <v>132</v>
      </c>
      <c r="F228" s="65">
        <v>23.2</v>
      </c>
      <c r="G228" s="62"/>
      <c r="H228" s="66"/>
      <c r="I228" s="67"/>
      <c r="J228" s="67"/>
      <c r="K228" s="31" t="s">
        <v>65</v>
      </c>
      <c r="L228" s="75">
        <v>228</v>
      </c>
      <c r="M228" s="75"/>
      <c r="N228" s="69"/>
      <c r="O228" s="77" t="s">
        <v>539</v>
      </c>
      <c r="P228" s="79">
        <v>45163.71129629629</v>
      </c>
      <c r="Q228" s="77" t="s">
        <v>566</v>
      </c>
      <c r="R228" s="77">
        <v>0</v>
      </c>
      <c r="S228" s="77">
        <v>6</v>
      </c>
      <c r="T228" s="77">
        <v>1</v>
      </c>
      <c r="U228" s="77">
        <v>0</v>
      </c>
      <c r="V228" s="77">
        <v>122</v>
      </c>
      <c r="W228" s="81" t="s">
        <v>679</v>
      </c>
      <c r="X228" s="83" t="str">
        <f>HYPERLINK("https://bit.ly/44lcKFG")</f>
        <v>https://bit.ly/44lcKFG</v>
      </c>
      <c r="Y228" s="77" t="s">
        <v>740</v>
      </c>
      <c r="Z228" s="77" t="s">
        <v>764</v>
      </c>
      <c r="AA228" s="77"/>
      <c r="AB228" s="77"/>
      <c r="AC228" s="81" t="s">
        <v>853</v>
      </c>
      <c r="AD228" s="77" t="s">
        <v>859</v>
      </c>
      <c r="AE228" s="83" t="str">
        <f>HYPERLINK("https://twitter.com/mihkal/status/1695119915429085633")</f>
        <v>https://twitter.com/mihkal/status/1695119915429085633</v>
      </c>
      <c r="AF228" s="79">
        <v>45163.71129629629</v>
      </c>
      <c r="AG228" s="85">
        <v>45163</v>
      </c>
      <c r="AH228" s="81" t="s">
        <v>893</v>
      </c>
      <c r="AI228" s="77" t="b">
        <v>0</v>
      </c>
      <c r="AJ228" s="77"/>
      <c r="AK228" s="77"/>
      <c r="AL228" s="77"/>
      <c r="AM228" s="77"/>
      <c r="AN228" s="77"/>
      <c r="AO228" s="77"/>
      <c r="AP228" s="77"/>
      <c r="AQ228" s="77"/>
      <c r="AR228" s="77"/>
      <c r="AS228" s="77"/>
      <c r="AT228" s="77"/>
      <c r="AU228" s="77"/>
      <c r="AV228" s="83" t="str">
        <f>HYPERLINK("https://pbs.twimg.com/profile_images/1663227887837757440/XOjtFF4W_normal.jpg")</f>
        <v>https://pbs.twimg.com/profile_images/1663227887837757440/XOjtFF4W_normal.jpg</v>
      </c>
      <c r="AW228" s="81" t="s">
        <v>1048</v>
      </c>
      <c r="AX228" s="81" t="s">
        <v>1048</v>
      </c>
      <c r="AY228" s="77"/>
      <c r="AZ228" s="81" t="s">
        <v>1190</v>
      </c>
      <c r="BA228" s="81" t="s">
        <v>1190</v>
      </c>
      <c r="BB228" s="81" t="s">
        <v>1190</v>
      </c>
      <c r="BC228" s="81" t="s">
        <v>1048</v>
      </c>
      <c r="BD228" s="77">
        <v>24256031</v>
      </c>
      <c r="BE228" s="77"/>
      <c r="BF228" s="77"/>
      <c r="BG228" s="77"/>
      <c r="BH228" s="77"/>
      <c r="BI228" s="77"/>
      <c r="BJ228">
        <v>3</v>
      </c>
      <c r="BK228" s="76" t="str">
        <f>REPLACE(INDEX(GroupVertices[Group],MATCH(Edges[[#This Row],[Vertex 1]],GroupVertices[Vertex],0)),1,1,"")</f>
        <v>1</v>
      </c>
      <c r="BL228" s="76" t="str">
        <f>REPLACE(INDEX(GroupVertices[Group],MATCH(Edges[[#This Row],[Vertex 2]],GroupVertices[Vertex],0)),1,1,"")</f>
        <v>1</v>
      </c>
      <c r="BM228" s="45"/>
      <c r="BN228" s="46"/>
      <c r="BO228" s="45"/>
      <c r="BP228" s="46"/>
      <c r="BQ228" s="45"/>
      <c r="BR228" s="46"/>
      <c r="BS228" s="45"/>
      <c r="BT228" s="46"/>
      <c r="BU228" s="45"/>
    </row>
    <row r="229" spans="1:73" ht="15">
      <c r="A229" s="61" t="s">
        <v>229</v>
      </c>
      <c r="B229" s="61" t="s">
        <v>362</v>
      </c>
      <c r="C229" s="62" t="s">
        <v>11694</v>
      </c>
      <c r="D229" s="63">
        <v>5.8</v>
      </c>
      <c r="E229" s="64" t="s">
        <v>132</v>
      </c>
      <c r="F229" s="65">
        <v>23.2</v>
      </c>
      <c r="G229" s="62"/>
      <c r="H229" s="66"/>
      <c r="I229" s="67"/>
      <c r="J229" s="67"/>
      <c r="K229" s="31" t="s">
        <v>65</v>
      </c>
      <c r="L229" s="75">
        <v>229</v>
      </c>
      <c r="M229" s="75"/>
      <c r="N229" s="69"/>
      <c r="O229" s="77" t="s">
        <v>539</v>
      </c>
      <c r="P229" s="79">
        <v>45153.73174768518</v>
      </c>
      <c r="Q229" s="77" t="s">
        <v>568</v>
      </c>
      <c r="R229" s="77">
        <v>0</v>
      </c>
      <c r="S229" s="77">
        <v>5</v>
      </c>
      <c r="T229" s="77">
        <v>0</v>
      </c>
      <c r="U229" s="77">
        <v>0</v>
      </c>
      <c r="V229" s="77">
        <v>309</v>
      </c>
      <c r="W229" s="81" t="s">
        <v>681</v>
      </c>
      <c r="X229" s="83" t="str">
        <f>HYPERLINK("https://bit.ly/3OSFbpT")</f>
        <v>https://bit.ly/3OSFbpT</v>
      </c>
      <c r="Y229" s="77" t="s">
        <v>740</v>
      </c>
      <c r="Z229" s="77" t="s">
        <v>766</v>
      </c>
      <c r="AA229" s="77"/>
      <c r="AB229" s="77"/>
      <c r="AC229" s="81" t="s">
        <v>853</v>
      </c>
      <c r="AD229" s="77" t="s">
        <v>859</v>
      </c>
      <c r="AE229" s="83" t="str">
        <f>HYPERLINK("https://twitter.com/mihkal/status/1691503450989666304")</f>
        <v>https://twitter.com/mihkal/status/1691503450989666304</v>
      </c>
      <c r="AF229" s="79">
        <v>45153.73174768518</v>
      </c>
      <c r="AG229" s="85">
        <v>45153</v>
      </c>
      <c r="AH229" s="81" t="s">
        <v>895</v>
      </c>
      <c r="AI229" s="77" t="b">
        <v>0</v>
      </c>
      <c r="AJ229" s="77"/>
      <c r="AK229" s="77"/>
      <c r="AL229" s="77"/>
      <c r="AM229" s="77"/>
      <c r="AN229" s="77"/>
      <c r="AO229" s="77"/>
      <c r="AP229" s="77"/>
      <c r="AQ229" s="77"/>
      <c r="AR229" s="77"/>
      <c r="AS229" s="77"/>
      <c r="AT229" s="77"/>
      <c r="AU229" s="77"/>
      <c r="AV229" s="83" t="str">
        <f>HYPERLINK("https://pbs.twimg.com/profile_images/1663227887837757440/XOjtFF4W_normal.jpg")</f>
        <v>https://pbs.twimg.com/profile_images/1663227887837757440/XOjtFF4W_normal.jpg</v>
      </c>
      <c r="AW229" s="81" t="s">
        <v>1050</v>
      </c>
      <c r="AX229" s="81" t="s">
        <v>1050</v>
      </c>
      <c r="AY229" s="77"/>
      <c r="AZ229" s="81" t="s">
        <v>1190</v>
      </c>
      <c r="BA229" s="81" t="s">
        <v>1190</v>
      </c>
      <c r="BB229" s="81" t="s">
        <v>1190</v>
      </c>
      <c r="BC229" s="81" t="s">
        <v>1050</v>
      </c>
      <c r="BD229" s="77">
        <v>24256031</v>
      </c>
      <c r="BE229" s="77"/>
      <c r="BF229" s="77"/>
      <c r="BG229" s="77"/>
      <c r="BH229" s="77"/>
      <c r="BI229" s="77"/>
      <c r="BJ229">
        <v>3</v>
      </c>
      <c r="BK229" s="76" t="str">
        <f>REPLACE(INDEX(GroupVertices[Group],MATCH(Edges[[#This Row],[Vertex 1]],GroupVertices[Vertex],0)),1,1,"")</f>
        <v>1</v>
      </c>
      <c r="BL229" s="76" t="str">
        <f>REPLACE(INDEX(GroupVertices[Group],MATCH(Edges[[#This Row],[Vertex 2]],GroupVertices[Vertex],0)),1,1,"")</f>
        <v>1</v>
      </c>
      <c r="BM229" s="45"/>
      <c r="BN229" s="46"/>
      <c r="BO229" s="45"/>
      <c r="BP229" s="46"/>
      <c r="BQ229" s="45"/>
      <c r="BR229" s="46"/>
      <c r="BS229" s="45"/>
      <c r="BT229" s="46"/>
      <c r="BU229" s="45"/>
    </row>
    <row r="230" spans="1:73" ht="15">
      <c r="A230" s="61" t="s">
        <v>229</v>
      </c>
      <c r="B230" s="61" t="s">
        <v>362</v>
      </c>
      <c r="C230" s="62" t="s">
        <v>11694</v>
      </c>
      <c r="D230" s="63">
        <v>5.8</v>
      </c>
      <c r="E230" s="64" t="s">
        <v>132</v>
      </c>
      <c r="F230" s="65">
        <v>23.2</v>
      </c>
      <c r="G230" s="62"/>
      <c r="H230" s="66"/>
      <c r="I230" s="67"/>
      <c r="J230" s="67"/>
      <c r="K230" s="31" t="s">
        <v>65</v>
      </c>
      <c r="L230" s="75">
        <v>230</v>
      </c>
      <c r="M230" s="75"/>
      <c r="N230" s="69"/>
      <c r="O230" s="77" t="s">
        <v>539</v>
      </c>
      <c r="P230" s="79">
        <v>45153.61119212963</v>
      </c>
      <c r="Q230" s="77" t="s">
        <v>569</v>
      </c>
      <c r="R230" s="77">
        <v>0</v>
      </c>
      <c r="S230" s="77">
        <v>4</v>
      </c>
      <c r="T230" s="77">
        <v>0</v>
      </c>
      <c r="U230" s="77">
        <v>0</v>
      </c>
      <c r="V230" s="77">
        <v>21</v>
      </c>
      <c r="W230" s="81" t="s">
        <v>682</v>
      </c>
      <c r="X230" s="83" t="str">
        <f>HYPERLINK("https://bit.ly/457scqc")</f>
        <v>https://bit.ly/457scqc</v>
      </c>
      <c r="Y230" s="77" t="s">
        <v>740</v>
      </c>
      <c r="Z230" s="77" t="s">
        <v>767</v>
      </c>
      <c r="AA230" s="77"/>
      <c r="AB230" s="77"/>
      <c r="AC230" s="81" t="s">
        <v>853</v>
      </c>
      <c r="AD230" s="77" t="s">
        <v>859</v>
      </c>
      <c r="AE230" s="83" t="str">
        <f>HYPERLINK("https://twitter.com/mihkal/status/1691459761919995904")</f>
        <v>https://twitter.com/mihkal/status/1691459761919995904</v>
      </c>
      <c r="AF230" s="79">
        <v>45153.61119212963</v>
      </c>
      <c r="AG230" s="85">
        <v>45153</v>
      </c>
      <c r="AH230" s="81" t="s">
        <v>896</v>
      </c>
      <c r="AI230" s="77" t="b">
        <v>0</v>
      </c>
      <c r="AJ230" s="77"/>
      <c r="AK230" s="77"/>
      <c r="AL230" s="77"/>
      <c r="AM230" s="77"/>
      <c r="AN230" s="77"/>
      <c r="AO230" s="77"/>
      <c r="AP230" s="77"/>
      <c r="AQ230" s="77"/>
      <c r="AR230" s="77"/>
      <c r="AS230" s="77"/>
      <c r="AT230" s="77"/>
      <c r="AU230" s="77"/>
      <c r="AV230" s="83" t="str">
        <f>HYPERLINK("https://pbs.twimg.com/profile_images/1663227887837757440/XOjtFF4W_normal.jpg")</f>
        <v>https://pbs.twimg.com/profile_images/1663227887837757440/XOjtFF4W_normal.jpg</v>
      </c>
      <c r="AW230" s="81" t="s">
        <v>1051</v>
      </c>
      <c r="AX230" s="81" t="s">
        <v>1051</v>
      </c>
      <c r="AY230" s="81" t="s">
        <v>1175</v>
      </c>
      <c r="AZ230" s="81" t="s">
        <v>1190</v>
      </c>
      <c r="BA230" s="81" t="s">
        <v>1190</v>
      </c>
      <c r="BB230" s="81" t="s">
        <v>1190</v>
      </c>
      <c r="BC230" s="81" t="s">
        <v>1051</v>
      </c>
      <c r="BD230" s="77">
        <v>24256031</v>
      </c>
      <c r="BE230" s="77"/>
      <c r="BF230" s="77"/>
      <c r="BG230" s="77"/>
      <c r="BH230" s="77"/>
      <c r="BI230" s="77"/>
      <c r="BJ230">
        <v>3</v>
      </c>
      <c r="BK230" s="76" t="str">
        <f>REPLACE(INDEX(GroupVertices[Group],MATCH(Edges[[#This Row],[Vertex 1]],GroupVertices[Vertex],0)),1,1,"")</f>
        <v>1</v>
      </c>
      <c r="BL230" s="76" t="str">
        <f>REPLACE(INDEX(GroupVertices[Group],MATCH(Edges[[#This Row],[Vertex 2]],GroupVertices[Vertex],0)),1,1,"")</f>
        <v>1</v>
      </c>
      <c r="BM230" s="45"/>
      <c r="BN230" s="46"/>
      <c r="BO230" s="45"/>
      <c r="BP230" s="46"/>
      <c r="BQ230" s="45"/>
      <c r="BR230" s="46"/>
      <c r="BS230" s="45"/>
      <c r="BT230" s="46"/>
      <c r="BU230" s="45"/>
    </row>
    <row r="231" spans="1:73" ht="15">
      <c r="A231" s="61" t="s">
        <v>229</v>
      </c>
      <c r="B231" s="61" t="s">
        <v>363</v>
      </c>
      <c r="C231" s="62" t="s">
        <v>11692</v>
      </c>
      <c r="D231" s="63">
        <v>3</v>
      </c>
      <c r="E231" s="64" t="s">
        <v>132</v>
      </c>
      <c r="F231" s="65">
        <v>32</v>
      </c>
      <c r="G231" s="62"/>
      <c r="H231" s="66"/>
      <c r="I231" s="67"/>
      <c r="J231" s="67"/>
      <c r="K231" s="31" t="s">
        <v>65</v>
      </c>
      <c r="L231" s="75">
        <v>231</v>
      </c>
      <c r="M231" s="75"/>
      <c r="N231" s="69"/>
      <c r="O231" s="77" t="s">
        <v>539</v>
      </c>
      <c r="P231" s="79">
        <v>45153.61119212963</v>
      </c>
      <c r="Q231" s="77" t="s">
        <v>569</v>
      </c>
      <c r="R231" s="77">
        <v>0</v>
      </c>
      <c r="S231" s="77">
        <v>4</v>
      </c>
      <c r="T231" s="77">
        <v>0</v>
      </c>
      <c r="U231" s="77">
        <v>0</v>
      </c>
      <c r="V231" s="77">
        <v>21</v>
      </c>
      <c r="W231" s="81" t="s">
        <v>682</v>
      </c>
      <c r="X231" s="83" t="str">
        <f>HYPERLINK("https://bit.ly/457scqc")</f>
        <v>https://bit.ly/457scqc</v>
      </c>
      <c r="Y231" s="77" t="s">
        <v>740</v>
      </c>
      <c r="Z231" s="77" t="s">
        <v>767</v>
      </c>
      <c r="AA231" s="77"/>
      <c r="AB231" s="77"/>
      <c r="AC231" s="81" t="s">
        <v>853</v>
      </c>
      <c r="AD231" s="77" t="s">
        <v>859</v>
      </c>
      <c r="AE231" s="83" t="str">
        <f>HYPERLINK("https://twitter.com/mihkal/status/1691459761919995904")</f>
        <v>https://twitter.com/mihkal/status/1691459761919995904</v>
      </c>
      <c r="AF231" s="79">
        <v>45153.61119212963</v>
      </c>
      <c r="AG231" s="85">
        <v>45153</v>
      </c>
      <c r="AH231" s="81" t="s">
        <v>896</v>
      </c>
      <c r="AI231" s="77" t="b">
        <v>0</v>
      </c>
      <c r="AJ231" s="77"/>
      <c r="AK231" s="77"/>
      <c r="AL231" s="77"/>
      <c r="AM231" s="77"/>
      <c r="AN231" s="77"/>
      <c r="AO231" s="77"/>
      <c r="AP231" s="77"/>
      <c r="AQ231" s="77"/>
      <c r="AR231" s="77"/>
      <c r="AS231" s="77"/>
      <c r="AT231" s="77"/>
      <c r="AU231" s="77"/>
      <c r="AV231" s="83" t="str">
        <f>HYPERLINK("https://pbs.twimg.com/profile_images/1663227887837757440/XOjtFF4W_normal.jpg")</f>
        <v>https://pbs.twimg.com/profile_images/1663227887837757440/XOjtFF4W_normal.jpg</v>
      </c>
      <c r="AW231" s="81" t="s">
        <v>1051</v>
      </c>
      <c r="AX231" s="81" t="s">
        <v>1051</v>
      </c>
      <c r="AY231" s="81" t="s">
        <v>1175</v>
      </c>
      <c r="AZ231" s="81" t="s">
        <v>1190</v>
      </c>
      <c r="BA231" s="81" t="s">
        <v>1190</v>
      </c>
      <c r="BB231" s="81" t="s">
        <v>1190</v>
      </c>
      <c r="BC231" s="81" t="s">
        <v>1051</v>
      </c>
      <c r="BD231" s="77">
        <v>24256031</v>
      </c>
      <c r="BE231" s="77"/>
      <c r="BF231" s="77"/>
      <c r="BG231" s="77"/>
      <c r="BH231" s="77"/>
      <c r="BI231" s="77"/>
      <c r="BJ231">
        <v>1</v>
      </c>
      <c r="BK231" s="76" t="str">
        <f>REPLACE(INDEX(GroupVertices[Group],MATCH(Edges[[#This Row],[Vertex 1]],GroupVertices[Vertex],0)),1,1,"")</f>
        <v>1</v>
      </c>
      <c r="BL231" s="76" t="str">
        <f>REPLACE(INDEX(GroupVertices[Group],MATCH(Edges[[#This Row],[Vertex 2]],GroupVertices[Vertex],0)),1,1,"")</f>
        <v>1</v>
      </c>
      <c r="BM231" s="45"/>
      <c r="BN231" s="46"/>
      <c r="BO231" s="45"/>
      <c r="BP231" s="46"/>
      <c r="BQ231" s="45"/>
      <c r="BR231" s="46"/>
      <c r="BS231" s="45"/>
      <c r="BT231" s="46"/>
      <c r="BU231" s="45"/>
    </row>
    <row r="232" spans="1:73" ht="15">
      <c r="A232" s="61" t="s">
        <v>229</v>
      </c>
      <c r="B232" s="61" t="s">
        <v>364</v>
      </c>
      <c r="C232" s="62" t="s">
        <v>11693</v>
      </c>
      <c r="D232" s="63">
        <v>4.4</v>
      </c>
      <c r="E232" s="64" t="s">
        <v>132</v>
      </c>
      <c r="F232" s="65">
        <v>27.6</v>
      </c>
      <c r="G232" s="62"/>
      <c r="H232" s="66"/>
      <c r="I232" s="67"/>
      <c r="J232" s="67"/>
      <c r="K232" s="31" t="s">
        <v>65</v>
      </c>
      <c r="L232" s="75">
        <v>232</v>
      </c>
      <c r="M232" s="75"/>
      <c r="N232" s="69"/>
      <c r="O232" s="77" t="s">
        <v>539</v>
      </c>
      <c r="P232" s="79">
        <v>45163.71129629629</v>
      </c>
      <c r="Q232" s="77" t="s">
        <v>566</v>
      </c>
      <c r="R232" s="77">
        <v>0</v>
      </c>
      <c r="S232" s="77">
        <v>6</v>
      </c>
      <c r="T232" s="77">
        <v>1</v>
      </c>
      <c r="U232" s="77">
        <v>0</v>
      </c>
      <c r="V232" s="77">
        <v>122</v>
      </c>
      <c r="W232" s="81" t="s">
        <v>679</v>
      </c>
      <c r="X232" s="83" t="str">
        <f>HYPERLINK("https://bit.ly/44lcKFG")</f>
        <v>https://bit.ly/44lcKFG</v>
      </c>
      <c r="Y232" s="77" t="s">
        <v>740</v>
      </c>
      <c r="Z232" s="77" t="s">
        <v>764</v>
      </c>
      <c r="AA232" s="77"/>
      <c r="AB232" s="77"/>
      <c r="AC232" s="81" t="s">
        <v>853</v>
      </c>
      <c r="AD232" s="77" t="s">
        <v>859</v>
      </c>
      <c r="AE232" s="83" t="str">
        <f>HYPERLINK("https://twitter.com/mihkal/status/1695119915429085633")</f>
        <v>https://twitter.com/mihkal/status/1695119915429085633</v>
      </c>
      <c r="AF232" s="79">
        <v>45163.71129629629</v>
      </c>
      <c r="AG232" s="85">
        <v>45163</v>
      </c>
      <c r="AH232" s="81" t="s">
        <v>893</v>
      </c>
      <c r="AI232" s="77" t="b">
        <v>0</v>
      </c>
      <c r="AJ232" s="77"/>
      <c r="AK232" s="77"/>
      <c r="AL232" s="77"/>
      <c r="AM232" s="77"/>
      <c r="AN232" s="77"/>
      <c r="AO232" s="77"/>
      <c r="AP232" s="77"/>
      <c r="AQ232" s="77"/>
      <c r="AR232" s="77"/>
      <c r="AS232" s="77"/>
      <c r="AT232" s="77"/>
      <c r="AU232" s="77"/>
      <c r="AV232" s="83" t="str">
        <f>HYPERLINK("https://pbs.twimg.com/profile_images/1663227887837757440/XOjtFF4W_normal.jpg")</f>
        <v>https://pbs.twimg.com/profile_images/1663227887837757440/XOjtFF4W_normal.jpg</v>
      </c>
      <c r="AW232" s="81" t="s">
        <v>1048</v>
      </c>
      <c r="AX232" s="81" t="s">
        <v>1048</v>
      </c>
      <c r="AY232" s="77"/>
      <c r="AZ232" s="81" t="s">
        <v>1190</v>
      </c>
      <c r="BA232" s="81" t="s">
        <v>1190</v>
      </c>
      <c r="BB232" s="81" t="s">
        <v>1190</v>
      </c>
      <c r="BC232" s="81" t="s">
        <v>1048</v>
      </c>
      <c r="BD232" s="77">
        <v>24256031</v>
      </c>
      <c r="BE232" s="77"/>
      <c r="BF232" s="77"/>
      <c r="BG232" s="77"/>
      <c r="BH232" s="77"/>
      <c r="BI232" s="77"/>
      <c r="BJ232">
        <v>2</v>
      </c>
      <c r="BK232" s="76" t="str">
        <f>REPLACE(INDEX(GroupVertices[Group],MATCH(Edges[[#This Row],[Vertex 1]],GroupVertices[Vertex],0)),1,1,"")</f>
        <v>1</v>
      </c>
      <c r="BL232" s="76" t="str">
        <f>REPLACE(INDEX(GroupVertices[Group],MATCH(Edges[[#This Row],[Vertex 2]],GroupVertices[Vertex],0)),1,1,"")</f>
        <v>1</v>
      </c>
      <c r="BM232" s="45"/>
      <c r="BN232" s="46"/>
      <c r="BO232" s="45"/>
      <c r="BP232" s="46"/>
      <c r="BQ232" s="45"/>
      <c r="BR232" s="46"/>
      <c r="BS232" s="45"/>
      <c r="BT232" s="46"/>
      <c r="BU232" s="45"/>
    </row>
    <row r="233" spans="1:73" ht="15">
      <c r="A233" s="61" t="s">
        <v>229</v>
      </c>
      <c r="B233" s="61" t="s">
        <v>364</v>
      </c>
      <c r="C233" s="62" t="s">
        <v>11693</v>
      </c>
      <c r="D233" s="63">
        <v>4.4</v>
      </c>
      <c r="E233" s="64" t="s">
        <v>132</v>
      </c>
      <c r="F233" s="65">
        <v>27.6</v>
      </c>
      <c r="G233" s="62"/>
      <c r="H233" s="66"/>
      <c r="I233" s="67"/>
      <c r="J233" s="67"/>
      <c r="K233" s="31" t="s">
        <v>65</v>
      </c>
      <c r="L233" s="75">
        <v>233</v>
      </c>
      <c r="M233" s="75"/>
      <c r="N233" s="69"/>
      <c r="O233" s="77" t="s">
        <v>539</v>
      </c>
      <c r="P233" s="79">
        <v>45153.61119212963</v>
      </c>
      <c r="Q233" s="77" t="s">
        <v>569</v>
      </c>
      <c r="R233" s="77">
        <v>0</v>
      </c>
      <c r="S233" s="77">
        <v>4</v>
      </c>
      <c r="T233" s="77">
        <v>0</v>
      </c>
      <c r="U233" s="77">
        <v>0</v>
      </c>
      <c r="V233" s="77">
        <v>21</v>
      </c>
      <c r="W233" s="81" t="s">
        <v>682</v>
      </c>
      <c r="X233" s="83" t="str">
        <f>HYPERLINK("https://bit.ly/457scqc")</f>
        <v>https://bit.ly/457scqc</v>
      </c>
      <c r="Y233" s="77" t="s">
        <v>740</v>
      </c>
      <c r="Z233" s="77" t="s">
        <v>767</v>
      </c>
      <c r="AA233" s="77"/>
      <c r="AB233" s="77"/>
      <c r="AC233" s="81" t="s">
        <v>853</v>
      </c>
      <c r="AD233" s="77" t="s">
        <v>859</v>
      </c>
      <c r="AE233" s="83" t="str">
        <f>HYPERLINK("https://twitter.com/mihkal/status/1691459761919995904")</f>
        <v>https://twitter.com/mihkal/status/1691459761919995904</v>
      </c>
      <c r="AF233" s="79">
        <v>45153.61119212963</v>
      </c>
      <c r="AG233" s="85">
        <v>45153</v>
      </c>
      <c r="AH233" s="81" t="s">
        <v>896</v>
      </c>
      <c r="AI233" s="77" t="b">
        <v>0</v>
      </c>
      <c r="AJ233" s="77"/>
      <c r="AK233" s="77"/>
      <c r="AL233" s="77"/>
      <c r="AM233" s="77"/>
      <c r="AN233" s="77"/>
      <c r="AO233" s="77"/>
      <c r="AP233" s="77"/>
      <c r="AQ233" s="77"/>
      <c r="AR233" s="77"/>
      <c r="AS233" s="77"/>
      <c r="AT233" s="77"/>
      <c r="AU233" s="77"/>
      <c r="AV233" s="83" t="str">
        <f>HYPERLINK("https://pbs.twimg.com/profile_images/1663227887837757440/XOjtFF4W_normal.jpg")</f>
        <v>https://pbs.twimg.com/profile_images/1663227887837757440/XOjtFF4W_normal.jpg</v>
      </c>
      <c r="AW233" s="81" t="s">
        <v>1051</v>
      </c>
      <c r="AX233" s="81" t="s">
        <v>1051</v>
      </c>
      <c r="AY233" s="81" t="s">
        <v>1175</v>
      </c>
      <c r="AZ233" s="81" t="s">
        <v>1190</v>
      </c>
      <c r="BA233" s="81" t="s">
        <v>1190</v>
      </c>
      <c r="BB233" s="81" t="s">
        <v>1190</v>
      </c>
      <c r="BC233" s="81" t="s">
        <v>1051</v>
      </c>
      <c r="BD233" s="77">
        <v>24256031</v>
      </c>
      <c r="BE233" s="77"/>
      <c r="BF233" s="77"/>
      <c r="BG233" s="77"/>
      <c r="BH233" s="77"/>
      <c r="BI233" s="77"/>
      <c r="BJ233">
        <v>2</v>
      </c>
      <c r="BK233" s="76" t="str">
        <f>REPLACE(INDEX(GroupVertices[Group],MATCH(Edges[[#This Row],[Vertex 1]],GroupVertices[Vertex],0)),1,1,"")</f>
        <v>1</v>
      </c>
      <c r="BL233" s="76" t="str">
        <f>REPLACE(INDEX(GroupVertices[Group],MATCH(Edges[[#This Row],[Vertex 2]],GroupVertices[Vertex],0)),1,1,"")</f>
        <v>1</v>
      </c>
      <c r="BM233" s="45"/>
      <c r="BN233" s="46"/>
      <c r="BO233" s="45"/>
      <c r="BP233" s="46"/>
      <c r="BQ233" s="45"/>
      <c r="BR233" s="46"/>
      <c r="BS233" s="45"/>
      <c r="BT233" s="46"/>
      <c r="BU233" s="45"/>
    </row>
    <row r="234" spans="1:73" ht="15">
      <c r="A234" s="61" t="s">
        <v>229</v>
      </c>
      <c r="B234" s="61" t="s">
        <v>365</v>
      </c>
      <c r="C234" s="62" t="s">
        <v>11692</v>
      </c>
      <c r="D234" s="63">
        <v>3</v>
      </c>
      <c r="E234" s="64" t="s">
        <v>132</v>
      </c>
      <c r="F234" s="65">
        <v>32</v>
      </c>
      <c r="G234" s="62"/>
      <c r="H234" s="66"/>
      <c r="I234" s="67"/>
      <c r="J234" s="67"/>
      <c r="K234" s="31" t="s">
        <v>65</v>
      </c>
      <c r="L234" s="75">
        <v>234</v>
      </c>
      <c r="M234" s="75"/>
      <c r="N234" s="69"/>
      <c r="O234" s="77" t="s">
        <v>539</v>
      </c>
      <c r="P234" s="79">
        <v>45153.61119212963</v>
      </c>
      <c r="Q234" s="77" t="s">
        <v>569</v>
      </c>
      <c r="R234" s="77">
        <v>0</v>
      </c>
      <c r="S234" s="77">
        <v>4</v>
      </c>
      <c r="T234" s="77">
        <v>0</v>
      </c>
      <c r="U234" s="77">
        <v>0</v>
      </c>
      <c r="V234" s="77">
        <v>21</v>
      </c>
      <c r="W234" s="81" t="s">
        <v>682</v>
      </c>
      <c r="X234" s="83" t="str">
        <f>HYPERLINK("https://bit.ly/457scqc")</f>
        <v>https://bit.ly/457scqc</v>
      </c>
      <c r="Y234" s="77" t="s">
        <v>740</v>
      </c>
      <c r="Z234" s="77" t="s">
        <v>767</v>
      </c>
      <c r="AA234" s="77"/>
      <c r="AB234" s="77"/>
      <c r="AC234" s="81" t="s">
        <v>853</v>
      </c>
      <c r="AD234" s="77" t="s">
        <v>859</v>
      </c>
      <c r="AE234" s="83" t="str">
        <f>HYPERLINK("https://twitter.com/mihkal/status/1691459761919995904")</f>
        <v>https://twitter.com/mihkal/status/1691459761919995904</v>
      </c>
      <c r="AF234" s="79">
        <v>45153.61119212963</v>
      </c>
      <c r="AG234" s="85">
        <v>45153</v>
      </c>
      <c r="AH234" s="81" t="s">
        <v>896</v>
      </c>
      <c r="AI234" s="77" t="b">
        <v>0</v>
      </c>
      <c r="AJ234" s="77"/>
      <c r="AK234" s="77"/>
      <c r="AL234" s="77"/>
      <c r="AM234" s="77"/>
      <c r="AN234" s="77"/>
      <c r="AO234" s="77"/>
      <c r="AP234" s="77"/>
      <c r="AQ234" s="77"/>
      <c r="AR234" s="77"/>
      <c r="AS234" s="77"/>
      <c r="AT234" s="77"/>
      <c r="AU234" s="77"/>
      <c r="AV234" s="83" t="str">
        <f>HYPERLINK("https://pbs.twimg.com/profile_images/1663227887837757440/XOjtFF4W_normal.jpg")</f>
        <v>https://pbs.twimg.com/profile_images/1663227887837757440/XOjtFF4W_normal.jpg</v>
      </c>
      <c r="AW234" s="81" t="s">
        <v>1051</v>
      </c>
      <c r="AX234" s="81" t="s">
        <v>1051</v>
      </c>
      <c r="AY234" s="81" t="s">
        <v>1175</v>
      </c>
      <c r="AZ234" s="81" t="s">
        <v>1190</v>
      </c>
      <c r="BA234" s="81" t="s">
        <v>1190</v>
      </c>
      <c r="BB234" s="81" t="s">
        <v>1190</v>
      </c>
      <c r="BC234" s="81" t="s">
        <v>1051</v>
      </c>
      <c r="BD234" s="77">
        <v>24256031</v>
      </c>
      <c r="BE234" s="77"/>
      <c r="BF234" s="77"/>
      <c r="BG234" s="77"/>
      <c r="BH234" s="77"/>
      <c r="BI234" s="77"/>
      <c r="BJ234">
        <v>1</v>
      </c>
      <c r="BK234" s="76" t="str">
        <f>REPLACE(INDEX(GroupVertices[Group],MATCH(Edges[[#This Row],[Vertex 1]],GroupVertices[Vertex],0)),1,1,"")</f>
        <v>1</v>
      </c>
      <c r="BL234" s="76" t="str">
        <f>REPLACE(INDEX(GroupVertices[Group],MATCH(Edges[[#This Row],[Vertex 2]],GroupVertices[Vertex],0)),1,1,"")</f>
        <v>1</v>
      </c>
      <c r="BM234" s="45"/>
      <c r="BN234" s="46"/>
      <c r="BO234" s="45"/>
      <c r="BP234" s="46"/>
      <c r="BQ234" s="45"/>
      <c r="BR234" s="46"/>
      <c r="BS234" s="45"/>
      <c r="BT234" s="46"/>
      <c r="BU234" s="45"/>
    </row>
    <row r="235" spans="1:73" ht="15">
      <c r="A235" s="61" t="s">
        <v>229</v>
      </c>
      <c r="B235" s="61" t="s">
        <v>366</v>
      </c>
      <c r="C235" s="62" t="s">
        <v>11694</v>
      </c>
      <c r="D235" s="63">
        <v>5.8</v>
      </c>
      <c r="E235" s="64" t="s">
        <v>132</v>
      </c>
      <c r="F235" s="65">
        <v>23.2</v>
      </c>
      <c r="G235" s="62"/>
      <c r="H235" s="66"/>
      <c r="I235" s="67"/>
      <c r="J235" s="67"/>
      <c r="K235" s="31" t="s">
        <v>65</v>
      </c>
      <c r="L235" s="75">
        <v>235</v>
      </c>
      <c r="M235" s="75"/>
      <c r="N235" s="69"/>
      <c r="O235" s="77" t="s">
        <v>539</v>
      </c>
      <c r="P235" s="79">
        <v>45160.88125</v>
      </c>
      <c r="Q235" s="77" t="s">
        <v>565</v>
      </c>
      <c r="R235" s="77">
        <v>0</v>
      </c>
      <c r="S235" s="77">
        <v>4</v>
      </c>
      <c r="T235" s="77">
        <v>0</v>
      </c>
      <c r="U235" s="77">
        <v>0</v>
      </c>
      <c r="V235" s="77">
        <v>97</v>
      </c>
      <c r="W235" s="81" t="s">
        <v>678</v>
      </c>
      <c r="X235" s="83" t="str">
        <f>HYPERLINK("https://bit.ly/3YIJPKw")</f>
        <v>https://bit.ly/3YIJPKw</v>
      </c>
      <c r="Y235" s="77" t="s">
        <v>740</v>
      </c>
      <c r="Z235" s="77" t="s">
        <v>763</v>
      </c>
      <c r="AA235" s="77"/>
      <c r="AB235" s="77"/>
      <c r="AC235" s="81" t="s">
        <v>853</v>
      </c>
      <c r="AD235" s="77" t="s">
        <v>859</v>
      </c>
      <c r="AE235" s="83" t="str">
        <f>HYPERLINK("https://twitter.com/mihkal/status/1694094340023259162")</f>
        <v>https://twitter.com/mihkal/status/1694094340023259162</v>
      </c>
      <c r="AF235" s="79">
        <v>45160.88125</v>
      </c>
      <c r="AG235" s="85">
        <v>45160</v>
      </c>
      <c r="AH235" s="81" t="s">
        <v>892</v>
      </c>
      <c r="AI235" s="77" t="b">
        <v>0</v>
      </c>
      <c r="AJ235" s="77"/>
      <c r="AK235" s="77"/>
      <c r="AL235" s="77"/>
      <c r="AM235" s="77"/>
      <c r="AN235" s="77"/>
      <c r="AO235" s="77"/>
      <c r="AP235" s="77"/>
      <c r="AQ235" s="77"/>
      <c r="AR235" s="77"/>
      <c r="AS235" s="77"/>
      <c r="AT235" s="77"/>
      <c r="AU235" s="77"/>
      <c r="AV235" s="83" t="str">
        <f>HYPERLINK("https://pbs.twimg.com/profile_images/1663227887837757440/XOjtFF4W_normal.jpg")</f>
        <v>https://pbs.twimg.com/profile_images/1663227887837757440/XOjtFF4W_normal.jpg</v>
      </c>
      <c r="AW235" s="81" t="s">
        <v>1047</v>
      </c>
      <c r="AX235" s="81" t="s">
        <v>1047</v>
      </c>
      <c r="AY235" s="77"/>
      <c r="AZ235" s="81" t="s">
        <v>1190</v>
      </c>
      <c r="BA235" s="81" t="s">
        <v>1190</v>
      </c>
      <c r="BB235" s="81" t="s">
        <v>1190</v>
      </c>
      <c r="BC235" s="81" t="s">
        <v>1047</v>
      </c>
      <c r="BD235" s="77">
        <v>24256031</v>
      </c>
      <c r="BE235" s="77"/>
      <c r="BF235" s="77"/>
      <c r="BG235" s="77"/>
      <c r="BH235" s="77"/>
      <c r="BI235" s="77"/>
      <c r="BJ235">
        <v>3</v>
      </c>
      <c r="BK235" s="76" t="str">
        <f>REPLACE(INDEX(GroupVertices[Group],MATCH(Edges[[#This Row],[Vertex 1]],GroupVertices[Vertex],0)),1,1,"")</f>
        <v>1</v>
      </c>
      <c r="BL235" s="76" t="str">
        <f>REPLACE(INDEX(GroupVertices[Group],MATCH(Edges[[#This Row],[Vertex 2]],GroupVertices[Vertex],0)),1,1,"")</f>
        <v>1</v>
      </c>
      <c r="BM235" s="45"/>
      <c r="BN235" s="46"/>
      <c r="BO235" s="45"/>
      <c r="BP235" s="46"/>
      <c r="BQ235" s="45"/>
      <c r="BR235" s="46"/>
      <c r="BS235" s="45"/>
      <c r="BT235" s="46"/>
      <c r="BU235" s="45"/>
    </row>
    <row r="236" spans="1:73" ht="15">
      <c r="A236" s="61" t="s">
        <v>229</v>
      </c>
      <c r="B236" s="61" t="s">
        <v>366</v>
      </c>
      <c r="C236" s="62" t="s">
        <v>11694</v>
      </c>
      <c r="D236" s="63">
        <v>5.8</v>
      </c>
      <c r="E236" s="64" t="s">
        <v>132</v>
      </c>
      <c r="F236" s="65">
        <v>23.2</v>
      </c>
      <c r="G236" s="62"/>
      <c r="H236" s="66"/>
      <c r="I236" s="67"/>
      <c r="J236" s="67"/>
      <c r="K236" s="31" t="s">
        <v>65</v>
      </c>
      <c r="L236" s="75">
        <v>236</v>
      </c>
      <c r="M236" s="75"/>
      <c r="N236" s="69"/>
      <c r="O236" s="77" t="s">
        <v>539</v>
      </c>
      <c r="P236" s="79">
        <v>45153.73174768518</v>
      </c>
      <c r="Q236" s="77" t="s">
        <v>568</v>
      </c>
      <c r="R236" s="77">
        <v>0</v>
      </c>
      <c r="S236" s="77">
        <v>5</v>
      </c>
      <c r="T236" s="77">
        <v>0</v>
      </c>
      <c r="U236" s="77">
        <v>0</v>
      </c>
      <c r="V236" s="77">
        <v>309</v>
      </c>
      <c r="W236" s="81" t="s">
        <v>681</v>
      </c>
      <c r="X236" s="83" t="str">
        <f>HYPERLINK("https://bit.ly/3OSFbpT")</f>
        <v>https://bit.ly/3OSFbpT</v>
      </c>
      <c r="Y236" s="77" t="s">
        <v>740</v>
      </c>
      <c r="Z236" s="77" t="s">
        <v>766</v>
      </c>
      <c r="AA236" s="77"/>
      <c r="AB236" s="77"/>
      <c r="AC236" s="81" t="s">
        <v>853</v>
      </c>
      <c r="AD236" s="77" t="s">
        <v>859</v>
      </c>
      <c r="AE236" s="83" t="str">
        <f>HYPERLINK("https://twitter.com/mihkal/status/1691503450989666304")</f>
        <v>https://twitter.com/mihkal/status/1691503450989666304</v>
      </c>
      <c r="AF236" s="79">
        <v>45153.73174768518</v>
      </c>
      <c r="AG236" s="85">
        <v>45153</v>
      </c>
      <c r="AH236" s="81" t="s">
        <v>895</v>
      </c>
      <c r="AI236" s="77" t="b">
        <v>0</v>
      </c>
      <c r="AJ236" s="77"/>
      <c r="AK236" s="77"/>
      <c r="AL236" s="77"/>
      <c r="AM236" s="77"/>
      <c r="AN236" s="77"/>
      <c r="AO236" s="77"/>
      <c r="AP236" s="77"/>
      <c r="AQ236" s="77"/>
      <c r="AR236" s="77"/>
      <c r="AS236" s="77"/>
      <c r="AT236" s="77"/>
      <c r="AU236" s="77"/>
      <c r="AV236" s="83" t="str">
        <f>HYPERLINK("https://pbs.twimg.com/profile_images/1663227887837757440/XOjtFF4W_normal.jpg")</f>
        <v>https://pbs.twimg.com/profile_images/1663227887837757440/XOjtFF4W_normal.jpg</v>
      </c>
      <c r="AW236" s="81" t="s">
        <v>1050</v>
      </c>
      <c r="AX236" s="81" t="s">
        <v>1050</v>
      </c>
      <c r="AY236" s="77"/>
      <c r="AZ236" s="81" t="s">
        <v>1190</v>
      </c>
      <c r="BA236" s="81" t="s">
        <v>1190</v>
      </c>
      <c r="BB236" s="81" t="s">
        <v>1190</v>
      </c>
      <c r="BC236" s="81" t="s">
        <v>1050</v>
      </c>
      <c r="BD236" s="77">
        <v>24256031</v>
      </c>
      <c r="BE236" s="77"/>
      <c r="BF236" s="77"/>
      <c r="BG236" s="77"/>
      <c r="BH236" s="77"/>
      <c r="BI236" s="77"/>
      <c r="BJ236">
        <v>3</v>
      </c>
      <c r="BK236" s="76" t="str">
        <f>REPLACE(INDEX(GroupVertices[Group],MATCH(Edges[[#This Row],[Vertex 1]],GroupVertices[Vertex],0)),1,1,"")</f>
        <v>1</v>
      </c>
      <c r="BL236" s="76" t="str">
        <f>REPLACE(INDEX(GroupVertices[Group],MATCH(Edges[[#This Row],[Vertex 2]],GroupVertices[Vertex],0)),1,1,"")</f>
        <v>1</v>
      </c>
      <c r="BM236" s="45"/>
      <c r="BN236" s="46"/>
      <c r="BO236" s="45"/>
      <c r="BP236" s="46"/>
      <c r="BQ236" s="45"/>
      <c r="BR236" s="46"/>
      <c r="BS236" s="45"/>
      <c r="BT236" s="46"/>
      <c r="BU236" s="45"/>
    </row>
    <row r="237" spans="1:73" ht="15">
      <c r="A237" s="61" t="s">
        <v>229</v>
      </c>
      <c r="B237" s="61" t="s">
        <v>366</v>
      </c>
      <c r="C237" s="62" t="s">
        <v>11694</v>
      </c>
      <c r="D237" s="63">
        <v>5.8</v>
      </c>
      <c r="E237" s="64" t="s">
        <v>132</v>
      </c>
      <c r="F237" s="65">
        <v>23.2</v>
      </c>
      <c r="G237" s="62"/>
      <c r="H237" s="66"/>
      <c r="I237" s="67"/>
      <c r="J237" s="67"/>
      <c r="K237" s="31" t="s">
        <v>65</v>
      </c>
      <c r="L237" s="75">
        <v>237</v>
      </c>
      <c r="M237" s="75"/>
      <c r="N237" s="69"/>
      <c r="O237" s="77" t="s">
        <v>539</v>
      </c>
      <c r="P237" s="79">
        <v>45153.61119212963</v>
      </c>
      <c r="Q237" s="77" t="s">
        <v>569</v>
      </c>
      <c r="R237" s="77">
        <v>0</v>
      </c>
      <c r="S237" s="77">
        <v>4</v>
      </c>
      <c r="T237" s="77">
        <v>0</v>
      </c>
      <c r="U237" s="77">
        <v>0</v>
      </c>
      <c r="V237" s="77">
        <v>21</v>
      </c>
      <c r="W237" s="81" t="s">
        <v>682</v>
      </c>
      <c r="X237" s="83" t="str">
        <f>HYPERLINK("https://bit.ly/457scqc")</f>
        <v>https://bit.ly/457scqc</v>
      </c>
      <c r="Y237" s="77" t="s">
        <v>740</v>
      </c>
      <c r="Z237" s="77" t="s">
        <v>767</v>
      </c>
      <c r="AA237" s="77"/>
      <c r="AB237" s="77"/>
      <c r="AC237" s="81" t="s">
        <v>853</v>
      </c>
      <c r="AD237" s="77" t="s">
        <v>859</v>
      </c>
      <c r="AE237" s="83" t="str">
        <f>HYPERLINK("https://twitter.com/mihkal/status/1691459761919995904")</f>
        <v>https://twitter.com/mihkal/status/1691459761919995904</v>
      </c>
      <c r="AF237" s="79">
        <v>45153.61119212963</v>
      </c>
      <c r="AG237" s="85">
        <v>45153</v>
      </c>
      <c r="AH237" s="81" t="s">
        <v>896</v>
      </c>
      <c r="AI237" s="77" t="b">
        <v>0</v>
      </c>
      <c r="AJ237" s="77"/>
      <c r="AK237" s="77"/>
      <c r="AL237" s="77"/>
      <c r="AM237" s="77"/>
      <c r="AN237" s="77"/>
      <c r="AO237" s="77"/>
      <c r="AP237" s="77"/>
      <c r="AQ237" s="77"/>
      <c r="AR237" s="77"/>
      <c r="AS237" s="77"/>
      <c r="AT237" s="77"/>
      <c r="AU237" s="77"/>
      <c r="AV237" s="83" t="str">
        <f>HYPERLINK("https://pbs.twimg.com/profile_images/1663227887837757440/XOjtFF4W_normal.jpg")</f>
        <v>https://pbs.twimg.com/profile_images/1663227887837757440/XOjtFF4W_normal.jpg</v>
      </c>
      <c r="AW237" s="81" t="s">
        <v>1051</v>
      </c>
      <c r="AX237" s="81" t="s">
        <v>1051</v>
      </c>
      <c r="AY237" s="81" t="s">
        <v>1175</v>
      </c>
      <c r="AZ237" s="81" t="s">
        <v>1190</v>
      </c>
      <c r="BA237" s="81" t="s">
        <v>1190</v>
      </c>
      <c r="BB237" s="81" t="s">
        <v>1190</v>
      </c>
      <c r="BC237" s="81" t="s">
        <v>1051</v>
      </c>
      <c r="BD237" s="77">
        <v>24256031</v>
      </c>
      <c r="BE237" s="77"/>
      <c r="BF237" s="77"/>
      <c r="BG237" s="77"/>
      <c r="BH237" s="77"/>
      <c r="BI237" s="77"/>
      <c r="BJ237">
        <v>3</v>
      </c>
      <c r="BK237" s="76" t="str">
        <f>REPLACE(INDEX(GroupVertices[Group],MATCH(Edges[[#This Row],[Vertex 1]],GroupVertices[Vertex],0)),1,1,"")</f>
        <v>1</v>
      </c>
      <c r="BL237" s="76" t="str">
        <f>REPLACE(INDEX(GroupVertices[Group],MATCH(Edges[[#This Row],[Vertex 2]],GroupVertices[Vertex],0)),1,1,"")</f>
        <v>1</v>
      </c>
      <c r="BM237" s="45"/>
      <c r="BN237" s="46"/>
      <c r="BO237" s="45"/>
      <c r="BP237" s="46"/>
      <c r="BQ237" s="45"/>
      <c r="BR237" s="46"/>
      <c r="BS237" s="45"/>
      <c r="BT237" s="46"/>
      <c r="BU237" s="45"/>
    </row>
    <row r="238" spans="1:73" ht="15">
      <c r="A238" s="61" t="s">
        <v>229</v>
      </c>
      <c r="B238" s="61" t="s">
        <v>367</v>
      </c>
      <c r="C238" s="62" t="s">
        <v>11692</v>
      </c>
      <c r="D238" s="63">
        <v>3</v>
      </c>
      <c r="E238" s="64" t="s">
        <v>132</v>
      </c>
      <c r="F238" s="65">
        <v>32</v>
      </c>
      <c r="G238" s="62"/>
      <c r="H238" s="66"/>
      <c r="I238" s="67"/>
      <c r="J238" s="67"/>
      <c r="K238" s="31" t="s">
        <v>65</v>
      </c>
      <c r="L238" s="75">
        <v>238</v>
      </c>
      <c r="M238" s="75"/>
      <c r="N238" s="69"/>
      <c r="O238" s="77" t="s">
        <v>539</v>
      </c>
      <c r="P238" s="79">
        <v>45153.61119212963</v>
      </c>
      <c r="Q238" s="77" t="s">
        <v>569</v>
      </c>
      <c r="R238" s="77">
        <v>0</v>
      </c>
      <c r="S238" s="77">
        <v>4</v>
      </c>
      <c r="T238" s="77">
        <v>0</v>
      </c>
      <c r="U238" s="77">
        <v>0</v>
      </c>
      <c r="V238" s="77">
        <v>21</v>
      </c>
      <c r="W238" s="81" t="s">
        <v>682</v>
      </c>
      <c r="X238" s="83" t="str">
        <f>HYPERLINK("https://bit.ly/457scqc")</f>
        <v>https://bit.ly/457scqc</v>
      </c>
      <c r="Y238" s="77" t="s">
        <v>740</v>
      </c>
      <c r="Z238" s="77" t="s">
        <v>767</v>
      </c>
      <c r="AA238" s="77"/>
      <c r="AB238" s="77"/>
      <c r="AC238" s="81" t="s">
        <v>853</v>
      </c>
      <c r="AD238" s="77" t="s">
        <v>859</v>
      </c>
      <c r="AE238" s="83" t="str">
        <f>HYPERLINK("https://twitter.com/mihkal/status/1691459761919995904")</f>
        <v>https://twitter.com/mihkal/status/1691459761919995904</v>
      </c>
      <c r="AF238" s="79">
        <v>45153.61119212963</v>
      </c>
      <c r="AG238" s="85">
        <v>45153</v>
      </c>
      <c r="AH238" s="81" t="s">
        <v>896</v>
      </c>
      <c r="AI238" s="77" t="b">
        <v>0</v>
      </c>
      <c r="AJ238" s="77"/>
      <c r="AK238" s="77"/>
      <c r="AL238" s="77"/>
      <c r="AM238" s="77"/>
      <c r="AN238" s="77"/>
      <c r="AO238" s="77"/>
      <c r="AP238" s="77"/>
      <c r="AQ238" s="77"/>
      <c r="AR238" s="77"/>
      <c r="AS238" s="77"/>
      <c r="AT238" s="77"/>
      <c r="AU238" s="77"/>
      <c r="AV238" s="83" t="str">
        <f>HYPERLINK("https://pbs.twimg.com/profile_images/1663227887837757440/XOjtFF4W_normal.jpg")</f>
        <v>https://pbs.twimg.com/profile_images/1663227887837757440/XOjtFF4W_normal.jpg</v>
      </c>
      <c r="AW238" s="81" t="s">
        <v>1051</v>
      </c>
      <c r="AX238" s="81" t="s">
        <v>1051</v>
      </c>
      <c r="AY238" s="81" t="s">
        <v>1175</v>
      </c>
      <c r="AZ238" s="81" t="s">
        <v>1190</v>
      </c>
      <c r="BA238" s="81" t="s">
        <v>1190</v>
      </c>
      <c r="BB238" s="81" t="s">
        <v>1190</v>
      </c>
      <c r="BC238" s="81" t="s">
        <v>1051</v>
      </c>
      <c r="BD238" s="77">
        <v>24256031</v>
      </c>
      <c r="BE238" s="77"/>
      <c r="BF238" s="77"/>
      <c r="BG238" s="77"/>
      <c r="BH238" s="77"/>
      <c r="BI238" s="77"/>
      <c r="BJ238">
        <v>1</v>
      </c>
      <c r="BK238" s="76" t="str">
        <f>REPLACE(INDEX(GroupVertices[Group],MATCH(Edges[[#This Row],[Vertex 1]],GroupVertices[Vertex],0)),1,1,"")</f>
        <v>1</v>
      </c>
      <c r="BL238" s="76" t="str">
        <f>REPLACE(INDEX(GroupVertices[Group],MATCH(Edges[[#This Row],[Vertex 2]],GroupVertices[Vertex],0)),1,1,"")</f>
        <v>1</v>
      </c>
      <c r="BM238" s="45"/>
      <c r="BN238" s="46"/>
      <c r="BO238" s="45"/>
      <c r="BP238" s="46"/>
      <c r="BQ238" s="45"/>
      <c r="BR238" s="46"/>
      <c r="BS238" s="45"/>
      <c r="BT238" s="46"/>
      <c r="BU238" s="45"/>
    </row>
    <row r="239" spans="1:73" ht="15">
      <c r="A239" s="61" t="s">
        <v>229</v>
      </c>
      <c r="B239" s="61" t="s">
        <v>368</v>
      </c>
      <c r="C239" s="62" t="s">
        <v>11694</v>
      </c>
      <c r="D239" s="63">
        <v>5.8</v>
      </c>
      <c r="E239" s="64" t="s">
        <v>132</v>
      </c>
      <c r="F239" s="65">
        <v>23.2</v>
      </c>
      <c r="G239" s="62"/>
      <c r="H239" s="66"/>
      <c r="I239" s="67"/>
      <c r="J239" s="67"/>
      <c r="K239" s="31" t="s">
        <v>65</v>
      </c>
      <c r="L239" s="75">
        <v>239</v>
      </c>
      <c r="M239" s="75"/>
      <c r="N239" s="69"/>
      <c r="O239" s="77" t="s">
        <v>539</v>
      </c>
      <c r="P239" s="79">
        <v>45153.73174768518</v>
      </c>
      <c r="Q239" s="77" t="s">
        <v>568</v>
      </c>
      <c r="R239" s="77">
        <v>0</v>
      </c>
      <c r="S239" s="77">
        <v>5</v>
      </c>
      <c r="T239" s="77">
        <v>0</v>
      </c>
      <c r="U239" s="77">
        <v>0</v>
      </c>
      <c r="V239" s="77">
        <v>309</v>
      </c>
      <c r="W239" s="81" t="s">
        <v>681</v>
      </c>
      <c r="X239" s="83" t="str">
        <f>HYPERLINK("https://bit.ly/3OSFbpT")</f>
        <v>https://bit.ly/3OSFbpT</v>
      </c>
      <c r="Y239" s="77" t="s">
        <v>740</v>
      </c>
      <c r="Z239" s="77" t="s">
        <v>766</v>
      </c>
      <c r="AA239" s="77"/>
      <c r="AB239" s="77"/>
      <c r="AC239" s="81" t="s">
        <v>853</v>
      </c>
      <c r="AD239" s="77" t="s">
        <v>859</v>
      </c>
      <c r="AE239" s="83" t="str">
        <f>HYPERLINK("https://twitter.com/mihkal/status/1691503450989666304")</f>
        <v>https://twitter.com/mihkal/status/1691503450989666304</v>
      </c>
      <c r="AF239" s="79">
        <v>45153.73174768518</v>
      </c>
      <c r="AG239" s="85">
        <v>45153</v>
      </c>
      <c r="AH239" s="81" t="s">
        <v>895</v>
      </c>
      <c r="AI239" s="77" t="b">
        <v>0</v>
      </c>
      <c r="AJ239" s="77"/>
      <c r="AK239" s="77"/>
      <c r="AL239" s="77"/>
      <c r="AM239" s="77"/>
      <c r="AN239" s="77"/>
      <c r="AO239" s="77"/>
      <c r="AP239" s="77"/>
      <c r="AQ239" s="77"/>
      <c r="AR239" s="77"/>
      <c r="AS239" s="77"/>
      <c r="AT239" s="77"/>
      <c r="AU239" s="77"/>
      <c r="AV239" s="83" t="str">
        <f>HYPERLINK("https://pbs.twimg.com/profile_images/1663227887837757440/XOjtFF4W_normal.jpg")</f>
        <v>https://pbs.twimg.com/profile_images/1663227887837757440/XOjtFF4W_normal.jpg</v>
      </c>
      <c r="AW239" s="81" t="s">
        <v>1050</v>
      </c>
      <c r="AX239" s="81" t="s">
        <v>1050</v>
      </c>
      <c r="AY239" s="77"/>
      <c r="AZ239" s="81" t="s">
        <v>1190</v>
      </c>
      <c r="BA239" s="81" t="s">
        <v>1190</v>
      </c>
      <c r="BB239" s="81" t="s">
        <v>1190</v>
      </c>
      <c r="BC239" s="81" t="s">
        <v>1050</v>
      </c>
      <c r="BD239" s="77">
        <v>24256031</v>
      </c>
      <c r="BE239" s="77"/>
      <c r="BF239" s="77"/>
      <c r="BG239" s="77"/>
      <c r="BH239" s="77"/>
      <c r="BI239" s="77"/>
      <c r="BJ239">
        <v>3</v>
      </c>
      <c r="BK239" s="76" t="str">
        <f>REPLACE(INDEX(GroupVertices[Group],MATCH(Edges[[#This Row],[Vertex 1]],GroupVertices[Vertex],0)),1,1,"")</f>
        <v>1</v>
      </c>
      <c r="BL239" s="76" t="str">
        <f>REPLACE(INDEX(GroupVertices[Group],MATCH(Edges[[#This Row],[Vertex 2]],GroupVertices[Vertex],0)),1,1,"")</f>
        <v>1</v>
      </c>
      <c r="BM239" s="45"/>
      <c r="BN239" s="46"/>
      <c r="BO239" s="45"/>
      <c r="BP239" s="46"/>
      <c r="BQ239" s="45"/>
      <c r="BR239" s="46"/>
      <c r="BS239" s="45"/>
      <c r="BT239" s="46"/>
      <c r="BU239" s="45"/>
    </row>
    <row r="240" spans="1:73" ht="15">
      <c r="A240" s="61" t="s">
        <v>229</v>
      </c>
      <c r="B240" s="61" t="s">
        <v>368</v>
      </c>
      <c r="C240" s="62" t="s">
        <v>11694</v>
      </c>
      <c r="D240" s="63">
        <v>5.8</v>
      </c>
      <c r="E240" s="64" t="s">
        <v>132</v>
      </c>
      <c r="F240" s="65">
        <v>23.2</v>
      </c>
      <c r="G240" s="62"/>
      <c r="H240" s="66"/>
      <c r="I240" s="67"/>
      <c r="J240" s="67"/>
      <c r="K240" s="31" t="s">
        <v>65</v>
      </c>
      <c r="L240" s="75">
        <v>240</v>
      </c>
      <c r="M240" s="75"/>
      <c r="N240" s="69"/>
      <c r="O240" s="77" t="s">
        <v>539</v>
      </c>
      <c r="P240" s="79">
        <v>45153.61119212963</v>
      </c>
      <c r="Q240" s="77" t="s">
        <v>569</v>
      </c>
      <c r="R240" s="77">
        <v>0</v>
      </c>
      <c r="S240" s="77">
        <v>4</v>
      </c>
      <c r="T240" s="77">
        <v>0</v>
      </c>
      <c r="U240" s="77">
        <v>0</v>
      </c>
      <c r="V240" s="77">
        <v>21</v>
      </c>
      <c r="W240" s="81" t="s">
        <v>682</v>
      </c>
      <c r="X240" s="83" t="str">
        <f>HYPERLINK("https://bit.ly/457scqc")</f>
        <v>https://bit.ly/457scqc</v>
      </c>
      <c r="Y240" s="77" t="s">
        <v>740</v>
      </c>
      <c r="Z240" s="77" t="s">
        <v>767</v>
      </c>
      <c r="AA240" s="77"/>
      <c r="AB240" s="77"/>
      <c r="AC240" s="81" t="s">
        <v>853</v>
      </c>
      <c r="AD240" s="77" t="s">
        <v>859</v>
      </c>
      <c r="AE240" s="83" t="str">
        <f>HYPERLINK("https://twitter.com/mihkal/status/1691459761919995904")</f>
        <v>https://twitter.com/mihkal/status/1691459761919995904</v>
      </c>
      <c r="AF240" s="79">
        <v>45153.61119212963</v>
      </c>
      <c r="AG240" s="85">
        <v>45153</v>
      </c>
      <c r="AH240" s="81" t="s">
        <v>896</v>
      </c>
      <c r="AI240" s="77" t="b">
        <v>0</v>
      </c>
      <c r="AJ240" s="77"/>
      <c r="AK240" s="77"/>
      <c r="AL240" s="77"/>
      <c r="AM240" s="77"/>
      <c r="AN240" s="77"/>
      <c r="AO240" s="77"/>
      <c r="AP240" s="77"/>
      <c r="AQ240" s="77"/>
      <c r="AR240" s="77"/>
      <c r="AS240" s="77"/>
      <c r="AT240" s="77"/>
      <c r="AU240" s="77"/>
      <c r="AV240" s="83" t="str">
        <f>HYPERLINK("https://pbs.twimg.com/profile_images/1663227887837757440/XOjtFF4W_normal.jpg")</f>
        <v>https://pbs.twimg.com/profile_images/1663227887837757440/XOjtFF4W_normal.jpg</v>
      </c>
      <c r="AW240" s="81" t="s">
        <v>1051</v>
      </c>
      <c r="AX240" s="81" t="s">
        <v>1051</v>
      </c>
      <c r="AY240" s="81" t="s">
        <v>1175</v>
      </c>
      <c r="AZ240" s="81" t="s">
        <v>1190</v>
      </c>
      <c r="BA240" s="81" t="s">
        <v>1190</v>
      </c>
      <c r="BB240" s="81" t="s">
        <v>1190</v>
      </c>
      <c r="BC240" s="81" t="s">
        <v>1051</v>
      </c>
      <c r="BD240" s="77">
        <v>24256031</v>
      </c>
      <c r="BE240" s="77"/>
      <c r="BF240" s="77"/>
      <c r="BG240" s="77"/>
      <c r="BH240" s="77"/>
      <c r="BI240" s="77"/>
      <c r="BJ240">
        <v>3</v>
      </c>
      <c r="BK240" s="76" t="str">
        <f>REPLACE(INDEX(GroupVertices[Group],MATCH(Edges[[#This Row],[Vertex 1]],GroupVertices[Vertex],0)),1,1,"")</f>
        <v>1</v>
      </c>
      <c r="BL240" s="76" t="str">
        <f>REPLACE(INDEX(GroupVertices[Group],MATCH(Edges[[#This Row],[Vertex 2]],GroupVertices[Vertex],0)),1,1,"")</f>
        <v>1</v>
      </c>
      <c r="BM240" s="45"/>
      <c r="BN240" s="46"/>
      <c r="BO240" s="45"/>
      <c r="BP240" s="46"/>
      <c r="BQ240" s="45"/>
      <c r="BR240" s="46"/>
      <c r="BS240" s="45"/>
      <c r="BT240" s="46"/>
      <c r="BU240" s="45"/>
    </row>
    <row r="241" spans="1:73" ht="15">
      <c r="A241" s="61" t="s">
        <v>229</v>
      </c>
      <c r="B241" s="61" t="s">
        <v>368</v>
      </c>
      <c r="C241" s="62" t="s">
        <v>11694</v>
      </c>
      <c r="D241" s="63">
        <v>5.8</v>
      </c>
      <c r="E241" s="64" t="s">
        <v>132</v>
      </c>
      <c r="F241" s="65">
        <v>23.2</v>
      </c>
      <c r="G241" s="62"/>
      <c r="H241" s="66"/>
      <c r="I241" s="67"/>
      <c r="J241" s="67"/>
      <c r="K241" s="31" t="s">
        <v>65</v>
      </c>
      <c r="L241" s="75">
        <v>241</v>
      </c>
      <c r="M241" s="75"/>
      <c r="N241" s="69"/>
      <c r="O241" s="77" t="s">
        <v>539</v>
      </c>
      <c r="P241" s="79">
        <v>45153.61119212963</v>
      </c>
      <c r="Q241" s="77" t="s">
        <v>569</v>
      </c>
      <c r="R241" s="77">
        <v>0</v>
      </c>
      <c r="S241" s="77">
        <v>4</v>
      </c>
      <c r="T241" s="77">
        <v>0</v>
      </c>
      <c r="U241" s="77">
        <v>0</v>
      </c>
      <c r="V241" s="77">
        <v>21</v>
      </c>
      <c r="W241" s="81" t="s">
        <v>682</v>
      </c>
      <c r="X241" s="83" t="str">
        <f>HYPERLINK("https://bit.ly/457scqc")</f>
        <v>https://bit.ly/457scqc</v>
      </c>
      <c r="Y241" s="77" t="s">
        <v>740</v>
      </c>
      <c r="Z241" s="77" t="s">
        <v>767</v>
      </c>
      <c r="AA241" s="77"/>
      <c r="AB241" s="77"/>
      <c r="AC241" s="81" t="s">
        <v>853</v>
      </c>
      <c r="AD241" s="77" t="s">
        <v>859</v>
      </c>
      <c r="AE241" s="83" t="str">
        <f>HYPERLINK("https://twitter.com/mihkal/status/1691459761919995904")</f>
        <v>https://twitter.com/mihkal/status/1691459761919995904</v>
      </c>
      <c r="AF241" s="79">
        <v>45153.61119212963</v>
      </c>
      <c r="AG241" s="85">
        <v>45153</v>
      </c>
      <c r="AH241" s="81" t="s">
        <v>896</v>
      </c>
      <c r="AI241" s="77" t="b">
        <v>0</v>
      </c>
      <c r="AJ241" s="77"/>
      <c r="AK241" s="77"/>
      <c r="AL241" s="77"/>
      <c r="AM241" s="77"/>
      <c r="AN241" s="77"/>
      <c r="AO241" s="77"/>
      <c r="AP241" s="77"/>
      <c r="AQ241" s="77"/>
      <c r="AR241" s="77"/>
      <c r="AS241" s="77"/>
      <c r="AT241" s="77"/>
      <c r="AU241" s="77"/>
      <c r="AV241" s="83" t="str">
        <f>HYPERLINK("https://pbs.twimg.com/profile_images/1663227887837757440/XOjtFF4W_normal.jpg")</f>
        <v>https://pbs.twimg.com/profile_images/1663227887837757440/XOjtFF4W_normal.jpg</v>
      </c>
      <c r="AW241" s="81" t="s">
        <v>1051</v>
      </c>
      <c r="AX241" s="81" t="s">
        <v>1051</v>
      </c>
      <c r="AY241" s="81" t="s">
        <v>1175</v>
      </c>
      <c r="AZ241" s="81" t="s">
        <v>1190</v>
      </c>
      <c r="BA241" s="81" t="s">
        <v>1190</v>
      </c>
      <c r="BB241" s="81" t="s">
        <v>1190</v>
      </c>
      <c r="BC241" s="81" t="s">
        <v>1051</v>
      </c>
      <c r="BD241" s="77">
        <v>24256031</v>
      </c>
      <c r="BE241" s="77"/>
      <c r="BF241" s="77"/>
      <c r="BG241" s="77"/>
      <c r="BH241" s="77"/>
      <c r="BI241" s="77"/>
      <c r="BJ241">
        <v>3</v>
      </c>
      <c r="BK241" s="76" t="str">
        <f>REPLACE(INDEX(GroupVertices[Group],MATCH(Edges[[#This Row],[Vertex 1]],GroupVertices[Vertex],0)),1,1,"")</f>
        <v>1</v>
      </c>
      <c r="BL241" s="76" t="str">
        <f>REPLACE(INDEX(GroupVertices[Group],MATCH(Edges[[#This Row],[Vertex 2]],GroupVertices[Vertex],0)),1,1,"")</f>
        <v>1</v>
      </c>
      <c r="BM241" s="45"/>
      <c r="BN241" s="46"/>
      <c r="BO241" s="45"/>
      <c r="BP241" s="46"/>
      <c r="BQ241" s="45"/>
      <c r="BR241" s="46"/>
      <c r="BS241" s="45"/>
      <c r="BT241" s="46"/>
      <c r="BU241" s="45"/>
    </row>
    <row r="242" spans="1:73" ht="15">
      <c r="A242" s="61" t="s">
        <v>230</v>
      </c>
      <c r="B242" s="61" t="s">
        <v>369</v>
      </c>
      <c r="C242" s="62" t="s">
        <v>11693</v>
      </c>
      <c r="D242" s="63">
        <v>4.4</v>
      </c>
      <c r="E242" s="64" t="s">
        <v>132</v>
      </c>
      <c r="F242" s="65">
        <v>27.6</v>
      </c>
      <c r="G242" s="62"/>
      <c r="H242" s="66"/>
      <c r="I242" s="67"/>
      <c r="J242" s="67"/>
      <c r="K242" s="31" t="s">
        <v>65</v>
      </c>
      <c r="L242" s="75">
        <v>242</v>
      </c>
      <c r="M242" s="75"/>
      <c r="N242" s="69"/>
      <c r="O242" s="77" t="s">
        <v>543</v>
      </c>
      <c r="P242" s="79">
        <v>45164.80693287037</v>
      </c>
      <c r="Q242" s="77" t="s">
        <v>570</v>
      </c>
      <c r="R242" s="77">
        <v>0</v>
      </c>
      <c r="S242" s="77">
        <v>1</v>
      </c>
      <c r="T242" s="77">
        <v>2</v>
      </c>
      <c r="U242" s="77">
        <v>0</v>
      </c>
      <c r="V242" s="77">
        <v>44</v>
      </c>
      <c r="W242" s="77"/>
      <c r="X242" s="77"/>
      <c r="Y242" s="77"/>
      <c r="Z242" s="77" t="s">
        <v>768</v>
      </c>
      <c r="AA242" s="77"/>
      <c r="AB242" s="77"/>
      <c r="AC242" s="81" t="s">
        <v>853</v>
      </c>
      <c r="AD242" s="77" t="s">
        <v>859</v>
      </c>
      <c r="AE242" s="83" t="str">
        <f>HYPERLINK("https://twitter.com/dfwplay/status/1695516960786686111")</f>
        <v>https://twitter.com/dfwplay/status/1695516960786686111</v>
      </c>
      <c r="AF242" s="79">
        <v>45164.80693287037</v>
      </c>
      <c r="AG242" s="85">
        <v>45164</v>
      </c>
      <c r="AH242" s="81" t="s">
        <v>897</v>
      </c>
      <c r="AI242" s="77"/>
      <c r="AJ242" s="77"/>
      <c r="AK242" s="77"/>
      <c r="AL242" s="77"/>
      <c r="AM242" s="77"/>
      <c r="AN242" s="77"/>
      <c r="AO242" s="77"/>
      <c r="AP242" s="77"/>
      <c r="AQ242" s="77"/>
      <c r="AR242" s="77"/>
      <c r="AS242" s="77"/>
      <c r="AT242" s="77"/>
      <c r="AU242" s="77"/>
      <c r="AV242" s="83" t="str">
        <f>HYPERLINK("https://pbs.twimg.com/profile_images/1700578472530161664/kLgR6CCn_normal.jpg")</f>
        <v>https://pbs.twimg.com/profile_images/1700578472530161664/kLgR6CCn_normal.jpg</v>
      </c>
      <c r="AW242" s="81" t="s">
        <v>1052</v>
      </c>
      <c r="AX242" s="81" t="s">
        <v>1054</v>
      </c>
      <c r="AY242" s="81" t="s">
        <v>1169</v>
      </c>
      <c r="AZ242" s="81" t="s">
        <v>1054</v>
      </c>
      <c r="BA242" s="81" t="s">
        <v>1190</v>
      </c>
      <c r="BB242" s="81" t="s">
        <v>1190</v>
      </c>
      <c r="BC242" s="81" t="s">
        <v>1054</v>
      </c>
      <c r="BD242" s="81" t="s">
        <v>1176</v>
      </c>
      <c r="BE242" s="77"/>
      <c r="BF242" s="77"/>
      <c r="BG242" s="77"/>
      <c r="BH242" s="77"/>
      <c r="BI242" s="77"/>
      <c r="BJ242">
        <v>2</v>
      </c>
      <c r="BK242" s="76" t="str">
        <f>REPLACE(INDEX(GroupVertices[Group],MATCH(Edges[[#This Row],[Vertex 1]],GroupVertices[Vertex],0)),1,1,"")</f>
        <v>1</v>
      </c>
      <c r="BL242" s="76" t="str">
        <f>REPLACE(INDEX(GroupVertices[Group],MATCH(Edges[[#This Row],[Vertex 2]],GroupVertices[Vertex],0)),1,1,"")</f>
        <v>1</v>
      </c>
      <c r="BM242" s="45"/>
      <c r="BN242" s="46"/>
      <c r="BO242" s="45"/>
      <c r="BP242" s="46"/>
      <c r="BQ242" s="45"/>
      <c r="BR242" s="46"/>
      <c r="BS242" s="45"/>
      <c r="BT242" s="46"/>
      <c r="BU242" s="45"/>
    </row>
    <row r="243" spans="1:73" ht="15">
      <c r="A243" s="61" t="s">
        <v>230</v>
      </c>
      <c r="B243" s="61" t="s">
        <v>369</v>
      </c>
      <c r="C243" s="62" t="s">
        <v>11693</v>
      </c>
      <c r="D243" s="63">
        <v>4.4</v>
      </c>
      <c r="E243" s="64" t="s">
        <v>132</v>
      </c>
      <c r="F243" s="65">
        <v>27.6</v>
      </c>
      <c r="G243" s="62"/>
      <c r="H243" s="66"/>
      <c r="I243" s="67"/>
      <c r="J243" s="67"/>
      <c r="K243" s="31" t="s">
        <v>65</v>
      </c>
      <c r="L243" s="75">
        <v>243</v>
      </c>
      <c r="M243" s="75"/>
      <c r="N243" s="69"/>
      <c r="O243" s="77" t="s">
        <v>543</v>
      </c>
      <c r="P243" s="79">
        <v>45165.93508101852</v>
      </c>
      <c r="Q243" s="77" t="s">
        <v>571</v>
      </c>
      <c r="R243" s="77">
        <v>0</v>
      </c>
      <c r="S243" s="77">
        <v>0</v>
      </c>
      <c r="T243" s="77">
        <v>0</v>
      </c>
      <c r="U243" s="77">
        <v>0</v>
      </c>
      <c r="V243" s="77">
        <v>41</v>
      </c>
      <c r="W243" s="77"/>
      <c r="X243" s="83" t="str">
        <f>HYPERLINK("https://www.smrfoundation.org/")</f>
        <v>https://www.smrfoundation.org/</v>
      </c>
      <c r="Y243" s="77" t="s">
        <v>741</v>
      </c>
      <c r="Z243" s="77" t="s">
        <v>769</v>
      </c>
      <c r="AA243" s="77"/>
      <c r="AB243" s="77"/>
      <c r="AC243" s="81" t="s">
        <v>853</v>
      </c>
      <c r="AD243" s="77" t="s">
        <v>859</v>
      </c>
      <c r="AE243" s="83" t="str">
        <f>HYPERLINK("https://twitter.com/dfwplay/status/1695925790355963984")</f>
        <v>https://twitter.com/dfwplay/status/1695925790355963984</v>
      </c>
      <c r="AF243" s="79">
        <v>45165.93508101852</v>
      </c>
      <c r="AG243" s="85">
        <v>45165</v>
      </c>
      <c r="AH243" s="81" t="s">
        <v>898</v>
      </c>
      <c r="AI243" s="77" t="b">
        <v>0</v>
      </c>
      <c r="AJ243" s="77"/>
      <c r="AK243" s="77"/>
      <c r="AL243" s="77"/>
      <c r="AM243" s="77"/>
      <c r="AN243" s="77"/>
      <c r="AO243" s="77"/>
      <c r="AP243" s="77"/>
      <c r="AQ243" s="77"/>
      <c r="AR243" s="77"/>
      <c r="AS243" s="77"/>
      <c r="AT243" s="77"/>
      <c r="AU243" s="77"/>
      <c r="AV243" s="83" t="str">
        <f>HYPERLINK("https://pbs.twimg.com/profile_images/1700578472530161664/kLgR6CCn_normal.jpg")</f>
        <v>https://pbs.twimg.com/profile_images/1700578472530161664/kLgR6CCn_normal.jpg</v>
      </c>
      <c r="AW243" s="81" t="s">
        <v>1053</v>
      </c>
      <c r="AX243" s="81" t="s">
        <v>1054</v>
      </c>
      <c r="AY243" s="81" t="s">
        <v>1169</v>
      </c>
      <c r="AZ243" s="81" t="s">
        <v>1055</v>
      </c>
      <c r="BA243" s="81" t="s">
        <v>1190</v>
      </c>
      <c r="BB243" s="81" t="s">
        <v>1190</v>
      </c>
      <c r="BC243" s="81" t="s">
        <v>1055</v>
      </c>
      <c r="BD243" s="81" t="s">
        <v>1176</v>
      </c>
      <c r="BE243" s="77"/>
      <c r="BF243" s="77"/>
      <c r="BG243" s="77"/>
      <c r="BH243" s="77"/>
      <c r="BI243" s="77"/>
      <c r="BJ243">
        <v>2</v>
      </c>
      <c r="BK243" s="76" t="str">
        <f>REPLACE(INDEX(GroupVertices[Group],MATCH(Edges[[#This Row],[Vertex 1]],GroupVertices[Vertex],0)),1,1,"")</f>
        <v>1</v>
      </c>
      <c r="BL243" s="76" t="str">
        <f>REPLACE(INDEX(GroupVertices[Group],MATCH(Edges[[#This Row],[Vertex 2]],GroupVertices[Vertex],0)),1,1,"")</f>
        <v>1</v>
      </c>
      <c r="BM243" s="45"/>
      <c r="BN243" s="46"/>
      <c r="BO243" s="45"/>
      <c r="BP243" s="46"/>
      <c r="BQ243" s="45"/>
      <c r="BR243" s="46"/>
      <c r="BS243" s="45"/>
      <c r="BT243" s="46"/>
      <c r="BU243" s="45"/>
    </row>
    <row r="244" spans="1:73" ht="15">
      <c r="A244" s="61" t="s">
        <v>229</v>
      </c>
      <c r="B244" s="61" t="s">
        <v>369</v>
      </c>
      <c r="C244" s="62" t="s">
        <v>11692</v>
      </c>
      <c r="D244" s="63">
        <v>3</v>
      </c>
      <c r="E244" s="64" t="s">
        <v>132</v>
      </c>
      <c r="F244" s="65">
        <v>32</v>
      </c>
      <c r="G244" s="62"/>
      <c r="H244" s="66"/>
      <c r="I244" s="67"/>
      <c r="J244" s="67"/>
      <c r="K244" s="31" t="s">
        <v>65</v>
      </c>
      <c r="L244" s="75">
        <v>244</v>
      </c>
      <c r="M244" s="75"/>
      <c r="N244" s="69"/>
      <c r="O244" s="77" t="s">
        <v>539</v>
      </c>
      <c r="P244" s="79">
        <v>45164.47796296296</v>
      </c>
      <c r="Q244" s="77" t="s">
        <v>572</v>
      </c>
      <c r="R244" s="77">
        <v>0</v>
      </c>
      <c r="S244" s="77">
        <v>4</v>
      </c>
      <c r="T244" s="77">
        <v>1</v>
      </c>
      <c r="U244" s="77">
        <v>0</v>
      </c>
      <c r="V244" s="77">
        <v>94</v>
      </c>
      <c r="W244" s="81" t="s">
        <v>683</v>
      </c>
      <c r="X244" s="83" t="str">
        <f>HYPERLINK("https://bit.ly/47Lu0XB")</f>
        <v>https://bit.ly/47Lu0XB</v>
      </c>
      <c r="Y244" s="77" t="s">
        <v>740</v>
      </c>
      <c r="Z244" s="77" t="s">
        <v>770</v>
      </c>
      <c r="AA244" s="77"/>
      <c r="AB244" s="77"/>
      <c r="AC244" s="81" t="s">
        <v>853</v>
      </c>
      <c r="AD244" s="77" t="s">
        <v>863</v>
      </c>
      <c r="AE244" s="83" t="str">
        <f>HYPERLINK("https://twitter.com/mihkal/status/1695397746121875757")</f>
        <v>https://twitter.com/mihkal/status/1695397746121875757</v>
      </c>
      <c r="AF244" s="79">
        <v>45164.47796296296</v>
      </c>
      <c r="AG244" s="85">
        <v>45164</v>
      </c>
      <c r="AH244" s="81" t="s">
        <v>899</v>
      </c>
      <c r="AI244" s="77" t="b">
        <v>0</v>
      </c>
      <c r="AJ244" s="77"/>
      <c r="AK244" s="77"/>
      <c r="AL244" s="77"/>
      <c r="AM244" s="77"/>
      <c r="AN244" s="77"/>
      <c r="AO244" s="77"/>
      <c r="AP244" s="77"/>
      <c r="AQ244" s="77"/>
      <c r="AR244" s="77"/>
      <c r="AS244" s="77"/>
      <c r="AT244" s="77"/>
      <c r="AU244" s="77"/>
      <c r="AV244" s="83" t="str">
        <f>HYPERLINK("https://pbs.twimg.com/profile_images/1663227887837757440/XOjtFF4W_normal.jpg")</f>
        <v>https://pbs.twimg.com/profile_images/1663227887837757440/XOjtFF4W_normal.jpg</v>
      </c>
      <c r="AW244" s="81" t="s">
        <v>1054</v>
      </c>
      <c r="AX244" s="81" t="s">
        <v>1054</v>
      </c>
      <c r="AY244" s="77"/>
      <c r="AZ244" s="81" t="s">
        <v>1190</v>
      </c>
      <c r="BA244" s="81" t="s">
        <v>1190</v>
      </c>
      <c r="BB244" s="81" t="s">
        <v>1190</v>
      </c>
      <c r="BC244" s="81" t="s">
        <v>1054</v>
      </c>
      <c r="BD244" s="77">
        <v>24256031</v>
      </c>
      <c r="BE244" s="77"/>
      <c r="BF244" s="77"/>
      <c r="BG244" s="77"/>
      <c r="BH244" s="77"/>
      <c r="BI244" s="77"/>
      <c r="BJ244">
        <v>1</v>
      </c>
      <c r="BK244" s="76" t="str">
        <f>REPLACE(INDEX(GroupVertices[Group],MATCH(Edges[[#This Row],[Vertex 1]],GroupVertices[Vertex],0)),1,1,"")</f>
        <v>1</v>
      </c>
      <c r="BL244" s="76" t="str">
        <f>REPLACE(INDEX(GroupVertices[Group],MATCH(Edges[[#This Row],[Vertex 2]],GroupVertices[Vertex],0)),1,1,"")</f>
        <v>1</v>
      </c>
      <c r="BM244" s="45"/>
      <c r="BN244" s="46"/>
      <c r="BO244" s="45"/>
      <c r="BP244" s="46"/>
      <c r="BQ244" s="45"/>
      <c r="BR244" s="46"/>
      <c r="BS244" s="45"/>
      <c r="BT244" s="46"/>
      <c r="BU244" s="45"/>
    </row>
    <row r="245" spans="1:73" ht="15">
      <c r="A245" s="61" t="s">
        <v>229</v>
      </c>
      <c r="B245" s="61" t="s">
        <v>369</v>
      </c>
      <c r="C245" s="62" t="s">
        <v>11692</v>
      </c>
      <c r="D245" s="63">
        <v>3</v>
      </c>
      <c r="E245" s="64" t="s">
        <v>132</v>
      </c>
      <c r="F245" s="65">
        <v>32</v>
      </c>
      <c r="G245" s="62"/>
      <c r="H245" s="66"/>
      <c r="I245" s="67"/>
      <c r="J245" s="67"/>
      <c r="K245" s="31" t="s">
        <v>65</v>
      </c>
      <c r="L245" s="75">
        <v>245</v>
      </c>
      <c r="M245" s="75"/>
      <c r="N245" s="69"/>
      <c r="O245" s="77" t="s">
        <v>543</v>
      </c>
      <c r="P245" s="79">
        <v>45165.418541666666</v>
      </c>
      <c r="Q245" s="77" t="s">
        <v>573</v>
      </c>
      <c r="R245" s="77">
        <v>0</v>
      </c>
      <c r="S245" s="77">
        <v>5</v>
      </c>
      <c r="T245" s="77">
        <v>1</v>
      </c>
      <c r="U245" s="77">
        <v>0</v>
      </c>
      <c r="V245" s="77">
        <v>49</v>
      </c>
      <c r="W245" s="77"/>
      <c r="X245" s="77"/>
      <c r="Y245" s="77"/>
      <c r="Z245" s="77" t="s">
        <v>771</v>
      </c>
      <c r="AA245" s="77"/>
      <c r="AB245" s="77"/>
      <c r="AC245" s="81" t="s">
        <v>853</v>
      </c>
      <c r="AD245" s="77" t="s">
        <v>859</v>
      </c>
      <c r="AE245" s="83" t="str">
        <f>HYPERLINK("https://twitter.com/mihkal/status/1695738602557239609")</f>
        <v>https://twitter.com/mihkal/status/1695738602557239609</v>
      </c>
      <c r="AF245" s="79">
        <v>45165.418541666666</v>
      </c>
      <c r="AG245" s="85">
        <v>45165</v>
      </c>
      <c r="AH245" s="81" t="s">
        <v>900</v>
      </c>
      <c r="AI245" s="77"/>
      <c r="AJ245" s="77"/>
      <c r="AK245" s="77"/>
      <c r="AL245" s="77"/>
      <c r="AM245" s="77"/>
      <c r="AN245" s="77"/>
      <c r="AO245" s="77"/>
      <c r="AP245" s="77"/>
      <c r="AQ245" s="77"/>
      <c r="AR245" s="77"/>
      <c r="AS245" s="77"/>
      <c r="AT245" s="77"/>
      <c r="AU245" s="77"/>
      <c r="AV245" s="83" t="str">
        <f>HYPERLINK("https://pbs.twimg.com/profile_images/1663227887837757440/XOjtFF4W_normal.jpg")</f>
        <v>https://pbs.twimg.com/profile_images/1663227887837757440/XOjtFF4W_normal.jpg</v>
      </c>
      <c r="AW245" s="81" t="s">
        <v>1055</v>
      </c>
      <c r="AX245" s="81" t="s">
        <v>1054</v>
      </c>
      <c r="AY245" s="81" t="s">
        <v>1176</v>
      </c>
      <c r="AZ245" s="81" t="s">
        <v>1052</v>
      </c>
      <c r="BA245" s="81" t="s">
        <v>1190</v>
      </c>
      <c r="BB245" s="81" t="s">
        <v>1190</v>
      </c>
      <c r="BC245" s="81" t="s">
        <v>1052</v>
      </c>
      <c r="BD245" s="77">
        <v>24256031</v>
      </c>
      <c r="BE245" s="77"/>
      <c r="BF245" s="77"/>
      <c r="BG245" s="77"/>
      <c r="BH245" s="77"/>
      <c r="BI245" s="77"/>
      <c r="BJ245">
        <v>1</v>
      </c>
      <c r="BK245" s="76" t="str">
        <f>REPLACE(INDEX(GroupVertices[Group],MATCH(Edges[[#This Row],[Vertex 1]],GroupVertices[Vertex],0)),1,1,"")</f>
        <v>1</v>
      </c>
      <c r="BL245" s="76" t="str">
        <f>REPLACE(INDEX(GroupVertices[Group],MATCH(Edges[[#This Row],[Vertex 2]],GroupVertices[Vertex],0)),1,1,"")</f>
        <v>1</v>
      </c>
      <c r="BM245" s="45"/>
      <c r="BN245" s="46"/>
      <c r="BO245" s="45"/>
      <c r="BP245" s="46"/>
      <c r="BQ245" s="45"/>
      <c r="BR245" s="46"/>
      <c r="BS245" s="45"/>
      <c r="BT245" s="46"/>
      <c r="BU245" s="45"/>
    </row>
    <row r="246" spans="1:73" ht="15">
      <c r="A246" s="61" t="s">
        <v>230</v>
      </c>
      <c r="B246" s="61" t="s">
        <v>370</v>
      </c>
      <c r="C246" s="62" t="s">
        <v>11693</v>
      </c>
      <c r="D246" s="63">
        <v>4.4</v>
      </c>
      <c r="E246" s="64" t="s">
        <v>132</v>
      </c>
      <c r="F246" s="65">
        <v>27.6</v>
      </c>
      <c r="G246" s="62"/>
      <c r="H246" s="66"/>
      <c r="I246" s="67"/>
      <c r="J246" s="67"/>
      <c r="K246" s="31" t="s">
        <v>65</v>
      </c>
      <c r="L246" s="75">
        <v>246</v>
      </c>
      <c r="M246" s="75"/>
      <c r="N246" s="69"/>
      <c r="O246" s="77" t="s">
        <v>543</v>
      </c>
      <c r="P246" s="79">
        <v>45164.80693287037</v>
      </c>
      <c r="Q246" s="77" t="s">
        <v>570</v>
      </c>
      <c r="R246" s="77">
        <v>0</v>
      </c>
      <c r="S246" s="77">
        <v>1</v>
      </c>
      <c r="T246" s="77">
        <v>2</v>
      </c>
      <c r="U246" s="77">
        <v>0</v>
      </c>
      <c r="V246" s="77">
        <v>44</v>
      </c>
      <c r="W246" s="77"/>
      <c r="X246" s="77"/>
      <c r="Y246" s="77"/>
      <c r="Z246" s="77" t="s">
        <v>768</v>
      </c>
      <c r="AA246" s="77"/>
      <c r="AB246" s="77"/>
      <c r="AC246" s="81" t="s">
        <v>853</v>
      </c>
      <c r="AD246" s="77" t="s">
        <v>859</v>
      </c>
      <c r="AE246" s="83" t="str">
        <f>HYPERLINK("https://twitter.com/dfwplay/status/1695516960786686111")</f>
        <v>https://twitter.com/dfwplay/status/1695516960786686111</v>
      </c>
      <c r="AF246" s="79">
        <v>45164.80693287037</v>
      </c>
      <c r="AG246" s="85">
        <v>45164</v>
      </c>
      <c r="AH246" s="81" t="s">
        <v>897</v>
      </c>
      <c r="AI246" s="77"/>
      <c r="AJ246" s="77"/>
      <c r="AK246" s="77"/>
      <c r="AL246" s="77"/>
      <c r="AM246" s="77"/>
      <c r="AN246" s="77"/>
      <c r="AO246" s="77"/>
      <c r="AP246" s="77"/>
      <c r="AQ246" s="77"/>
      <c r="AR246" s="77"/>
      <c r="AS246" s="77"/>
      <c r="AT246" s="77"/>
      <c r="AU246" s="77"/>
      <c r="AV246" s="83" t="str">
        <f>HYPERLINK("https://pbs.twimg.com/profile_images/1700578472530161664/kLgR6CCn_normal.jpg")</f>
        <v>https://pbs.twimg.com/profile_images/1700578472530161664/kLgR6CCn_normal.jpg</v>
      </c>
      <c r="AW246" s="81" t="s">
        <v>1052</v>
      </c>
      <c r="AX246" s="81" t="s">
        <v>1054</v>
      </c>
      <c r="AY246" s="81" t="s">
        <v>1169</v>
      </c>
      <c r="AZ246" s="81" t="s">
        <v>1054</v>
      </c>
      <c r="BA246" s="81" t="s">
        <v>1190</v>
      </c>
      <c r="BB246" s="81" t="s">
        <v>1190</v>
      </c>
      <c r="BC246" s="81" t="s">
        <v>1054</v>
      </c>
      <c r="BD246" s="81" t="s">
        <v>1176</v>
      </c>
      <c r="BE246" s="77"/>
      <c r="BF246" s="77"/>
      <c r="BG246" s="77"/>
      <c r="BH246" s="77"/>
      <c r="BI246" s="77"/>
      <c r="BJ246">
        <v>2</v>
      </c>
      <c r="BK246" s="76" t="str">
        <f>REPLACE(INDEX(GroupVertices[Group],MATCH(Edges[[#This Row],[Vertex 1]],GroupVertices[Vertex],0)),1,1,"")</f>
        <v>1</v>
      </c>
      <c r="BL246" s="76" t="str">
        <f>REPLACE(INDEX(GroupVertices[Group],MATCH(Edges[[#This Row],[Vertex 2]],GroupVertices[Vertex],0)),1,1,"")</f>
        <v>1</v>
      </c>
      <c r="BM246" s="45"/>
      <c r="BN246" s="46"/>
      <c r="BO246" s="45"/>
      <c r="BP246" s="46"/>
      <c r="BQ246" s="45"/>
      <c r="BR246" s="46"/>
      <c r="BS246" s="45"/>
      <c r="BT246" s="46"/>
      <c r="BU246" s="45"/>
    </row>
    <row r="247" spans="1:73" ht="15">
      <c r="A247" s="61" t="s">
        <v>230</v>
      </c>
      <c r="B247" s="61" t="s">
        <v>370</v>
      </c>
      <c r="C247" s="62" t="s">
        <v>11693</v>
      </c>
      <c r="D247" s="63">
        <v>4.4</v>
      </c>
      <c r="E247" s="64" t="s">
        <v>132</v>
      </c>
      <c r="F247" s="65">
        <v>27.6</v>
      </c>
      <c r="G247" s="62"/>
      <c r="H247" s="66"/>
      <c r="I247" s="67"/>
      <c r="J247" s="67"/>
      <c r="K247" s="31" t="s">
        <v>65</v>
      </c>
      <c r="L247" s="75">
        <v>247</v>
      </c>
      <c r="M247" s="75"/>
      <c r="N247" s="69"/>
      <c r="O247" s="77" t="s">
        <v>543</v>
      </c>
      <c r="P247" s="79">
        <v>45165.93508101852</v>
      </c>
      <c r="Q247" s="77" t="s">
        <v>571</v>
      </c>
      <c r="R247" s="77">
        <v>0</v>
      </c>
      <c r="S247" s="77">
        <v>0</v>
      </c>
      <c r="T247" s="77">
        <v>0</v>
      </c>
      <c r="U247" s="77">
        <v>0</v>
      </c>
      <c r="V247" s="77">
        <v>41</v>
      </c>
      <c r="W247" s="77"/>
      <c r="X247" s="83" t="str">
        <f>HYPERLINK("https://www.smrfoundation.org/")</f>
        <v>https://www.smrfoundation.org/</v>
      </c>
      <c r="Y247" s="77" t="s">
        <v>741</v>
      </c>
      <c r="Z247" s="77" t="s">
        <v>769</v>
      </c>
      <c r="AA247" s="77"/>
      <c r="AB247" s="77"/>
      <c r="AC247" s="81" t="s">
        <v>853</v>
      </c>
      <c r="AD247" s="77" t="s">
        <v>859</v>
      </c>
      <c r="AE247" s="83" t="str">
        <f>HYPERLINK("https://twitter.com/dfwplay/status/1695925790355963984")</f>
        <v>https://twitter.com/dfwplay/status/1695925790355963984</v>
      </c>
      <c r="AF247" s="79">
        <v>45165.93508101852</v>
      </c>
      <c r="AG247" s="85">
        <v>45165</v>
      </c>
      <c r="AH247" s="81" t="s">
        <v>898</v>
      </c>
      <c r="AI247" s="77" t="b">
        <v>0</v>
      </c>
      <c r="AJ247" s="77"/>
      <c r="AK247" s="77"/>
      <c r="AL247" s="77"/>
      <c r="AM247" s="77"/>
      <c r="AN247" s="77"/>
      <c r="AO247" s="77"/>
      <c r="AP247" s="77"/>
      <c r="AQ247" s="77"/>
      <c r="AR247" s="77"/>
      <c r="AS247" s="77"/>
      <c r="AT247" s="77"/>
      <c r="AU247" s="77"/>
      <c r="AV247" s="83" t="str">
        <f>HYPERLINK("https://pbs.twimg.com/profile_images/1700578472530161664/kLgR6CCn_normal.jpg")</f>
        <v>https://pbs.twimg.com/profile_images/1700578472530161664/kLgR6CCn_normal.jpg</v>
      </c>
      <c r="AW247" s="81" t="s">
        <v>1053</v>
      </c>
      <c r="AX247" s="81" t="s">
        <v>1054</v>
      </c>
      <c r="AY247" s="81" t="s">
        <v>1169</v>
      </c>
      <c r="AZ247" s="81" t="s">
        <v>1055</v>
      </c>
      <c r="BA247" s="81" t="s">
        <v>1190</v>
      </c>
      <c r="BB247" s="81" t="s">
        <v>1190</v>
      </c>
      <c r="BC247" s="81" t="s">
        <v>1055</v>
      </c>
      <c r="BD247" s="81" t="s">
        <v>1176</v>
      </c>
      <c r="BE247" s="77"/>
      <c r="BF247" s="77"/>
      <c r="BG247" s="77"/>
      <c r="BH247" s="77"/>
      <c r="BI247" s="77"/>
      <c r="BJ247">
        <v>2</v>
      </c>
      <c r="BK247" s="76" t="str">
        <f>REPLACE(INDEX(GroupVertices[Group],MATCH(Edges[[#This Row],[Vertex 1]],GroupVertices[Vertex],0)),1,1,"")</f>
        <v>1</v>
      </c>
      <c r="BL247" s="76" t="str">
        <f>REPLACE(INDEX(GroupVertices[Group],MATCH(Edges[[#This Row],[Vertex 2]],GroupVertices[Vertex],0)),1,1,"")</f>
        <v>1</v>
      </c>
      <c r="BM247" s="45"/>
      <c r="BN247" s="46"/>
      <c r="BO247" s="45"/>
      <c r="BP247" s="46"/>
      <c r="BQ247" s="45"/>
      <c r="BR247" s="46"/>
      <c r="BS247" s="45"/>
      <c r="BT247" s="46"/>
      <c r="BU247" s="45"/>
    </row>
    <row r="248" spans="1:73" ht="15">
      <c r="A248" s="61" t="s">
        <v>229</v>
      </c>
      <c r="B248" s="61" t="s">
        <v>370</v>
      </c>
      <c r="C248" s="62" t="s">
        <v>11692</v>
      </c>
      <c r="D248" s="63">
        <v>3</v>
      </c>
      <c r="E248" s="64" t="s">
        <v>132</v>
      </c>
      <c r="F248" s="65">
        <v>32</v>
      </c>
      <c r="G248" s="62"/>
      <c r="H248" s="66"/>
      <c r="I248" s="67"/>
      <c r="J248" s="67"/>
      <c r="K248" s="31" t="s">
        <v>65</v>
      </c>
      <c r="L248" s="75">
        <v>248</v>
      </c>
      <c r="M248" s="75"/>
      <c r="N248" s="69"/>
      <c r="O248" s="77" t="s">
        <v>539</v>
      </c>
      <c r="P248" s="79">
        <v>45164.47796296296</v>
      </c>
      <c r="Q248" s="77" t="s">
        <v>572</v>
      </c>
      <c r="R248" s="77">
        <v>0</v>
      </c>
      <c r="S248" s="77">
        <v>4</v>
      </c>
      <c r="T248" s="77">
        <v>1</v>
      </c>
      <c r="U248" s="77">
        <v>0</v>
      </c>
      <c r="V248" s="77">
        <v>94</v>
      </c>
      <c r="W248" s="81" t="s">
        <v>683</v>
      </c>
      <c r="X248" s="83" t="str">
        <f>HYPERLINK("https://bit.ly/47Lu0XB")</f>
        <v>https://bit.ly/47Lu0XB</v>
      </c>
      <c r="Y248" s="77" t="s">
        <v>740</v>
      </c>
      <c r="Z248" s="77" t="s">
        <v>770</v>
      </c>
      <c r="AA248" s="77"/>
      <c r="AB248" s="77"/>
      <c r="AC248" s="81" t="s">
        <v>853</v>
      </c>
      <c r="AD248" s="77" t="s">
        <v>863</v>
      </c>
      <c r="AE248" s="83" t="str">
        <f>HYPERLINK("https://twitter.com/mihkal/status/1695397746121875757")</f>
        <v>https://twitter.com/mihkal/status/1695397746121875757</v>
      </c>
      <c r="AF248" s="79">
        <v>45164.47796296296</v>
      </c>
      <c r="AG248" s="85">
        <v>45164</v>
      </c>
      <c r="AH248" s="81" t="s">
        <v>899</v>
      </c>
      <c r="AI248" s="77" t="b">
        <v>0</v>
      </c>
      <c r="AJ248" s="77"/>
      <c r="AK248" s="77"/>
      <c r="AL248" s="77"/>
      <c r="AM248" s="77"/>
      <c r="AN248" s="77"/>
      <c r="AO248" s="77"/>
      <c r="AP248" s="77"/>
      <c r="AQ248" s="77"/>
      <c r="AR248" s="77"/>
      <c r="AS248" s="77"/>
      <c r="AT248" s="77"/>
      <c r="AU248" s="77"/>
      <c r="AV248" s="83" t="str">
        <f>HYPERLINK("https://pbs.twimg.com/profile_images/1663227887837757440/XOjtFF4W_normal.jpg")</f>
        <v>https://pbs.twimg.com/profile_images/1663227887837757440/XOjtFF4W_normal.jpg</v>
      </c>
      <c r="AW248" s="81" t="s">
        <v>1054</v>
      </c>
      <c r="AX248" s="81" t="s">
        <v>1054</v>
      </c>
      <c r="AY248" s="77"/>
      <c r="AZ248" s="81" t="s">
        <v>1190</v>
      </c>
      <c r="BA248" s="81" t="s">
        <v>1190</v>
      </c>
      <c r="BB248" s="81" t="s">
        <v>1190</v>
      </c>
      <c r="BC248" s="81" t="s">
        <v>1054</v>
      </c>
      <c r="BD248" s="77">
        <v>24256031</v>
      </c>
      <c r="BE248" s="77"/>
      <c r="BF248" s="77"/>
      <c r="BG248" s="77"/>
      <c r="BH248" s="77"/>
      <c r="BI248" s="77"/>
      <c r="BJ248">
        <v>1</v>
      </c>
      <c r="BK248" s="76" t="str">
        <f>REPLACE(INDEX(GroupVertices[Group],MATCH(Edges[[#This Row],[Vertex 1]],GroupVertices[Vertex],0)),1,1,"")</f>
        <v>1</v>
      </c>
      <c r="BL248" s="76" t="str">
        <f>REPLACE(INDEX(GroupVertices[Group],MATCH(Edges[[#This Row],[Vertex 2]],GroupVertices[Vertex],0)),1,1,"")</f>
        <v>1</v>
      </c>
      <c r="BM248" s="45"/>
      <c r="BN248" s="46"/>
      <c r="BO248" s="45"/>
      <c r="BP248" s="46"/>
      <c r="BQ248" s="45"/>
      <c r="BR248" s="46"/>
      <c r="BS248" s="45"/>
      <c r="BT248" s="46"/>
      <c r="BU248" s="45"/>
    </row>
    <row r="249" spans="1:73" ht="15">
      <c r="A249" s="61" t="s">
        <v>229</v>
      </c>
      <c r="B249" s="61" t="s">
        <v>370</v>
      </c>
      <c r="C249" s="62" t="s">
        <v>11692</v>
      </c>
      <c r="D249" s="63">
        <v>3</v>
      </c>
      <c r="E249" s="64" t="s">
        <v>132</v>
      </c>
      <c r="F249" s="65">
        <v>32</v>
      </c>
      <c r="G249" s="62"/>
      <c r="H249" s="66"/>
      <c r="I249" s="67"/>
      <c r="J249" s="67"/>
      <c r="K249" s="31" t="s">
        <v>65</v>
      </c>
      <c r="L249" s="75">
        <v>249</v>
      </c>
      <c r="M249" s="75"/>
      <c r="N249" s="69"/>
      <c r="O249" s="77" t="s">
        <v>543</v>
      </c>
      <c r="P249" s="79">
        <v>45165.418541666666</v>
      </c>
      <c r="Q249" s="77" t="s">
        <v>573</v>
      </c>
      <c r="R249" s="77">
        <v>0</v>
      </c>
      <c r="S249" s="77">
        <v>5</v>
      </c>
      <c r="T249" s="77">
        <v>1</v>
      </c>
      <c r="U249" s="77">
        <v>0</v>
      </c>
      <c r="V249" s="77">
        <v>49</v>
      </c>
      <c r="W249" s="77"/>
      <c r="X249" s="77"/>
      <c r="Y249" s="77"/>
      <c r="Z249" s="77" t="s">
        <v>771</v>
      </c>
      <c r="AA249" s="77"/>
      <c r="AB249" s="77"/>
      <c r="AC249" s="81" t="s">
        <v>853</v>
      </c>
      <c r="AD249" s="77" t="s">
        <v>859</v>
      </c>
      <c r="AE249" s="83" t="str">
        <f>HYPERLINK("https://twitter.com/mihkal/status/1695738602557239609")</f>
        <v>https://twitter.com/mihkal/status/1695738602557239609</v>
      </c>
      <c r="AF249" s="79">
        <v>45165.418541666666</v>
      </c>
      <c r="AG249" s="85">
        <v>45165</v>
      </c>
      <c r="AH249" s="81" t="s">
        <v>900</v>
      </c>
      <c r="AI249" s="77"/>
      <c r="AJ249" s="77"/>
      <c r="AK249" s="77"/>
      <c r="AL249" s="77"/>
      <c r="AM249" s="77"/>
      <c r="AN249" s="77"/>
      <c r="AO249" s="77"/>
      <c r="AP249" s="77"/>
      <c r="AQ249" s="77"/>
      <c r="AR249" s="77"/>
      <c r="AS249" s="77"/>
      <c r="AT249" s="77"/>
      <c r="AU249" s="77"/>
      <c r="AV249" s="83" t="str">
        <f>HYPERLINK("https://pbs.twimg.com/profile_images/1663227887837757440/XOjtFF4W_normal.jpg")</f>
        <v>https://pbs.twimg.com/profile_images/1663227887837757440/XOjtFF4W_normal.jpg</v>
      </c>
      <c r="AW249" s="81" t="s">
        <v>1055</v>
      </c>
      <c r="AX249" s="81" t="s">
        <v>1054</v>
      </c>
      <c r="AY249" s="81" t="s">
        <v>1176</v>
      </c>
      <c r="AZ249" s="81" t="s">
        <v>1052</v>
      </c>
      <c r="BA249" s="81" t="s">
        <v>1190</v>
      </c>
      <c r="BB249" s="81" t="s">
        <v>1190</v>
      </c>
      <c r="BC249" s="81" t="s">
        <v>1052</v>
      </c>
      <c r="BD249" s="77">
        <v>24256031</v>
      </c>
      <c r="BE249" s="77"/>
      <c r="BF249" s="77"/>
      <c r="BG249" s="77"/>
      <c r="BH249" s="77"/>
      <c r="BI249" s="77"/>
      <c r="BJ249">
        <v>1</v>
      </c>
      <c r="BK249" s="76" t="str">
        <f>REPLACE(INDEX(GroupVertices[Group],MATCH(Edges[[#This Row],[Vertex 1]],GroupVertices[Vertex],0)),1,1,"")</f>
        <v>1</v>
      </c>
      <c r="BL249" s="76" t="str">
        <f>REPLACE(INDEX(GroupVertices[Group],MATCH(Edges[[#This Row],[Vertex 2]],GroupVertices[Vertex],0)),1,1,"")</f>
        <v>1</v>
      </c>
      <c r="BM249" s="45"/>
      <c r="BN249" s="46"/>
      <c r="BO249" s="45"/>
      <c r="BP249" s="46"/>
      <c r="BQ249" s="45"/>
      <c r="BR249" s="46"/>
      <c r="BS249" s="45"/>
      <c r="BT249" s="46"/>
      <c r="BU249" s="45"/>
    </row>
    <row r="250" spans="1:73" ht="15">
      <c r="A250" s="61" t="s">
        <v>230</v>
      </c>
      <c r="B250" s="61" t="s">
        <v>371</v>
      </c>
      <c r="C250" s="62" t="s">
        <v>11693</v>
      </c>
      <c r="D250" s="63">
        <v>4.4</v>
      </c>
      <c r="E250" s="64" t="s">
        <v>132</v>
      </c>
      <c r="F250" s="65">
        <v>27.6</v>
      </c>
      <c r="G250" s="62"/>
      <c r="H250" s="66"/>
      <c r="I250" s="67"/>
      <c r="J250" s="67"/>
      <c r="K250" s="31" t="s">
        <v>65</v>
      </c>
      <c r="L250" s="75">
        <v>250</v>
      </c>
      <c r="M250" s="75"/>
      <c r="N250" s="69"/>
      <c r="O250" s="77" t="s">
        <v>543</v>
      </c>
      <c r="P250" s="79">
        <v>45164.80693287037</v>
      </c>
      <c r="Q250" s="77" t="s">
        <v>570</v>
      </c>
      <c r="R250" s="77">
        <v>0</v>
      </c>
      <c r="S250" s="77">
        <v>1</v>
      </c>
      <c r="T250" s="77">
        <v>2</v>
      </c>
      <c r="U250" s="77">
        <v>0</v>
      </c>
      <c r="V250" s="77">
        <v>44</v>
      </c>
      <c r="W250" s="77"/>
      <c r="X250" s="77"/>
      <c r="Y250" s="77"/>
      <c r="Z250" s="77" t="s">
        <v>768</v>
      </c>
      <c r="AA250" s="77"/>
      <c r="AB250" s="77"/>
      <c r="AC250" s="81" t="s">
        <v>853</v>
      </c>
      <c r="AD250" s="77" t="s">
        <v>859</v>
      </c>
      <c r="AE250" s="83" t="str">
        <f>HYPERLINK("https://twitter.com/dfwplay/status/1695516960786686111")</f>
        <v>https://twitter.com/dfwplay/status/1695516960786686111</v>
      </c>
      <c r="AF250" s="79">
        <v>45164.80693287037</v>
      </c>
      <c r="AG250" s="85">
        <v>45164</v>
      </c>
      <c r="AH250" s="81" t="s">
        <v>897</v>
      </c>
      <c r="AI250" s="77"/>
      <c r="AJ250" s="77"/>
      <c r="AK250" s="77"/>
      <c r="AL250" s="77"/>
      <c r="AM250" s="77"/>
      <c r="AN250" s="77"/>
      <c r="AO250" s="77"/>
      <c r="AP250" s="77"/>
      <c r="AQ250" s="77"/>
      <c r="AR250" s="77"/>
      <c r="AS250" s="77"/>
      <c r="AT250" s="77"/>
      <c r="AU250" s="77"/>
      <c r="AV250" s="83" t="str">
        <f>HYPERLINK("https://pbs.twimg.com/profile_images/1700578472530161664/kLgR6CCn_normal.jpg")</f>
        <v>https://pbs.twimg.com/profile_images/1700578472530161664/kLgR6CCn_normal.jpg</v>
      </c>
      <c r="AW250" s="81" t="s">
        <v>1052</v>
      </c>
      <c r="AX250" s="81" t="s">
        <v>1054</v>
      </c>
      <c r="AY250" s="81" t="s">
        <v>1169</v>
      </c>
      <c r="AZ250" s="81" t="s">
        <v>1054</v>
      </c>
      <c r="BA250" s="81" t="s">
        <v>1190</v>
      </c>
      <c r="BB250" s="81" t="s">
        <v>1190</v>
      </c>
      <c r="BC250" s="81" t="s">
        <v>1054</v>
      </c>
      <c r="BD250" s="81" t="s">
        <v>1176</v>
      </c>
      <c r="BE250" s="77"/>
      <c r="BF250" s="77"/>
      <c r="BG250" s="77"/>
      <c r="BH250" s="77"/>
      <c r="BI250" s="77"/>
      <c r="BJ250">
        <v>2</v>
      </c>
      <c r="BK250" s="76" t="str">
        <f>REPLACE(INDEX(GroupVertices[Group],MATCH(Edges[[#This Row],[Vertex 1]],GroupVertices[Vertex],0)),1,1,"")</f>
        <v>1</v>
      </c>
      <c r="BL250" s="76" t="str">
        <f>REPLACE(INDEX(GroupVertices[Group],MATCH(Edges[[#This Row],[Vertex 2]],GroupVertices[Vertex],0)),1,1,"")</f>
        <v>1</v>
      </c>
      <c r="BM250" s="45"/>
      <c r="BN250" s="46"/>
      <c r="BO250" s="45"/>
      <c r="BP250" s="46"/>
      <c r="BQ250" s="45"/>
      <c r="BR250" s="46"/>
      <c r="BS250" s="45"/>
      <c r="BT250" s="46"/>
      <c r="BU250" s="45"/>
    </row>
    <row r="251" spans="1:73" ht="15">
      <c r="A251" s="61" t="s">
        <v>230</v>
      </c>
      <c r="B251" s="61" t="s">
        <v>371</v>
      </c>
      <c r="C251" s="62" t="s">
        <v>11693</v>
      </c>
      <c r="D251" s="63">
        <v>4.4</v>
      </c>
      <c r="E251" s="64" t="s">
        <v>132</v>
      </c>
      <c r="F251" s="65">
        <v>27.6</v>
      </c>
      <c r="G251" s="62"/>
      <c r="H251" s="66"/>
      <c r="I251" s="67"/>
      <c r="J251" s="67"/>
      <c r="K251" s="31" t="s">
        <v>65</v>
      </c>
      <c r="L251" s="75">
        <v>251</v>
      </c>
      <c r="M251" s="75"/>
      <c r="N251" s="69"/>
      <c r="O251" s="77" t="s">
        <v>543</v>
      </c>
      <c r="P251" s="79">
        <v>45165.93508101852</v>
      </c>
      <c r="Q251" s="77" t="s">
        <v>571</v>
      </c>
      <c r="R251" s="77">
        <v>0</v>
      </c>
      <c r="S251" s="77">
        <v>0</v>
      </c>
      <c r="T251" s="77">
        <v>0</v>
      </c>
      <c r="U251" s="77">
        <v>0</v>
      </c>
      <c r="V251" s="77">
        <v>41</v>
      </c>
      <c r="W251" s="77"/>
      <c r="X251" s="83" t="str">
        <f>HYPERLINK("https://www.smrfoundation.org/")</f>
        <v>https://www.smrfoundation.org/</v>
      </c>
      <c r="Y251" s="77" t="s">
        <v>741</v>
      </c>
      <c r="Z251" s="77" t="s">
        <v>769</v>
      </c>
      <c r="AA251" s="77"/>
      <c r="AB251" s="77"/>
      <c r="AC251" s="81" t="s">
        <v>853</v>
      </c>
      <c r="AD251" s="77" t="s">
        <v>859</v>
      </c>
      <c r="AE251" s="83" t="str">
        <f>HYPERLINK("https://twitter.com/dfwplay/status/1695925790355963984")</f>
        <v>https://twitter.com/dfwplay/status/1695925790355963984</v>
      </c>
      <c r="AF251" s="79">
        <v>45165.93508101852</v>
      </c>
      <c r="AG251" s="85">
        <v>45165</v>
      </c>
      <c r="AH251" s="81" t="s">
        <v>898</v>
      </c>
      <c r="AI251" s="77" t="b">
        <v>0</v>
      </c>
      <c r="AJ251" s="77"/>
      <c r="AK251" s="77"/>
      <c r="AL251" s="77"/>
      <c r="AM251" s="77"/>
      <c r="AN251" s="77"/>
      <c r="AO251" s="77"/>
      <c r="AP251" s="77"/>
      <c r="AQ251" s="77"/>
      <c r="AR251" s="77"/>
      <c r="AS251" s="77"/>
      <c r="AT251" s="77"/>
      <c r="AU251" s="77"/>
      <c r="AV251" s="83" t="str">
        <f>HYPERLINK("https://pbs.twimg.com/profile_images/1700578472530161664/kLgR6CCn_normal.jpg")</f>
        <v>https://pbs.twimg.com/profile_images/1700578472530161664/kLgR6CCn_normal.jpg</v>
      </c>
      <c r="AW251" s="81" t="s">
        <v>1053</v>
      </c>
      <c r="AX251" s="81" t="s">
        <v>1054</v>
      </c>
      <c r="AY251" s="81" t="s">
        <v>1169</v>
      </c>
      <c r="AZ251" s="81" t="s">
        <v>1055</v>
      </c>
      <c r="BA251" s="81" t="s">
        <v>1190</v>
      </c>
      <c r="BB251" s="81" t="s">
        <v>1190</v>
      </c>
      <c r="BC251" s="81" t="s">
        <v>1055</v>
      </c>
      <c r="BD251" s="81" t="s">
        <v>1176</v>
      </c>
      <c r="BE251" s="77"/>
      <c r="BF251" s="77"/>
      <c r="BG251" s="77"/>
      <c r="BH251" s="77"/>
      <c r="BI251" s="77"/>
      <c r="BJ251">
        <v>2</v>
      </c>
      <c r="BK251" s="76" t="str">
        <f>REPLACE(INDEX(GroupVertices[Group],MATCH(Edges[[#This Row],[Vertex 1]],GroupVertices[Vertex],0)),1,1,"")</f>
        <v>1</v>
      </c>
      <c r="BL251" s="76" t="str">
        <f>REPLACE(INDEX(GroupVertices[Group],MATCH(Edges[[#This Row],[Vertex 2]],GroupVertices[Vertex],0)),1,1,"")</f>
        <v>1</v>
      </c>
      <c r="BM251" s="45"/>
      <c r="BN251" s="46"/>
      <c r="BO251" s="45"/>
      <c r="BP251" s="46"/>
      <c r="BQ251" s="45"/>
      <c r="BR251" s="46"/>
      <c r="BS251" s="45"/>
      <c r="BT251" s="46"/>
      <c r="BU251" s="45"/>
    </row>
    <row r="252" spans="1:73" ht="15">
      <c r="A252" s="61" t="s">
        <v>229</v>
      </c>
      <c r="B252" s="61" t="s">
        <v>371</v>
      </c>
      <c r="C252" s="62" t="s">
        <v>11692</v>
      </c>
      <c r="D252" s="63">
        <v>3</v>
      </c>
      <c r="E252" s="64" t="s">
        <v>132</v>
      </c>
      <c r="F252" s="65">
        <v>32</v>
      </c>
      <c r="G252" s="62"/>
      <c r="H252" s="66"/>
      <c r="I252" s="67"/>
      <c r="J252" s="67"/>
      <c r="K252" s="31" t="s">
        <v>65</v>
      </c>
      <c r="L252" s="75">
        <v>252</v>
      </c>
      <c r="M252" s="75"/>
      <c r="N252" s="69"/>
      <c r="O252" s="77" t="s">
        <v>539</v>
      </c>
      <c r="P252" s="79">
        <v>45164.47796296296</v>
      </c>
      <c r="Q252" s="77" t="s">
        <v>572</v>
      </c>
      <c r="R252" s="77">
        <v>0</v>
      </c>
      <c r="S252" s="77">
        <v>4</v>
      </c>
      <c r="T252" s="77">
        <v>1</v>
      </c>
      <c r="U252" s="77">
        <v>0</v>
      </c>
      <c r="V252" s="77">
        <v>94</v>
      </c>
      <c r="W252" s="81" t="s">
        <v>683</v>
      </c>
      <c r="X252" s="83" t="str">
        <f>HYPERLINK("https://bit.ly/47Lu0XB")</f>
        <v>https://bit.ly/47Lu0XB</v>
      </c>
      <c r="Y252" s="77" t="s">
        <v>740</v>
      </c>
      <c r="Z252" s="77" t="s">
        <v>770</v>
      </c>
      <c r="AA252" s="77"/>
      <c r="AB252" s="77"/>
      <c r="AC252" s="81" t="s">
        <v>853</v>
      </c>
      <c r="AD252" s="77" t="s">
        <v>863</v>
      </c>
      <c r="AE252" s="83" t="str">
        <f>HYPERLINK("https://twitter.com/mihkal/status/1695397746121875757")</f>
        <v>https://twitter.com/mihkal/status/1695397746121875757</v>
      </c>
      <c r="AF252" s="79">
        <v>45164.47796296296</v>
      </c>
      <c r="AG252" s="85">
        <v>45164</v>
      </c>
      <c r="AH252" s="81" t="s">
        <v>899</v>
      </c>
      <c r="AI252" s="77" t="b">
        <v>0</v>
      </c>
      <c r="AJ252" s="77"/>
      <c r="AK252" s="77"/>
      <c r="AL252" s="77"/>
      <c r="AM252" s="77"/>
      <c r="AN252" s="77"/>
      <c r="AO252" s="77"/>
      <c r="AP252" s="77"/>
      <c r="AQ252" s="77"/>
      <c r="AR252" s="77"/>
      <c r="AS252" s="77"/>
      <c r="AT252" s="77"/>
      <c r="AU252" s="77"/>
      <c r="AV252" s="83" t="str">
        <f>HYPERLINK("https://pbs.twimg.com/profile_images/1663227887837757440/XOjtFF4W_normal.jpg")</f>
        <v>https://pbs.twimg.com/profile_images/1663227887837757440/XOjtFF4W_normal.jpg</v>
      </c>
      <c r="AW252" s="81" t="s">
        <v>1054</v>
      </c>
      <c r="AX252" s="81" t="s">
        <v>1054</v>
      </c>
      <c r="AY252" s="77"/>
      <c r="AZ252" s="81" t="s">
        <v>1190</v>
      </c>
      <c r="BA252" s="81" t="s">
        <v>1190</v>
      </c>
      <c r="BB252" s="81" t="s">
        <v>1190</v>
      </c>
      <c r="BC252" s="81" t="s">
        <v>1054</v>
      </c>
      <c r="BD252" s="77">
        <v>24256031</v>
      </c>
      <c r="BE252" s="77"/>
      <c r="BF252" s="77"/>
      <c r="BG252" s="77"/>
      <c r="BH252" s="77"/>
      <c r="BI252" s="77"/>
      <c r="BJ252">
        <v>1</v>
      </c>
      <c r="BK252" s="76" t="str">
        <f>REPLACE(INDEX(GroupVertices[Group],MATCH(Edges[[#This Row],[Vertex 1]],GroupVertices[Vertex],0)),1,1,"")</f>
        <v>1</v>
      </c>
      <c r="BL252" s="76" t="str">
        <f>REPLACE(INDEX(GroupVertices[Group],MATCH(Edges[[#This Row],[Vertex 2]],GroupVertices[Vertex],0)),1,1,"")</f>
        <v>1</v>
      </c>
      <c r="BM252" s="45"/>
      <c r="BN252" s="46"/>
      <c r="BO252" s="45"/>
      <c r="BP252" s="46"/>
      <c r="BQ252" s="45"/>
      <c r="BR252" s="46"/>
      <c r="BS252" s="45"/>
      <c r="BT252" s="46"/>
      <c r="BU252" s="45"/>
    </row>
    <row r="253" spans="1:73" ht="15">
      <c r="A253" s="61" t="s">
        <v>229</v>
      </c>
      <c r="B253" s="61" t="s">
        <v>371</v>
      </c>
      <c r="C253" s="62" t="s">
        <v>11692</v>
      </c>
      <c r="D253" s="63">
        <v>3</v>
      </c>
      <c r="E253" s="64" t="s">
        <v>132</v>
      </c>
      <c r="F253" s="65">
        <v>32</v>
      </c>
      <c r="G253" s="62"/>
      <c r="H253" s="66"/>
      <c r="I253" s="67"/>
      <c r="J253" s="67"/>
      <c r="K253" s="31" t="s">
        <v>65</v>
      </c>
      <c r="L253" s="75">
        <v>253</v>
      </c>
      <c r="M253" s="75"/>
      <c r="N253" s="69"/>
      <c r="O253" s="77" t="s">
        <v>543</v>
      </c>
      <c r="P253" s="79">
        <v>45165.418541666666</v>
      </c>
      <c r="Q253" s="77" t="s">
        <v>573</v>
      </c>
      <c r="R253" s="77">
        <v>0</v>
      </c>
      <c r="S253" s="77">
        <v>5</v>
      </c>
      <c r="T253" s="77">
        <v>1</v>
      </c>
      <c r="U253" s="77">
        <v>0</v>
      </c>
      <c r="V253" s="77">
        <v>49</v>
      </c>
      <c r="W253" s="77"/>
      <c r="X253" s="77"/>
      <c r="Y253" s="77"/>
      <c r="Z253" s="77" t="s">
        <v>771</v>
      </c>
      <c r="AA253" s="77"/>
      <c r="AB253" s="77"/>
      <c r="AC253" s="81" t="s">
        <v>853</v>
      </c>
      <c r="AD253" s="77" t="s">
        <v>859</v>
      </c>
      <c r="AE253" s="83" t="str">
        <f>HYPERLINK("https://twitter.com/mihkal/status/1695738602557239609")</f>
        <v>https://twitter.com/mihkal/status/1695738602557239609</v>
      </c>
      <c r="AF253" s="79">
        <v>45165.418541666666</v>
      </c>
      <c r="AG253" s="85">
        <v>45165</v>
      </c>
      <c r="AH253" s="81" t="s">
        <v>900</v>
      </c>
      <c r="AI253" s="77"/>
      <c r="AJ253" s="77"/>
      <c r="AK253" s="77"/>
      <c r="AL253" s="77"/>
      <c r="AM253" s="77"/>
      <c r="AN253" s="77"/>
      <c r="AO253" s="77"/>
      <c r="AP253" s="77"/>
      <c r="AQ253" s="77"/>
      <c r="AR253" s="77"/>
      <c r="AS253" s="77"/>
      <c r="AT253" s="77"/>
      <c r="AU253" s="77"/>
      <c r="AV253" s="83" t="str">
        <f>HYPERLINK("https://pbs.twimg.com/profile_images/1663227887837757440/XOjtFF4W_normal.jpg")</f>
        <v>https://pbs.twimg.com/profile_images/1663227887837757440/XOjtFF4W_normal.jpg</v>
      </c>
      <c r="AW253" s="81" t="s">
        <v>1055</v>
      </c>
      <c r="AX253" s="81" t="s">
        <v>1054</v>
      </c>
      <c r="AY253" s="81" t="s">
        <v>1176</v>
      </c>
      <c r="AZ253" s="81" t="s">
        <v>1052</v>
      </c>
      <c r="BA253" s="81" t="s">
        <v>1190</v>
      </c>
      <c r="BB253" s="81" t="s">
        <v>1190</v>
      </c>
      <c r="BC253" s="81" t="s">
        <v>1052</v>
      </c>
      <c r="BD253" s="77">
        <v>24256031</v>
      </c>
      <c r="BE253" s="77"/>
      <c r="BF253" s="77"/>
      <c r="BG253" s="77"/>
      <c r="BH253" s="77"/>
      <c r="BI253" s="77"/>
      <c r="BJ253">
        <v>1</v>
      </c>
      <c r="BK253" s="76" t="str">
        <f>REPLACE(INDEX(GroupVertices[Group],MATCH(Edges[[#This Row],[Vertex 1]],GroupVertices[Vertex],0)),1,1,"")</f>
        <v>1</v>
      </c>
      <c r="BL253" s="76" t="str">
        <f>REPLACE(INDEX(GroupVertices[Group],MATCH(Edges[[#This Row],[Vertex 2]],GroupVertices[Vertex],0)),1,1,"")</f>
        <v>1</v>
      </c>
      <c r="BM253" s="45"/>
      <c r="BN253" s="46"/>
      <c r="BO253" s="45"/>
      <c r="BP253" s="46"/>
      <c r="BQ253" s="45"/>
      <c r="BR253" s="46"/>
      <c r="BS253" s="45"/>
      <c r="BT253" s="46"/>
      <c r="BU253" s="45"/>
    </row>
    <row r="254" spans="1:73" ht="15">
      <c r="A254" s="61" t="s">
        <v>230</v>
      </c>
      <c r="B254" s="61" t="s">
        <v>372</v>
      </c>
      <c r="C254" s="62" t="s">
        <v>11693</v>
      </c>
      <c r="D254" s="63">
        <v>4.4</v>
      </c>
      <c r="E254" s="64" t="s">
        <v>132</v>
      </c>
      <c r="F254" s="65">
        <v>27.6</v>
      </c>
      <c r="G254" s="62"/>
      <c r="H254" s="66"/>
      <c r="I254" s="67"/>
      <c r="J254" s="67"/>
      <c r="K254" s="31" t="s">
        <v>65</v>
      </c>
      <c r="L254" s="75">
        <v>254</v>
      </c>
      <c r="M254" s="75"/>
      <c r="N254" s="69"/>
      <c r="O254" s="77" t="s">
        <v>543</v>
      </c>
      <c r="P254" s="79">
        <v>45164.80693287037</v>
      </c>
      <c r="Q254" s="77" t="s">
        <v>570</v>
      </c>
      <c r="R254" s="77">
        <v>0</v>
      </c>
      <c r="S254" s="77">
        <v>1</v>
      </c>
      <c r="T254" s="77">
        <v>2</v>
      </c>
      <c r="U254" s="77">
        <v>0</v>
      </c>
      <c r="V254" s="77">
        <v>44</v>
      </c>
      <c r="W254" s="77"/>
      <c r="X254" s="77"/>
      <c r="Y254" s="77"/>
      <c r="Z254" s="77" t="s">
        <v>768</v>
      </c>
      <c r="AA254" s="77"/>
      <c r="AB254" s="77"/>
      <c r="AC254" s="81" t="s">
        <v>853</v>
      </c>
      <c r="AD254" s="77" t="s">
        <v>859</v>
      </c>
      <c r="AE254" s="83" t="str">
        <f>HYPERLINK("https://twitter.com/dfwplay/status/1695516960786686111")</f>
        <v>https://twitter.com/dfwplay/status/1695516960786686111</v>
      </c>
      <c r="AF254" s="79">
        <v>45164.80693287037</v>
      </c>
      <c r="AG254" s="85">
        <v>45164</v>
      </c>
      <c r="AH254" s="81" t="s">
        <v>897</v>
      </c>
      <c r="AI254" s="77"/>
      <c r="AJ254" s="77"/>
      <c r="AK254" s="77"/>
      <c r="AL254" s="77"/>
      <c r="AM254" s="77"/>
      <c r="AN254" s="77"/>
      <c r="AO254" s="77"/>
      <c r="AP254" s="77"/>
      <c r="AQ254" s="77"/>
      <c r="AR254" s="77"/>
      <c r="AS254" s="77"/>
      <c r="AT254" s="77"/>
      <c r="AU254" s="77"/>
      <c r="AV254" s="83" t="str">
        <f>HYPERLINK("https://pbs.twimg.com/profile_images/1700578472530161664/kLgR6CCn_normal.jpg")</f>
        <v>https://pbs.twimg.com/profile_images/1700578472530161664/kLgR6CCn_normal.jpg</v>
      </c>
      <c r="AW254" s="81" t="s">
        <v>1052</v>
      </c>
      <c r="AX254" s="81" t="s">
        <v>1054</v>
      </c>
      <c r="AY254" s="81" t="s">
        <v>1169</v>
      </c>
      <c r="AZ254" s="81" t="s">
        <v>1054</v>
      </c>
      <c r="BA254" s="81" t="s">
        <v>1190</v>
      </c>
      <c r="BB254" s="81" t="s">
        <v>1190</v>
      </c>
      <c r="BC254" s="81" t="s">
        <v>1054</v>
      </c>
      <c r="BD254" s="81" t="s">
        <v>1176</v>
      </c>
      <c r="BE254" s="77"/>
      <c r="BF254" s="77"/>
      <c r="BG254" s="77"/>
      <c r="BH254" s="77"/>
      <c r="BI254" s="77"/>
      <c r="BJ254">
        <v>2</v>
      </c>
      <c r="BK254" s="76" t="str">
        <f>REPLACE(INDEX(GroupVertices[Group],MATCH(Edges[[#This Row],[Vertex 1]],GroupVertices[Vertex],0)),1,1,"")</f>
        <v>1</v>
      </c>
      <c r="BL254" s="76" t="str">
        <f>REPLACE(INDEX(GroupVertices[Group],MATCH(Edges[[#This Row],[Vertex 2]],GroupVertices[Vertex],0)),1,1,"")</f>
        <v>1</v>
      </c>
      <c r="BM254" s="45"/>
      <c r="BN254" s="46"/>
      <c r="BO254" s="45"/>
      <c r="BP254" s="46"/>
      <c r="BQ254" s="45"/>
      <c r="BR254" s="46"/>
      <c r="BS254" s="45"/>
      <c r="BT254" s="46"/>
      <c r="BU254" s="45"/>
    </row>
    <row r="255" spans="1:73" ht="15">
      <c r="A255" s="61" t="s">
        <v>230</v>
      </c>
      <c r="B255" s="61" t="s">
        <v>372</v>
      </c>
      <c r="C255" s="62" t="s">
        <v>11693</v>
      </c>
      <c r="D255" s="63">
        <v>4.4</v>
      </c>
      <c r="E255" s="64" t="s">
        <v>132</v>
      </c>
      <c r="F255" s="65">
        <v>27.6</v>
      </c>
      <c r="G255" s="62"/>
      <c r="H255" s="66"/>
      <c r="I255" s="67"/>
      <c r="J255" s="67"/>
      <c r="K255" s="31" t="s">
        <v>65</v>
      </c>
      <c r="L255" s="75">
        <v>255</v>
      </c>
      <c r="M255" s="75"/>
      <c r="N255" s="69"/>
      <c r="O255" s="77" t="s">
        <v>543</v>
      </c>
      <c r="P255" s="79">
        <v>45165.93508101852</v>
      </c>
      <c r="Q255" s="77" t="s">
        <v>571</v>
      </c>
      <c r="R255" s="77">
        <v>0</v>
      </c>
      <c r="S255" s="77">
        <v>0</v>
      </c>
      <c r="T255" s="77">
        <v>0</v>
      </c>
      <c r="U255" s="77">
        <v>0</v>
      </c>
      <c r="V255" s="77">
        <v>41</v>
      </c>
      <c r="W255" s="77"/>
      <c r="X255" s="83" t="str">
        <f>HYPERLINK("https://www.smrfoundation.org/")</f>
        <v>https://www.smrfoundation.org/</v>
      </c>
      <c r="Y255" s="77" t="s">
        <v>741</v>
      </c>
      <c r="Z255" s="77" t="s">
        <v>769</v>
      </c>
      <c r="AA255" s="77"/>
      <c r="AB255" s="77"/>
      <c r="AC255" s="81" t="s">
        <v>853</v>
      </c>
      <c r="AD255" s="77" t="s">
        <v>859</v>
      </c>
      <c r="AE255" s="83" t="str">
        <f>HYPERLINK("https://twitter.com/dfwplay/status/1695925790355963984")</f>
        <v>https://twitter.com/dfwplay/status/1695925790355963984</v>
      </c>
      <c r="AF255" s="79">
        <v>45165.93508101852</v>
      </c>
      <c r="AG255" s="85">
        <v>45165</v>
      </c>
      <c r="AH255" s="81" t="s">
        <v>898</v>
      </c>
      <c r="AI255" s="77" t="b">
        <v>0</v>
      </c>
      <c r="AJ255" s="77"/>
      <c r="AK255" s="77"/>
      <c r="AL255" s="77"/>
      <c r="AM255" s="77"/>
      <c r="AN255" s="77"/>
      <c r="AO255" s="77"/>
      <c r="AP255" s="77"/>
      <c r="AQ255" s="77"/>
      <c r="AR255" s="77"/>
      <c r="AS255" s="77"/>
      <c r="AT255" s="77"/>
      <c r="AU255" s="77"/>
      <c r="AV255" s="83" t="str">
        <f>HYPERLINK("https://pbs.twimg.com/profile_images/1700578472530161664/kLgR6CCn_normal.jpg")</f>
        <v>https://pbs.twimg.com/profile_images/1700578472530161664/kLgR6CCn_normal.jpg</v>
      </c>
      <c r="AW255" s="81" t="s">
        <v>1053</v>
      </c>
      <c r="AX255" s="81" t="s">
        <v>1054</v>
      </c>
      <c r="AY255" s="81" t="s">
        <v>1169</v>
      </c>
      <c r="AZ255" s="81" t="s">
        <v>1055</v>
      </c>
      <c r="BA255" s="81" t="s">
        <v>1190</v>
      </c>
      <c r="BB255" s="81" t="s">
        <v>1190</v>
      </c>
      <c r="BC255" s="81" t="s">
        <v>1055</v>
      </c>
      <c r="BD255" s="81" t="s">
        <v>1176</v>
      </c>
      <c r="BE255" s="77"/>
      <c r="BF255" s="77"/>
      <c r="BG255" s="77"/>
      <c r="BH255" s="77"/>
      <c r="BI255" s="77"/>
      <c r="BJ255">
        <v>2</v>
      </c>
      <c r="BK255" s="76" t="str">
        <f>REPLACE(INDEX(GroupVertices[Group],MATCH(Edges[[#This Row],[Vertex 1]],GroupVertices[Vertex],0)),1,1,"")</f>
        <v>1</v>
      </c>
      <c r="BL255" s="76" t="str">
        <f>REPLACE(INDEX(GroupVertices[Group],MATCH(Edges[[#This Row],[Vertex 2]],GroupVertices[Vertex],0)),1,1,"")</f>
        <v>1</v>
      </c>
      <c r="BM255" s="45"/>
      <c r="BN255" s="46"/>
      <c r="BO255" s="45"/>
      <c r="BP255" s="46"/>
      <c r="BQ255" s="45"/>
      <c r="BR255" s="46"/>
      <c r="BS255" s="45"/>
      <c r="BT255" s="46"/>
      <c r="BU255" s="45"/>
    </row>
    <row r="256" spans="1:73" ht="15">
      <c r="A256" s="61" t="s">
        <v>229</v>
      </c>
      <c r="B256" s="61" t="s">
        <v>372</v>
      </c>
      <c r="C256" s="62" t="s">
        <v>11692</v>
      </c>
      <c r="D256" s="63">
        <v>3</v>
      </c>
      <c r="E256" s="64" t="s">
        <v>132</v>
      </c>
      <c r="F256" s="65">
        <v>32</v>
      </c>
      <c r="G256" s="62"/>
      <c r="H256" s="66"/>
      <c r="I256" s="67"/>
      <c r="J256" s="67"/>
      <c r="K256" s="31" t="s">
        <v>65</v>
      </c>
      <c r="L256" s="75">
        <v>256</v>
      </c>
      <c r="M256" s="75"/>
      <c r="N256" s="69"/>
      <c r="O256" s="77" t="s">
        <v>539</v>
      </c>
      <c r="P256" s="79">
        <v>45164.47796296296</v>
      </c>
      <c r="Q256" s="77" t="s">
        <v>572</v>
      </c>
      <c r="R256" s="77">
        <v>0</v>
      </c>
      <c r="S256" s="77">
        <v>4</v>
      </c>
      <c r="T256" s="77">
        <v>1</v>
      </c>
      <c r="U256" s="77">
        <v>0</v>
      </c>
      <c r="V256" s="77">
        <v>94</v>
      </c>
      <c r="W256" s="81" t="s">
        <v>683</v>
      </c>
      <c r="X256" s="83" t="str">
        <f>HYPERLINK("https://bit.ly/47Lu0XB")</f>
        <v>https://bit.ly/47Lu0XB</v>
      </c>
      <c r="Y256" s="77" t="s">
        <v>740</v>
      </c>
      <c r="Z256" s="77" t="s">
        <v>770</v>
      </c>
      <c r="AA256" s="77"/>
      <c r="AB256" s="77"/>
      <c r="AC256" s="81" t="s">
        <v>853</v>
      </c>
      <c r="AD256" s="77" t="s">
        <v>863</v>
      </c>
      <c r="AE256" s="83" t="str">
        <f>HYPERLINK("https://twitter.com/mihkal/status/1695397746121875757")</f>
        <v>https://twitter.com/mihkal/status/1695397746121875757</v>
      </c>
      <c r="AF256" s="79">
        <v>45164.47796296296</v>
      </c>
      <c r="AG256" s="85">
        <v>45164</v>
      </c>
      <c r="AH256" s="81" t="s">
        <v>899</v>
      </c>
      <c r="AI256" s="77" t="b">
        <v>0</v>
      </c>
      <c r="AJ256" s="77"/>
      <c r="AK256" s="77"/>
      <c r="AL256" s="77"/>
      <c r="AM256" s="77"/>
      <c r="AN256" s="77"/>
      <c r="AO256" s="77"/>
      <c r="AP256" s="77"/>
      <c r="AQ256" s="77"/>
      <c r="AR256" s="77"/>
      <c r="AS256" s="77"/>
      <c r="AT256" s="77"/>
      <c r="AU256" s="77"/>
      <c r="AV256" s="83" t="str">
        <f>HYPERLINK("https://pbs.twimg.com/profile_images/1663227887837757440/XOjtFF4W_normal.jpg")</f>
        <v>https://pbs.twimg.com/profile_images/1663227887837757440/XOjtFF4W_normal.jpg</v>
      </c>
      <c r="AW256" s="81" t="s">
        <v>1054</v>
      </c>
      <c r="AX256" s="81" t="s">
        <v>1054</v>
      </c>
      <c r="AY256" s="77"/>
      <c r="AZ256" s="81" t="s">
        <v>1190</v>
      </c>
      <c r="BA256" s="81" t="s">
        <v>1190</v>
      </c>
      <c r="BB256" s="81" t="s">
        <v>1190</v>
      </c>
      <c r="BC256" s="81" t="s">
        <v>1054</v>
      </c>
      <c r="BD256" s="77">
        <v>24256031</v>
      </c>
      <c r="BE256" s="77"/>
      <c r="BF256" s="77"/>
      <c r="BG256" s="77"/>
      <c r="BH256" s="77"/>
      <c r="BI256" s="77"/>
      <c r="BJ256">
        <v>1</v>
      </c>
      <c r="BK256" s="76" t="str">
        <f>REPLACE(INDEX(GroupVertices[Group],MATCH(Edges[[#This Row],[Vertex 1]],GroupVertices[Vertex],0)),1,1,"")</f>
        <v>1</v>
      </c>
      <c r="BL256" s="76" t="str">
        <f>REPLACE(INDEX(GroupVertices[Group],MATCH(Edges[[#This Row],[Vertex 2]],GroupVertices[Vertex],0)),1,1,"")</f>
        <v>1</v>
      </c>
      <c r="BM256" s="45"/>
      <c r="BN256" s="46"/>
      <c r="BO256" s="45"/>
      <c r="BP256" s="46"/>
      <c r="BQ256" s="45"/>
      <c r="BR256" s="46"/>
      <c r="BS256" s="45"/>
      <c r="BT256" s="46"/>
      <c r="BU256" s="45"/>
    </row>
    <row r="257" spans="1:73" ht="15">
      <c r="A257" s="61" t="s">
        <v>229</v>
      </c>
      <c r="B257" s="61" t="s">
        <v>372</v>
      </c>
      <c r="C257" s="62" t="s">
        <v>11692</v>
      </c>
      <c r="D257" s="63">
        <v>3</v>
      </c>
      <c r="E257" s="64" t="s">
        <v>132</v>
      </c>
      <c r="F257" s="65">
        <v>32</v>
      </c>
      <c r="G257" s="62"/>
      <c r="H257" s="66"/>
      <c r="I257" s="67"/>
      <c r="J257" s="67"/>
      <c r="K257" s="31" t="s">
        <v>65</v>
      </c>
      <c r="L257" s="75">
        <v>257</v>
      </c>
      <c r="M257" s="75"/>
      <c r="N257" s="69"/>
      <c r="O257" s="77" t="s">
        <v>543</v>
      </c>
      <c r="P257" s="79">
        <v>45165.418541666666</v>
      </c>
      <c r="Q257" s="77" t="s">
        <v>573</v>
      </c>
      <c r="R257" s="77">
        <v>0</v>
      </c>
      <c r="S257" s="77">
        <v>5</v>
      </c>
      <c r="T257" s="77">
        <v>1</v>
      </c>
      <c r="U257" s="77">
        <v>0</v>
      </c>
      <c r="V257" s="77">
        <v>49</v>
      </c>
      <c r="W257" s="77"/>
      <c r="X257" s="77"/>
      <c r="Y257" s="77"/>
      <c r="Z257" s="77" t="s">
        <v>771</v>
      </c>
      <c r="AA257" s="77"/>
      <c r="AB257" s="77"/>
      <c r="AC257" s="81" t="s">
        <v>853</v>
      </c>
      <c r="AD257" s="77" t="s">
        <v>859</v>
      </c>
      <c r="AE257" s="83" t="str">
        <f>HYPERLINK("https://twitter.com/mihkal/status/1695738602557239609")</f>
        <v>https://twitter.com/mihkal/status/1695738602557239609</v>
      </c>
      <c r="AF257" s="79">
        <v>45165.418541666666</v>
      </c>
      <c r="AG257" s="85">
        <v>45165</v>
      </c>
      <c r="AH257" s="81" t="s">
        <v>900</v>
      </c>
      <c r="AI257" s="77"/>
      <c r="AJ257" s="77"/>
      <c r="AK257" s="77"/>
      <c r="AL257" s="77"/>
      <c r="AM257" s="77"/>
      <c r="AN257" s="77"/>
      <c r="AO257" s="77"/>
      <c r="AP257" s="77"/>
      <c r="AQ257" s="77"/>
      <c r="AR257" s="77"/>
      <c r="AS257" s="77"/>
      <c r="AT257" s="77"/>
      <c r="AU257" s="77"/>
      <c r="AV257" s="83" t="str">
        <f>HYPERLINK("https://pbs.twimg.com/profile_images/1663227887837757440/XOjtFF4W_normal.jpg")</f>
        <v>https://pbs.twimg.com/profile_images/1663227887837757440/XOjtFF4W_normal.jpg</v>
      </c>
      <c r="AW257" s="81" t="s">
        <v>1055</v>
      </c>
      <c r="AX257" s="81" t="s">
        <v>1054</v>
      </c>
      <c r="AY257" s="81" t="s">
        <v>1176</v>
      </c>
      <c r="AZ257" s="81" t="s">
        <v>1052</v>
      </c>
      <c r="BA257" s="81" t="s">
        <v>1190</v>
      </c>
      <c r="BB257" s="81" t="s">
        <v>1190</v>
      </c>
      <c r="BC257" s="81" t="s">
        <v>1052</v>
      </c>
      <c r="BD257" s="77">
        <v>24256031</v>
      </c>
      <c r="BE257" s="77"/>
      <c r="BF257" s="77"/>
      <c r="BG257" s="77"/>
      <c r="BH257" s="77"/>
      <c r="BI257" s="77"/>
      <c r="BJ257">
        <v>1</v>
      </c>
      <c r="BK257" s="76" t="str">
        <f>REPLACE(INDEX(GroupVertices[Group],MATCH(Edges[[#This Row],[Vertex 1]],GroupVertices[Vertex],0)),1,1,"")</f>
        <v>1</v>
      </c>
      <c r="BL257" s="76" t="str">
        <f>REPLACE(INDEX(GroupVertices[Group],MATCH(Edges[[#This Row],[Vertex 2]],GroupVertices[Vertex],0)),1,1,"")</f>
        <v>1</v>
      </c>
      <c r="BM257" s="45"/>
      <c r="BN257" s="46"/>
      <c r="BO257" s="45"/>
      <c r="BP257" s="46"/>
      <c r="BQ257" s="45"/>
      <c r="BR257" s="46"/>
      <c r="BS257" s="45"/>
      <c r="BT257" s="46"/>
      <c r="BU257" s="45"/>
    </row>
    <row r="258" spans="1:73" ht="15">
      <c r="A258" s="61" t="s">
        <v>230</v>
      </c>
      <c r="B258" s="61" t="s">
        <v>373</v>
      </c>
      <c r="C258" s="62" t="s">
        <v>11693</v>
      </c>
      <c r="D258" s="63">
        <v>4.4</v>
      </c>
      <c r="E258" s="64" t="s">
        <v>132</v>
      </c>
      <c r="F258" s="65">
        <v>27.6</v>
      </c>
      <c r="G258" s="62"/>
      <c r="H258" s="66"/>
      <c r="I258" s="67"/>
      <c r="J258" s="67"/>
      <c r="K258" s="31" t="s">
        <v>65</v>
      </c>
      <c r="L258" s="75">
        <v>258</v>
      </c>
      <c r="M258" s="75"/>
      <c r="N258" s="69"/>
      <c r="O258" s="77" t="s">
        <v>543</v>
      </c>
      <c r="P258" s="79">
        <v>45164.80693287037</v>
      </c>
      <c r="Q258" s="77" t="s">
        <v>570</v>
      </c>
      <c r="R258" s="77">
        <v>0</v>
      </c>
      <c r="S258" s="77">
        <v>1</v>
      </c>
      <c r="T258" s="77">
        <v>2</v>
      </c>
      <c r="U258" s="77">
        <v>0</v>
      </c>
      <c r="V258" s="77">
        <v>44</v>
      </c>
      <c r="W258" s="77"/>
      <c r="X258" s="77"/>
      <c r="Y258" s="77"/>
      <c r="Z258" s="77" t="s">
        <v>768</v>
      </c>
      <c r="AA258" s="77"/>
      <c r="AB258" s="77"/>
      <c r="AC258" s="81" t="s">
        <v>853</v>
      </c>
      <c r="AD258" s="77" t="s">
        <v>859</v>
      </c>
      <c r="AE258" s="83" t="str">
        <f>HYPERLINK("https://twitter.com/dfwplay/status/1695516960786686111")</f>
        <v>https://twitter.com/dfwplay/status/1695516960786686111</v>
      </c>
      <c r="AF258" s="79">
        <v>45164.80693287037</v>
      </c>
      <c r="AG258" s="85">
        <v>45164</v>
      </c>
      <c r="AH258" s="81" t="s">
        <v>897</v>
      </c>
      <c r="AI258" s="77"/>
      <c r="AJ258" s="77"/>
      <c r="AK258" s="77"/>
      <c r="AL258" s="77"/>
      <c r="AM258" s="77"/>
      <c r="AN258" s="77"/>
      <c r="AO258" s="77"/>
      <c r="AP258" s="77"/>
      <c r="AQ258" s="77"/>
      <c r="AR258" s="77"/>
      <c r="AS258" s="77"/>
      <c r="AT258" s="77"/>
      <c r="AU258" s="77"/>
      <c r="AV258" s="83" t="str">
        <f>HYPERLINK("https://pbs.twimg.com/profile_images/1700578472530161664/kLgR6CCn_normal.jpg")</f>
        <v>https://pbs.twimg.com/profile_images/1700578472530161664/kLgR6CCn_normal.jpg</v>
      </c>
      <c r="AW258" s="81" t="s">
        <v>1052</v>
      </c>
      <c r="AX258" s="81" t="s">
        <v>1054</v>
      </c>
      <c r="AY258" s="81" t="s">
        <v>1169</v>
      </c>
      <c r="AZ258" s="81" t="s">
        <v>1054</v>
      </c>
      <c r="BA258" s="81" t="s">
        <v>1190</v>
      </c>
      <c r="BB258" s="81" t="s">
        <v>1190</v>
      </c>
      <c r="BC258" s="81" t="s">
        <v>1054</v>
      </c>
      <c r="BD258" s="81" t="s">
        <v>1176</v>
      </c>
      <c r="BE258" s="77"/>
      <c r="BF258" s="77"/>
      <c r="BG258" s="77"/>
      <c r="BH258" s="77"/>
      <c r="BI258" s="77"/>
      <c r="BJ258">
        <v>2</v>
      </c>
      <c r="BK258" s="76" t="str">
        <f>REPLACE(INDEX(GroupVertices[Group],MATCH(Edges[[#This Row],[Vertex 1]],GroupVertices[Vertex],0)),1,1,"")</f>
        <v>1</v>
      </c>
      <c r="BL258" s="76" t="str">
        <f>REPLACE(INDEX(GroupVertices[Group],MATCH(Edges[[#This Row],[Vertex 2]],GroupVertices[Vertex],0)),1,1,"")</f>
        <v>1</v>
      </c>
      <c r="BM258" s="45"/>
      <c r="BN258" s="46"/>
      <c r="BO258" s="45"/>
      <c r="BP258" s="46"/>
      <c r="BQ258" s="45"/>
      <c r="BR258" s="46"/>
      <c r="BS258" s="45"/>
      <c r="BT258" s="46"/>
      <c r="BU258" s="45"/>
    </row>
    <row r="259" spans="1:73" ht="15">
      <c r="A259" s="61" t="s">
        <v>230</v>
      </c>
      <c r="B259" s="61" t="s">
        <v>373</v>
      </c>
      <c r="C259" s="62" t="s">
        <v>11693</v>
      </c>
      <c r="D259" s="63">
        <v>4.4</v>
      </c>
      <c r="E259" s="64" t="s">
        <v>132</v>
      </c>
      <c r="F259" s="65">
        <v>27.6</v>
      </c>
      <c r="G259" s="62"/>
      <c r="H259" s="66"/>
      <c r="I259" s="67"/>
      <c r="J259" s="67"/>
      <c r="K259" s="31" t="s">
        <v>65</v>
      </c>
      <c r="L259" s="75">
        <v>259</v>
      </c>
      <c r="M259" s="75"/>
      <c r="N259" s="69"/>
      <c r="O259" s="77" t="s">
        <v>543</v>
      </c>
      <c r="P259" s="79">
        <v>45165.93508101852</v>
      </c>
      <c r="Q259" s="77" t="s">
        <v>571</v>
      </c>
      <c r="R259" s="77">
        <v>0</v>
      </c>
      <c r="S259" s="77">
        <v>0</v>
      </c>
      <c r="T259" s="77">
        <v>0</v>
      </c>
      <c r="U259" s="77">
        <v>0</v>
      </c>
      <c r="V259" s="77">
        <v>41</v>
      </c>
      <c r="W259" s="77"/>
      <c r="X259" s="83" t="str">
        <f>HYPERLINK("https://www.smrfoundation.org/")</f>
        <v>https://www.smrfoundation.org/</v>
      </c>
      <c r="Y259" s="77" t="s">
        <v>741</v>
      </c>
      <c r="Z259" s="77" t="s">
        <v>769</v>
      </c>
      <c r="AA259" s="77"/>
      <c r="AB259" s="77"/>
      <c r="AC259" s="81" t="s">
        <v>853</v>
      </c>
      <c r="AD259" s="77" t="s">
        <v>859</v>
      </c>
      <c r="AE259" s="83" t="str">
        <f>HYPERLINK("https://twitter.com/dfwplay/status/1695925790355963984")</f>
        <v>https://twitter.com/dfwplay/status/1695925790355963984</v>
      </c>
      <c r="AF259" s="79">
        <v>45165.93508101852</v>
      </c>
      <c r="AG259" s="85">
        <v>45165</v>
      </c>
      <c r="AH259" s="81" t="s">
        <v>898</v>
      </c>
      <c r="AI259" s="77" t="b">
        <v>0</v>
      </c>
      <c r="AJ259" s="77"/>
      <c r="AK259" s="77"/>
      <c r="AL259" s="77"/>
      <c r="AM259" s="77"/>
      <c r="AN259" s="77"/>
      <c r="AO259" s="77"/>
      <c r="AP259" s="77"/>
      <c r="AQ259" s="77"/>
      <c r="AR259" s="77"/>
      <c r="AS259" s="77"/>
      <c r="AT259" s="77"/>
      <c r="AU259" s="77"/>
      <c r="AV259" s="83" t="str">
        <f>HYPERLINK("https://pbs.twimg.com/profile_images/1700578472530161664/kLgR6CCn_normal.jpg")</f>
        <v>https://pbs.twimg.com/profile_images/1700578472530161664/kLgR6CCn_normal.jpg</v>
      </c>
      <c r="AW259" s="81" t="s">
        <v>1053</v>
      </c>
      <c r="AX259" s="81" t="s">
        <v>1054</v>
      </c>
      <c r="AY259" s="81" t="s">
        <v>1169</v>
      </c>
      <c r="AZ259" s="81" t="s">
        <v>1055</v>
      </c>
      <c r="BA259" s="81" t="s">
        <v>1190</v>
      </c>
      <c r="BB259" s="81" t="s">
        <v>1190</v>
      </c>
      <c r="BC259" s="81" t="s">
        <v>1055</v>
      </c>
      <c r="BD259" s="81" t="s">
        <v>1176</v>
      </c>
      <c r="BE259" s="77"/>
      <c r="BF259" s="77"/>
      <c r="BG259" s="77"/>
      <c r="BH259" s="77"/>
      <c r="BI259" s="77"/>
      <c r="BJ259">
        <v>2</v>
      </c>
      <c r="BK259" s="76" t="str">
        <f>REPLACE(INDEX(GroupVertices[Group],MATCH(Edges[[#This Row],[Vertex 1]],GroupVertices[Vertex],0)),1,1,"")</f>
        <v>1</v>
      </c>
      <c r="BL259" s="76" t="str">
        <f>REPLACE(INDEX(GroupVertices[Group],MATCH(Edges[[#This Row],[Vertex 2]],GroupVertices[Vertex],0)),1,1,"")</f>
        <v>1</v>
      </c>
      <c r="BM259" s="45"/>
      <c r="BN259" s="46"/>
      <c r="BO259" s="45"/>
      <c r="BP259" s="46"/>
      <c r="BQ259" s="45"/>
      <c r="BR259" s="46"/>
      <c r="BS259" s="45"/>
      <c r="BT259" s="46"/>
      <c r="BU259" s="45"/>
    </row>
    <row r="260" spans="1:73" ht="15">
      <c r="A260" s="61" t="s">
        <v>229</v>
      </c>
      <c r="B260" s="61" t="s">
        <v>373</v>
      </c>
      <c r="C260" s="62" t="s">
        <v>11692</v>
      </c>
      <c r="D260" s="63">
        <v>3</v>
      </c>
      <c r="E260" s="64" t="s">
        <v>132</v>
      </c>
      <c r="F260" s="65">
        <v>32</v>
      </c>
      <c r="G260" s="62"/>
      <c r="H260" s="66"/>
      <c r="I260" s="67"/>
      <c r="J260" s="67"/>
      <c r="K260" s="31" t="s">
        <v>65</v>
      </c>
      <c r="L260" s="75">
        <v>260</v>
      </c>
      <c r="M260" s="75"/>
      <c r="N260" s="69"/>
      <c r="O260" s="77" t="s">
        <v>539</v>
      </c>
      <c r="P260" s="79">
        <v>45164.47796296296</v>
      </c>
      <c r="Q260" s="77" t="s">
        <v>572</v>
      </c>
      <c r="R260" s="77">
        <v>0</v>
      </c>
      <c r="S260" s="77">
        <v>4</v>
      </c>
      <c r="T260" s="77">
        <v>1</v>
      </c>
      <c r="U260" s="77">
        <v>0</v>
      </c>
      <c r="V260" s="77">
        <v>94</v>
      </c>
      <c r="W260" s="81" t="s">
        <v>683</v>
      </c>
      <c r="X260" s="83" t="str">
        <f>HYPERLINK("https://bit.ly/47Lu0XB")</f>
        <v>https://bit.ly/47Lu0XB</v>
      </c>
      <c r="Y260" s="77" t="s">
        <v>740</v>
      </c>
      <c r="Z260" s="77" t="s">
        <v>770</v>
      </c>
      <c r="AA260" s="77"/>
      <c r="AB260" s="77"/>
      <c r="AC260" s="81" t="s">
        <v>853</v>
      </c>
      <c r="AD260" s="77" t="s">
        <v>863</v>
      </c>
      <c r="AE260" s="83" t="str">
        <f>HYPERLINK("https://twitter.com/mihkal/status/1695397746121875757")</f>
        <v>https://twitter.com/mihkal/status/1695397746121875757</v>
      </c>
      <c r="AF260" s="79">
        <v>45164.47796296296</v>
      </c>
      <c r="AG260" s="85">
        <v>45164</v>
      </c>
      <c r="AH260" s="81" t="s">
        <v>899</v>
      </c>
      <c r="AI260" s="77" t="b">
        <v>0</v>
      </c>
      <c r="AJ260" s="77"/>
      <c r="AK260" s="77"/>
      <c r="AL260" s="77"/>
      <c r="AM260" s="77"/>
      <c r="AN260" s="77"/>
      <c r="AO260" s="77"/>
      <c r="AP260" s="77"/>
      <c r="AQ260" s="77"/>
      <c r="AR260" s="77"/>
      <c r="AS260" s="77"/>
      <c r="AT260" s="77"/>
      <c r="AU260" s="77"/>
      <c r="AV260" s="83" t="str">
        <f>HYPERLINK("https://pbs.twimg.com/profile_images/1663227887837757440/XOjtFF4W_normal.jpg")</f>
        <v>https://pbs.twimg.com/profile_images/1663227887837757440/XOjtFF4W_normal.jpg</v>
      </c>
      <c r="AW260" s="81" t="s">
        <v>1054</v>
      </c>
      <c r="AX260" s="81" t="s">
        <v>1054</v>
      </c>
      <c r="AY260" s="77"/>
      <c r="AZ260" s="81" t="s">
        <v>1190</v>
      </c>
      <c r="BA260" s="81" t="s">
        <v>1190</v>
      </c>
      <c r="BB260" s="81" t="s">
        <v>1190</v>
      </c>
      <c r="BC260" s="81" t="s">
        <v>1054</v>
      </c>
      <c r="BD260" s="77">
        <v>24256031</v>
      </c>
      <c r="BE260" s="77"/>
      <c r="BF260" s="77"/>
      <c r="BG260" s="77"/>
      <c r="BH260" s="77"/>
      <c r="BI260" s="77"/>
      <c r="BJ260">
        <v>1</v>
      </c>
      <c r="BK260" s="76" t="str">
        <f>REPLACE(INDEX(GroupVertices[Group],MATCH(Edges[[#This Row],[Vertex 1]],GroupVertices[Vertex],0)),1,1,"")</f>
        <v>1</v>
      </c>
      <c r="BL260" s="76" t="str">
        <f>REPLACE(INDEX(GroupVertices[Group],MATCH(Edges[[#This Row],[Vertex 2]],GroupVertices[Vertex],0)),1,1,"")</f>
        <v>1</v>
      </c>
      <c r="BM260" s="45"/>
      <c r="BN260" s="46"/>
      <c r="BO260" s="45"/>
      <c r="BP260" s="46"/>
      <c r="BQ260" s="45"/>
      <c r="BR260" s="46"/>
      <c r="BS260" s="45"/>
      <c r="BT260" s="46"/>
      <c r="BU260" s="45"/>
    </row>
    <row r="261" spans="1:73" ht="15">
      <c r="A261" s="61" t="s">
        <v>229</v>
      </c>
      <c r="B261" s="61" t="s">
        <v>373</v>
      </c>
      <c r="C261" s="62" t="s">
        <v>11692</v>
      </c>
      <c r="D261" s="63">
        <v>3</v>
      </c>
      <c r="E261" s="64" t="s">
        <v>132</v>
      </c>
      <c r="F261" s="65">
        <v>32</v>
      </c>
      <c r="G261" s="62"/>
      <c r="H261" s="66"/>
      <c r="I261" s="67"/>
      <c r="J261" s="67"/>
      <c r="K261" s="31" t="s">
        <v>65</v>
      </c>
      <c r="L261" s="75">
        <v>261</v>
      </c>
      <c r="M261" s="75"/>
      <c r="N261" s="69"/>
      <c r="O261" s="77" t="s">
        <v>543</v>
      </c>
      <c r="P261" s="79">
        <v>45165.418541666666</v>
      </c>
      <c r="Q261" s="77" t="s">
        <v>573</v>
      </c>
      <c r="R261" s="77">
        <v>0</v>
      </c>
      <c r="S261" s="77">
        <v>5</v>
      </c>
      <c r="T261" s="77">
        <v>1</v>
      </c>
      <c r="U261" s="77">
        <v>0</v>
      </c>
      <c r="V261" s="77">
        <v>49</v>
      </c>
      <c r="W261" s="77"/>
      <c r="X261" s="77"/>
      <c r="Y261" s="77"/>
      <c r="Z261" s="77" t="s">
        <v>771</v>
      </c>
      <c r="AA261" s="77"/>
      <c r="AB261" s="77"/>
      <c r="AC261" s="81" t="s">
        <v>853</v>
      </c>
      <c r="AD261" s="77" t="s">
        <v>859</v>
      </c>
      <c r="AE261" s="83" t="str">
        <f>HYPERLINK("https://twitter.com/mihkal/status/1695738602557239609")</f>
        <v>https://twitter.com/mihkal/status/1695738602557239609</v>
      </c>
      <c r="AF261" s="79">
        <v>45165.418541666666</v>
      </c>
      <c r="AG261" s="85">
        <v>45165</v>
      </c>
      <c r="AH261" s="81" t="s">
        <v>900</v>
      </c>
      <c r="AI261" s="77"/>
      <c r="AJ261" s="77"/>
      <c r="AK261" s="77"/>
      <c r="AL261" s="77"/>
      <c r="AM261" s="77"/>
      <c r="AN261" s="77"/>
      <c r="AO261" s="77"/>
      <c r="AP261" s="77"/>
      <c r="AQ261" s="77"/>
      <c r="AR261" s="77"/>
      <c r="AS261" s="77"/>
      <c r="AT261" s="77"/>
      <c r="AU261" s="77"/>
      <c r="AV261" s="83" t="str">
        <f>HYPERLINK("https://pbs.twimg.com/profile_images/1663227887837757440/XOjtFF4W_normal.jpg")</f>
        <v>https://pbs.twimg.com/profile_images/1663227887837757440/XOjtFF4W_normal.jpg</v>
      </c>
      <c r="AW261" s="81" t="s">
        <v>1055</v>
      </c>
      <c r="AX261" s="81" t="s">
        <v>1054</v>
      </c>
      <c r="AY261" s="81" t="s">
        <v>1176</v>
      </c>
      <c r="AZ261" s="81" t="s">
        <v>1052</v>
      </c>
      <c r="BA261" s="81" t="s">
        <v>1190</v>
      </c>
      <c r="BB261" s="81" t="s">
        <v>1190</v>
      </c>
      <c r="BC261" s="81" t="s">
        <v>1052</v>
      </c>
      <c r="BD261" s="77">
        <v>24256031</v>
      </c>
      <c r="BE261" s="77"/>
      <c r="BF261" s="77"/>
      <c r="BG261" s="77"/>
      <c r="BH261" s="77"/>
      <c r="BI261" s="77"/>
      <c r="BJ261">
        <v>1</v>
      </c>
      <c r="BK261" s="76" t="str">
        <f>REPLACE(INDEX(GroupVertices[Group],MATCH(Edges[[#This Row],[Vertex 1]],GroupVertices[Vertex],0)),1,1,"")</f>
        <v>1</v>
      </c>
      <c r="BL261" s="76" t="str">
        <f>REPLACE(INDEX(GroupVertices[Group],MATCH(Edges[[#This Row],[Vertex 2]],GroupVertices[Vertex],0)),1,1,"")</f>
        <v>1</v>
      </c>
      <c r="BM261" s="45"/>
      <c r="BN261" s="46"/>
      <c r="BO261" s="45"/>
      <c r="BP261" s="46"/>
      <c r="BQ261" s="45"/>
      <c r="BR261" s="46"/>
      <c r="BS261" s="45"/>
      <c r="BT261" s="46"/>
      <c r="BU261" s="45"/>
    </row>
    <row r="262" spans="1:73" ht="15">
      <c r="A262" s="61" t="s">
        <v>230</v>
      </c>
      <c r="B262" s="61" t="s">
        <v>374</v>
      </c>
      <c r="C262" s="62" t="s">
        <v>11693</v>
      </c>
      <c r="D262" s="63">
        <v>4.4</v>
      </c>
      <c r="E262" s="64" t="s">
        <v>132</v>
      </c>
      <c r="F262" s="65">
        <v>27.6</v>
      </c>
      <c r="G262" s="62"/>
      <c r="H262" s="66"/>
      <c r="I262" s="67"/>
      <c r="J262" s="67"/>
      <c r="K262" s="31" t="s">
        <v>65</v>
      </c>
      <c r="L262" s="75">
        <v>262</v>
      </c>
      <c r="M262" s="75"/>
      <c r="N262" s="69"/>
      <c r="O262" s="77" t="s">
        <v>543</v>
      </c>
      <c r="P262" s="79">
        <v>45164.80693287037</v>
      </c>
      <c r="Q262" s="77" t="s">
        <v>570</v>
      </c>
      <c r="R262" s="77">
        <v>0</v>
      </c>
      <c r="S262" s="77">
        <v>1</v>
      </c>
      <c r="T262" s="77">
        <v>2</v>
      </c>
      <c r="U262" s="77">
        <v>0</v>
      </c>
      <c r="V262" s="77">
        <v>44</v>
      </c>
      <c r="W262" s="77"/>
      <c r="X262" s="77"/>
      <c r="Y262" s="77"/>
      <c r="Z262" s="77" t="s">
        <v>768</v>
      </c>
      <c r="AA262" s="77"/>
      <c r="AB262" s="77"/>
      <c r="AC262" s="81" t="s">
        <v>853</v>
      </c>
      <c r="AD262" s="77" t="s">
        <v>859</v>
      </c>
      <c r="AE262" s="83" t="str">
        <f>HYPERLINK("https://twitter.com/dfwplay/status/1695516960786686111")</f>
        <v>https://twitter.com/dfwplay/status/1695516960786686111</v>
      </c>
      <c r="AF262" s="79">
        <v>45164.80693287037</v>
      </c>
      <c r="AG262" s="85">
        <v>45164</v>
      </c>
      <c r="AH262" s="81" t="s">
        <v>897</v>
      </c>
      <c r="AI262" s="77"/>
      <c r="AJ262" s="77"/>
      <c r="AK262" s="77"/>
      <c r="AL262" s="77"/>
      <c r="AM262" s="77"/>
      <c r="AN262" s="77"/>
      <c r="AO262" s="77"/>
      <c r="AP262" s="77"/>
      <c r="AQ262" s="77"/>
      <c r="AR262" s="77"/>
      <c r="AS262" s="77"/>
      <c r="AT262" s="77"/>
      <c r="AU262" s="77"/>
      <c r="AV262" s="83" t="str">
        <f>HYPERLINK("https://pbs.twimg.com/profile_images/1700578472530161664/kLgR6CCn_normal.jpg")</f>
        <v>https://pbs.twimg.com/profile_images/1700578472530161664/kLgR6CCn_normal.jpg</v>
      </c>
      <c r="AW262" s="81" t="s">
        <v>1052</v>
      </c>
      <c r="AX262" s="81" t="s">
        <v>1054</v>
      </c>
      <c r="AY262" s="81" t="s">
        <v>1169</v>
      </c>
      <c r="AZ262" s="81" t="s">
        <v>1054</v>
      </c>
      <c r="BA262" s="81" t="s">
        <v>1190</v>
      </c>
      <c r="BB262" s="81" t="s">
        <v>1190</v>
      </c>
      <c r="BC262" s="81" t="s">
        <v>1054</v>
      </c>
      <c r="BD262" s="81" t="s">
        <v>1176</v>
      </c>
      <c r="BE262" s="77"/>
      <c r="BF262" s="77"/>
      <c r="BG262" s="77"/>
      <c r="BH262" s="77"/>
      <c r="BI262" s="77"/>
      <c r="BJ262">
        <v>2</v>
      </c>
      <c r="BK262" s="76" t="str">
        <f>REPLACE(INDEX(GroupVertices[Group],MATCH(Edges[[#This Row],[Vertex 1]],GroupVertices[Vertex],0)),1,1,"")</f>
        <v>1</v>
      </c>
      <c r="BL262" s="76" t="str">
        <f>REPLACE(INDEX(GroupVertices[Group],MATCH(Edges[[#This Row],[Vertex 2]],GroupVertices[Vertex],0)),1,1,"")</f>
        <v>1</v>
      </c>
      <c r="BM262" s="45"/>
      <c r="BN262" s="46"/>
      <c r="BO262" s="45"/>
      <c r="BP262" s="46"/>
      <c r="BQ262" s="45"/>
      <c r="BR262" s="46"/>
      <c r="BS262" s="45"/>
      <c r="BT262" s="46"/>
      <c r="BU262" s="45"/>
    </row>
    <row r="263" spans="1:73" ht="15">
      <c r="A263" s="61" t="s">
        <v>230</v>
      </c>
      <c r="B263" s="61" t="s">
        <v>374</v>
      </c>
      <c r="C263" s="62" t="s">
        <v>11693</v>
      </c>
      <c r="D263" s="63">
        <v>4.4</v>
      </c>
      <c r="E263" s="64" t="s">
        <v>132</v>
      </c>
      <c r="F263" s="65">
        <v>27.6</v>
      </c>
      <c r="G263" s="62"/>
      <c r="H263" s="66"/>
      <c r="I263" s="67"/>
      <c r="J263" s="67"/>
      <c r="K263" s="31" t="s">
        <v>65</v>
      </c>
      <c r="L263" s="75">
        <v>263</v>
      </c>
      <c r="M263" s="75"/>
      <c r="N263" s="69"/>
      <c r="O263" s="77" t="s">
        <v>543</v>
      </c>
      <c r="P263" s="79">
        <v>45165.93508101852</v>
      </c>
      <c r="Q263" s="77" t="s">
        <v>571</v>
      </c>
      <c r="R263" s="77">
        <v>0</v>
      </c>
      <c r="S263" s="77">
        <v>0</v>
      </c>
      <c r="T263" s="77">
        <v>0</v>
      </c>
      <c r="U263" s="77">
        <v>0</v>
      </c>
      <c r="V263" s="77">
        <v>41</v>
      </c>
      <c r="W263" s="77"/>
      <c r="X263" s="83" t="str">
        <f>HYPERLINK("https://www.smrfoundation.org/")</f>
        <v>https://www.smrfoundation.org/</v>
      </c>
      <c r="Y263" s="77" t="s">
        <v>741</v>
      </c>
      <c r="Z263" s="77" t="s">
        <v>769</v>
      </c>
      <c r="AA263" s="77"/>
      <c r="AB263" s="77"/>
      <c r="AC263" s="81" t="s">
        <v>853</v>
      </c>
      <c r="AD263" s="77" t="s">
        <v>859</v>
      </c>
      <c r="AE263" s="83" t="str">
        <f>HYPERLINK("https://twitter.com/dfwplay/status/1695925790355963984")</f>
        <v>https://twitter.com/dfwplay/status/1695925790355963984</v>
      </c>
      <c r="AF263" s="79">
        <v>45165.93508101852</v>
      </c>
      <c r="AG263" s="85">
        <v>45165</v>
      </c>
      <c r="AH263" s="81" t="s">
        <v>898</v>
      </c>
      <c r="AI263" s="77" t="b">
        <v>0</v>
      </c>
      <c r="AJ263" s="77"/>
      <c r="AK263" s="77"/>
      <c r="AL263" s="77"/>
      <c r="AM263" s="77"/>
      <c r="AN263" s="77"/>
      <c r="AO263" s="77"/>
      <c r="AP263" s="77"/>
      <c r="AQ263" s="77"/>
      <c r="AR263" s="77"/>
      <c r="AS263" s="77"/>
      <c r="AT263" s="77"/>
      <c r="AU263" s="77"/>
      <c r="AV263" s="83" t="str">
        <f>HYPERLINK("https://pbs.twimg.com/profile_images/1700578472530161664/kLgR6CCn_normal.jpg")</f>
        <v>https://pbs.twimg.com/profile_images/1700578472530161664/kLgR6CCn_normal.jpg</v>
      </c>
      <c r="AW263" s="81" t="s">
        <v>1053</v>
      </c>
      <c r="AX263" s="81" t="s">
        <v>1054</v>
      </c>
      <c r="AY263" s="81" t="s">
        <v>1169</v>
      </c>
      <c r="AZ263" s="81" t="s">
        <v>1055</v>
      </c>
      <c r="BA263" s="81" t="s">
        <v>1190</v>
      </c>
      <c r="BB263" s="81" t="s">
        <v>1190</v>
      </c>
      <c r="BC263" s="81" t="s">
        <v>1055</v>
      </c>
      <c r="BD263" s="81" t="s">
        <v>1176</v>
      </c>
      <c r="BE263" s="77"/>
      <c r="BF263" s="77"/>
      <c r="BG263" s="77"/>
      <c r="BH263" s="77"/>
      <c r="BI263" s="77"/>
      <c r="BJ263">
        <v>2</v>
      </c>
      <c r="BK263" s="76" t="str">
        <f>REPLACE(INDEX(GroupVertices[Group],MATCH(Edges[[#This Row],[Vertex 1]],GroupVertices[Vertex],0)),1,1,"")</f>
        <v>1</v>
      </c>
      <c r="BL263" s="76" t="str">
        <f>REPLACE(INDEX(GroupVertices[Group],MATCH(Edges[[#This Row],[Vertex 2]],GroupVertices[Vertex],0)),1,1,"")</f>
        <v>1</v>
      </c>
      <c r="BM263" s="45"/>
      <c r="BN263" s="46"/>
      <c r="BO263" s="45"/>
      <c r="BP263" s="46"/>
      <c r="BQ263" s="45"/>
      <c r="BR263" s="46"/>
      <c r="BS263" s="45"/>
      <c r="BT263" s="46"/>
      <c r="BU263" s="45"/>
    </row>
    <row r="264" spans="1:73" ht="15">
      <c r="A264" s="61" t="s">
        <v>229</v>
      </c>
      <c r="B264" s="61" t="s">
        <v>374</v>
      </c>
      <c r="C264" s="62" t="s">
        <v>11692</v>
      </c>
      <c r="D264" s="63">
        <v>3</v>
      </c>
      <c r="E264" s="64" t="s">
        <v>132</v>
      </c>
      <c r="F264" s="65">
        <v>32</v>
      </c>
      <c r="G264" s="62"/>
      <c r="H264" s="66"/>
      <c r="I264" s="67"/>
      <c r="J264" s="67"/>
      <c r="K264" s="31" t="s">
        <v>65</v>
      </c>
      <c r="L264" s="75">
        <v>264</v>
      </c>
      <c r="M264" s="75"/>
      <c r="N264" s="69"/>
      <c r="O264" s="77" t="s">
        <v>539</v>
      </c>
      <c r="P264" s="79">
        <v>45164.47796296296</v>
      </c>
      <c r="Q264" s="77" t="s">
        <v>572</v>
      </c>
      <c r="R264" s="77">
        <v>0</v>
      </c>
      <c r="S264" s="77">
        <v>4</v>
      </c>
      <c r="T264" s="77">
        <v>1</v>
      </c>
      <c r="U264" s="77">
        <v>0</v>
      </c>
      <c r="V264" s="77">
        <v>94</v>
      </c>
      <c r="W264" s="81" t="s">
        <v>683</v>
      </c>
      <c r="X264" s="83" t="str">
        <f>HYPERLINK("https://bit.ly/47Lu0XB")</f>
        <v>https://bit.ly/47Lu0XB</v>
      </c>
      <c r="Y264" s="77" t="s">
        <v>740</v>
      </c>
      <c r="Z264" s="77" t="s">
        <v>770</v>
      </c>
      <c r="AA264" s="77"/>
      <c r="AB264" s="77"/>
      <c r="AC264" s="81" t="s">
        <v>853</v>
      </c>
      <c r="AD264" s="77" t="s">
        <v>863</v>
      </c>
      <c r="AE264" s="83" t="str">
        <f>HYPERLINK("https://twitter.com/mihkal/status/1695397746121875757")</f>
        <v>https://twitter.com/mihkal/status/1695397746121875757</v>
      </c>
      <c r="AF264" s="79">
        <v>45164.47796296296</v>
      </c>
      <c r="AG264" s="85">
        <v>45164</v>
      </c>
      <c r="AH264" s="81" t="s">
        <v>899</v>
      </c>
      <c r="AI264" s="77" t="b">
        <v>0</v>
      </c>
      <c r="AJ264" s="77"/>
      <c r="AK264" s="77"/>
      <c r="AL264" s="77"/>
      <c r="AM264" s="77"/>
      <c r="AN264" s="77"/>
      <c r="AO264" s="77"/>
      <c r="AP264" s="77"/>
      <c r="AQ264" s="77"/>
      <c r="AR264" s="77"/>
      <c r="AS264" s="77"/>
      <c r="AT264" s="77"/>
      <c r="AU264" s="77"/>
      <c r="AV264" s="83" t="str">
        <f>HYPERLINK("https://pbs.twimg.com/profile_images/1663227887837757440/XOjtFF4W_normal.jpg")</f>
        <v>https://pbs.twimg.com/profile_images/1663227887837757440/XOjtFF4W_normal.jpg</v>
      </c>
      <c r="AW264" s="81" t="s">
        <v>1054</v>
      </c>
      <c r="AX264" s="81" t="s">
        <v>1054</v>
      </c>
      <c r="AY264" s="77"/>
      <c r="AZ264" s="81" t="s">
        <v>1190</v>
      </c>
      <c r="BA264" s="81" t="s">
        <v>1190</v>
      </c>
      <c r="BB264" s="81" t="s">
        <v>1190</v>
      </c>
      <c r="BC264" s="81" t="s">
        <v>1054</v>
      </c>
      <c r="BD264" s="77">
        <v>24256031</v>
      </c>
      <c r="BE264" s="77"/>
      <c r="BF264" s="77"/>
      <c r="BG264" s="77"/>
      <c r="BH264" s="77"/>
      <c r="BI264" s="77"/>
      <c r="BJ264">
        <v>1</v>
      </c>
      <c r="BK264" s="76" t="str">
        <f>REPLACE(INDEX(GroupVertices[Group],MATCH(Edges[[#This Row],[Vertex 1]],GroupVertices[Vertex],0)),1,1,"")</f>
        <v>1</v>
      </c>
      <c r="BL264" s="76" t="str">
        <f>REPLACE(INDEX(GroupVertices[Group],MATCH(Edges[[#This Row],[Vertex 2]],GroupVertices[Vertex],0)),1,1,"")</f>
        <v>1</v>
      </c>
      <c r="BM264" s="45"/>
      <c r="BN264" s="46"/>
      <c r="BO264" s="45"/>
      <c r="BP264" s="46"/>
      <c r="BQ264" s="45"/>
      <c r="BR264" s="46"/>
      <c r="BS264" s="45"/>
      <c r="BT264" s="46"/>
      <c r="BU264" s="45"/>
    </row>
    <row r="265" spans="1:73" ht="15">
      <c r="A265" s="61" t="s">
        <v>229</v>
      </c>
      <c r="B265" s="61" t="s">
        <v>374</v>
      </c>
      <c r="C265" s="62" t="s">
        <v>11692</v>
      </c>
      <c r="D265" s="63">
        <v>3</v>
      </c>
      <c r="E265" s="64" t="s">
        <v>132</v>
      </c>
      <c r="F265" s="65">
        <v>32</v>
      </c>
      <c r="G265" s="62"/>
      <c r="H265" s="66"/>
      <c r="I265" s="67"/>
      <c r="J265" s="67"/>
      <c r="K265" s="31" t="s">
        <v>65</v>
      </c>
      <c r="L265" s="75">
        <v>265</v>
      </c>
      <c r="M265" s="75"/>
      <c r="N265" s="69"/>
      <c r="O265" s="77" t="s">
        <v>543</v>
      </c>
      <c r="P265" s="79">
        <v>45165.418541666666</v>
      </c>
      <c r="Q265" s="77" t="s">
        <v>573</v>
      </c>
      <c r="R265" s="77">
        <v>0</v>
      </c>
      <c r="S265" s="77">
        <v>5</v>
      </c>
      <c r="T265" s="77">
        <v>1</v>
      </c>
      <c r="U265" s="77">
        <v>0</v>
      </c>
      <c r="V265" s="77">
        <v>49</v>
      </c>
      <c r="W265" s="77"/>
      <c r="X265" s="77"/>
      <c r="Y265" s="77"/>
      <c r="Z265" s="77" t="s">
        <v>771</v>
      </c>
      <c r="AA265" s="77"/>
      <c r="AB265" s="77"/>
      <c r="AC265" s="81" t="s">
        <v>853</v>
      </c>
      <c r="AD265" s="77" t="s">
        <v>859</v>
      </c>
      <c r="AE265" s="83" t="str">
        <f>HYPERLINK("https://twitter.com/mihkal/status/1695738602557239609")</f>
        <v>https://twitter.com/mihkal/status/1695738602557239609</v>
      </c>
      <c r="AF265" s="79">
        <v>45165.418541666666</v>
      </c>
      <c r="AG265" s="85">
        <v>45165</v>
      </c>
      <c r="AH265" s="81" t="s">
        <v>900</v>
      </c>
      <c r="AI265" s="77"/>
      <c r="AJ265" s="77"/>
      <c r="AK265" s="77"/>
      <c r="AL265" s="77"/>
      <c r="AM265" s="77"/>
      <c r="AN265" s="77"/>
      <c r="AO265" s="77"/>
      <c r="AP265" s="77"/>
      <c r="AQ265" s="77"/>
      <c r="AR265" s="77"/>
      <c r="AS265" s="77"/>
      <c r="AT265" s="77"/>
      <c r="AU265" s="77"/>
      <c r="AV265" s="83" t="str">
        <f>HYPERLINK("https://pbs.twimg.com/profile_images/1663227887837757440/XOjtFF4W_normal.jpg")</f>
        <v>https://pbs.twimg.com/profile_images/1663227887837757440/XOjtFF4W_normal.jpg</v>
      </c>
      <c r="AW265" s="81" t="s">
        <v>1055</v>
      </c>
      <c r="AX265" s="81" t="s">
        <v>1054</v>
      </c>
      <c r="AY265" s="81" t="s">
        <v>1176</v>
      </c>
      <c r="AZ265" s="81" t="s">
        <v>1052</v>
      </c>
      <c r="BA265" s="81" t="s">
        <v>1190</v>
      </c>
      <c r="BB265" s="81" t="s">
        <v>1190</v>
      </c>
      <c r="BC265" s="81" t="s">
        <v>1052</v>
      </c>
      <c r="BD265" s="77">
        <v>24256031</v>
      </c>
      <c r="BE265" s="77"/>
      <c r="BF265" s="77"/>
      <c r="BG265" s="77"/>
      <c r="BH265" s="77"/>
      <c r="BI265" s="77"/>
      <c r="BJ265">
        <v>1</v>
      </c>
      <c r="BK265" s="76" t="str">
        <f>REPLACE(INDEX(GroupVertices[Group],MATCH(Edges[[#This Row],[Vertex 1]],GroupVertices[Vertex],0)),1,1,"")</f>
        <v>1</v>
      </c>
      <c r="BL265" s="76" t="str">
        <f>REPLACE(INDEX(GroupVertices[Group],MATCH(Edges[[#This Row],[Vertex 2]],GroupVertices[Vertex],0)),1,1,"")</f>
        <v>1</v>
      </c>
      <c r="BM265" s="45"/>
      <c r="BN265" s="46"/>
      <c r="BO265" s="45"/>
      <c r="BP265" s="46"/>
      <c r="BQ265" s="45"/>
      <c r="BR265" s="46"/>
      <c r="BS265" s="45"/>
      <c r="BT265" s="46"/>
      <c r="BU265" s="45"/>
    </row>
    <row r="266" spans="1:73" ht="15">
      <c r="A266" s="61" t="s">
        <v>230</v>
      </c>
      <c r="B266" s="61" t="s">
        <v>375</v>
      </c>
      <c r="C266" s="62" t="s">
        <v>11693</v>
      </c>
      <c r="D266" s="63">
        <v>4.4</v>
      </c>
      <c r="E266" s="64" t="s">
        <v>132</v>
      </c>
      <c r="F266" s="65">
        <v>27.6</v>
      </c>
      <c r="G266" s="62"/>
      <c r="H266" s="66"/>
      <c r="I266" s="67"/>
      <c r="J266" s="67"/>
      <c r="K266" s="31" t="s">
        <v>65</v>
      </c>
      <c r="L266" s="75">
        <v>266</v>
      </c>
      <c r="M266" s="75"/>
      <c r="N266" s="69"/>
      <c r="O266" s="77" t="s">
        <v>543</v>
      </c>
      <c r="P266" s="79">
        <v>45164.80693287037</v>
      </c>
      <c r="Q266" s="77" t="s">
        <v>570</v>
      </c>
      <c r="R266" s="77">
        <v>0</v>
      </c>
      <c r="S266" s="77">
        <v>1</v>
      </c>
      <c r="T266" s="77">
        <v>2</v>
      </c>
      <c r="U266" s="77">
        <v>0</v>
      </c>
      <c r="V266" s="77">
        <v>44</v>
      </c>
      <c r="W266" s="77"/>
      <c r="X266" s="77"/>
      <c r="Y266" s="77"/>
      <c r="Z266" s="77" t="s">
        <v>768</v>
      </c>
      <c r="AA266" s="77"/>
      <c r="AB266" s="77"/>
      <c r="AC266" s="81" t="s">
        <v>853</v>
      </c>
      <c r="AD266" s="77" t="s">
        <v>859</v>
      </c>
      <c r="AE266" s="83" t="str">
        <f>HYPERLINK("https://twitter.com/dfwplay/status/1695516960786686111")</f>
        <v>https://twitter.com/dfwplay/status/1695516960786686111</v>
      </c>
      <c r="AF266" s="79">
        <v>45164.80693287037</v>
      </c>
      <c r="AG266" s="85">
        <v>45164</v>
      </c>
      <c r="AH266" s="81" t="s">
        <v>897</v>
      </c>
      <c r="AI266" s="77"/>
      <c r="AJ266" s="77"/>
      <c r="AK266" s="77"/>
      <c r="AL266" s="77"/>
      <c r="AM266" s="77"/>
      <c r="AN266" s="77"/>
      <c r="AO266" s="77"/>
      <c r="AP266" s="77"/>
      <c r="AQ266" s="77"/>
      <c r="AR266" s="77"/>
      <c r="AS266" s="77"/>
      <c r="AT266" s="77"/>
      <c r="AU266" s="77"/>
      <c r="AV266" s="83" t="str">
        <f>HYPERLINK("https://pbs.twimg.com/profile_images/1700578472530161664/kLgR6CCn_normal.jpg")</f>
        <v>https://pbs.twimg.com/profile_images/1700578472530161664/kLgR6CCn_normal.jpg</v>
      </c>
      <c r="AW266" s="81" t="s">
        <v>1052</v>
      </c>
      <c r="AX266" s="81" t="s">
        <v>1054</v>
      </c>
      <c r="AY266" s="81" t="s">
        <v>1169</v>
      </c>
      <c r="AZ266" s="81" t="s">
        <v>1054</v>
      </c>
      <c r="BA266" s="81" t="s">
        <v>1190</v>
      </c>
      <c r="BB266" s="81" t="s">
        <v>1190</v>
      </c>
      <c r="BC266" s="81" t="s">
        <v>1054</v>
      </c>
      <c r="BD266" s="81" t="s">
        <v>1176</v>
      </c>
      <c r="BE266" s="77"/>
      <c r="BF266" s="77"/>
      <c r="BG266" s="77"/>
      <c r="BH266" s="77"/>
      <c r="BI266" s="77"/>
      <c r="BJ266">
        <v>2</v>
      </c>
      <c r="BK266" s="76" t="str">
        <f>REPLACE(INDEX(GroupVertices[Group],MATCH(Edges[[#This Row],[Vertex 1]],GroupVertices[Vertex],0)),1,1,"")</f>
        <v>1</v>
      </c>
      <c r="BL266" s="76" t="str">
        <f>REPLACE(INDEX(GroupVertices[Group],MATCH(Edges[[#This Row],[Vertex 2]],GroupVertices[Vertex],0)),1,1,"")</f>
        <v>1</v>
      </c>
      <c r="BM266" s="45"/>
      <c r="BN266" s="46"/>
      <c r="BO266" s="45"/>
      <c r="BP266" s="46"/>
      <c r="BQ266" s="45"/>
      <c r="BR266" s="46"/>
      <c r="BS266" s="45"/>
      <c r="BT266" s="46"/>
      <c r="BU266" s="45"/>
    </row>
    <row r="267" spans="1:73" ht="15">
      <c r="A267" s="61" t="s">
        <v>230</v>
      </c>
      <c r="B267" s="61" t="s">
        <v>375</v>
      </c>
      <c r="C267" s="62" t="s">
        <v>11693</v>
      </c>
      <c r="D267" s="63">
        <v>4.4</v>
      </c>
      <c r="E267" s="64" t="s">
        <v>132</v>
      </c>
      <c r="F267" s="65">
        <v>27.6</v>
      </c>
      <c r="G267" s="62"/>
      <c r="H267" s="66"/>
      <c r="I267" s="67"/>
      <c r="J267" s="67"/>
      <c r="K267" s="31" t="s">
        <v>65</v>
      </c>
      <c r="L267" s="75">
        <v>267</v>
      </c>
      <c r="M267" s="75"/>
      <c r="N267" s="69"/>
      <c r="O267" s="77" t="s">
        <v>543</v>
      </c>
      <c r="P267" s="79">
        <v>45165.93508101852</v>
      </c>
      <c r="Q267" s="77" t="s">
        <v>571</v>
      </c>
      <c r="R267" s="77">
        <v>0</v>
      </c>
      <c r="S267" s="77">
        <v>0</v>
      </c>
      <c r="T267" s="77">
        <v>0</v>
      </c>
      <c r="U267" s="77">
        <v>0</v>
      </c>
      <c r="V267" s="77">
        <v>41</v>
      </c>
      <c r="W267" s="77"/>
      <c r="X267" s="83" t="str">
        <f>HYPERLINK("https://www.smrfoundation.org/")</f>
        <v>https://www.smrfoundation.org/</v>
      </c>
      <c r="Y267" s="77" t="s">
        <v>741</v>
      </c>
      <c r="Z267" s="77" t="s">
        <v>769</v>
      </c>
      <c r="AA267" s="77"/>
      <c r="AB267" s="77"/>
      <c r="AC267" s="81" t="s">
        <v>853</v>
      </c>
      <c r="AD267" s="77" t="s">
        <v>859</v>
      </c>
      <c r="AE267" s="83" t="str">
        <f>HYPERLINK("https://twitter.com/dfwplay/status/1695925790355963984")</f>
        <v>https://twitter.com/dfwplay/status/1695925790355963984</v>
      </c>
      <c r="AF267" s="79">
        <v>45165.93508101852</v>
      </c>
      <c r="AG267" s="85">
        <v>45165</v>
      </c>
      <c r="AH267" s="81" t="s">
        <v>898</v>
      </c>
      <c r="AI267" s="77" t="b">
        <v>0</v>
      </c>
      <c r="AJ267" s="77"/>
      <c r="AK267" s="77"/>
      <c r="AL267" s="77"/>
      <c r="AM267" s="77"/>
      <c r="AN267" s="77"/>
      <c r="AO267" s="77"/>
      <c r="AP267" s="77"/>
      <c r="AQ267" s="77"/>
      <c r="AR267" s="77"/>
      <c r="AS267" s="77"/>
      <c r="AT267" s="77"/>
      <c r="AU267" s="77"/>
      <c r="AV267" s="83" t="str">
        <f>HYPERLINK("https://pbs.twimg.com/profile_images/1700578472530161664/kLgR6CCn_normal.jpg")</f>
        <v>https://pbs.twimg.com/profile_images/1700578472530161664/kLgR6CCn_normal.jpg</v>
      </c>
      <c r="AW267" s="81" t="s">
        <v>1053</v>
      </c>
      <c r="AX267" s="81" t="s">
        <v>1054</v>
      </c>
      <c r="AY267" s="81" t="s">
        <v>1169</v>
      </c>
      <c r="AZ267" s="81" t="s">
        <v>1055</v>
      </c>
      <c r="BA267" s="81" t="s">
        <v>1190</v>
      </c>
      <c r="BB267" s="81" t="s">
        <v>1190</v>
      </c>
      <c r="BC267" s="81" t="s">
        <v>1055</v>
      </c>
      <c r="BD267" s="81" t="s">
        <v>1176</v>
      </c>
      <c r="BE267" s="77"/>
      <c r="BF267" s="77"/>
      <c r="BG267" s="77"/>
      <c r="BH267" s="77"/>
      <c r="BI267" s="77"/>
      <c r="BJ267">
        <v>2</v>
      </c>
      <c r="BK267" s="76" t="str">
        <f>REPLACE(INDEX(GroupVertices[Group],MATCH(Edges[[#This Row],[Vertex 1]],GroupVertices[Vertex],0)),1,1,"")</f>
        <v>1</v>
      </c>
      <c r="BL267" s="76" t="str">
        <f>REPLACE(INDEX(GroupVertices[Group],MATCH(Edges[[#This Row],[Vertex 2]],GroupVertices[Vertex],0)),1,1,"")</f>
        <v>1</v>
      </c>
      <c r="BM267" s="45"/>
      <c r="BN267" s="46"/>
      <c r="BO267" s="45"/>
      <c r="BP267" s="46"/>
      <c r="BQ267" s="45"/>
      <c r="BR267" s="46"/>
      <c r="BS267" s="45"/>
      <c r="BT267" s="46"/>
      <c r="BU267" s="45"/>
    </row>
    <row r="268" spans="1:73" ht="15">
      <c r="A268" s="61" t="s">
        <v>229</v>
      </c>
      <c r="B268" s="61" t="s">
        <v>375</v>
      </c>
      <c r="C268" s="62" t="s">
        <v>11692</v>
      </c>
      <c r="D268" s="63">
        <v>3</v>
      </c>
      <c r="E268" s="64" t="s">
        <v>132</v>
      </c>
      <c r="F268" s="65">
        <v>32</v>
      </c>
      <c r="G268" s="62"/>
      <c r="H268" s="66"/>
      <c r="I268" s="67"/>
      <c r="J268" s="67"/>
      <c r="K268" s="31" t="s">
        <v>65</v>
      </c>
      <c r="L268" s="75">
        <v>268</v>
      </c>
      <c r="M268" s="75"/>
      <c r="N268" s="69"/>
      <c r="O268" s="77" t="s">
        <v>539</v>
      </c>
      <c r="P268" s="79">
        <v>45164.47796296296</v>
      </c>
      <c r="Q268" s="77" t="s">
        <v>572</v>
      </c>
      <c r="R268" s="77">
        <v>0</v>
      </c>
      <c r="S268" s="77">
        <v>4</v>
      </c>
      <c r="T268" s="77">
        <v>1</v>
      </c>
      <c r="U268" s="77">
        <v>0</v>
      </c>
      <c r="V268" s="77">
        <v>94</v>
      </c>
      <c r="W268" s="81" t="s">
        <v>683</v>
      </c>
      <c r="X268" s="83" t="str">
        <f>HYPERLINK("https://bit.ly/47Lu0XB")</f>
        <v>https://bit.ly/47Lu0XB</v>
      </c>
      <c r="Y268" s="77" t="s">
        <v>740</v>
      </c>
      <c r="Z268" s="77" t="s">
        <v>770</v>
      </c>
      <c r="AA268" s="77"/>
      <c r="AB268" s="77"/>
      <c r="AC268" s="81" t="s">
        <v>853</v>
      </c>
      <c r="AD268" s="77" t="s">
        <v>863</v>
      </c>
      <c r="AE268" s="83" t="str">
        <f>HYPERLINK("https://twitter.com/mihkal/status/1695397746121875757")</f>
        <v>https://twitter.com/mihkal/status/1695397746121875757</v>
      </c>
      <c r="AF268" s="79">
        <v>45164.47796296296</v>
      </c>
      <c r="AG268" s="85">
        <v>45164</v>
      </c>
      <c r="AH268" s="81" t="s">
        <v>899</v>
      </c>
      <c r="AI268" s="77" t="b">
        <v>0</v>
      </c>
      <c r="AJ268" s="77"/>
      <c r="AK268" s="77"/>
      <c r="AL268" s="77"/>
      <c r="AM268" s="77"/>
      <c r="AN268" s="77"/>
      <c r="AO268" s="77"/>
      <c r="AP268" s="77"/>
      <c r="AQ268" s="77"/>
      <c r="AR268" s="77"/>
      <c r="AS268" s="77"/>
      <c r="AT268" s="77"/>
      <c r="AU268" s="77"/>
      <c r="AV268" s="83" t="str">
        <f>HYPERLINK("https://pbs.twimg.com/profile_images/1663227887837757440/XOjtFF4W_normal.jpg")</f>
        <v>https://pbs.twimg.com/profile_images/1663227887837757440/XOjtFF4W_normal.jpg</v>
      </c>
      <c r="AW268" s="81" t="s">
        <v>1054</v>
      </c>
      <c r="AX268" s="81" t="s">
        <v>1054</v>
      </c>
      <c r="AY268" s="77"/>
      <c r="AZ268" s="81" t="s">
        <v>1190</v>
      </c>
      <c r="BA268" s="81" t="s">
        <v>1190</v>
      </c>
      <c r="BB268" s="81" t="s">
        <v>1190</v>
      </c>
      <c r="BC268" s="81" t="s">
        <v>1054</v>
      </c>
      <c r="BD268" s="77">
        <v>24256031</v>
      </c>
      <c r="BE268" s="77"/>
      <c r="BF268" s="77"/>
      <c r="BG268" s="77"/>
      <c r="BH268" s="77"/>
      <c r="BI268" s="77"/>
      <c r="BJ268">
        <v>1</v>
      </c>
      <c r="BK268" s="76" t="str">
        <f>REPLACE(INDEX(GroupVertices[Group],MATCH(Edges[[#This Row],[Vertex 1]],GroupVertices[Vertex],0)),1,1,"")</f>
        <v>1</v>
      </c>
      <c r="BL268" s="76" t="str">
        <f>REPLACE(INDEX(GroupVertices[Group],MATCH(Edges[[#This Row],[Vertex 2]],GroupVertices[Vertex],0)),1,1,"")</f>
        <v>1</v>
      </c>
      <c r="BM268" s="45"/>
      <c r="BN268" s="46"/>
      <c r="BO268" s="45"/>
      <c r="BP268" s="46"/>
      <c r="BQ268" s="45"/>
      <c r="BR268" s="46"/>
      <c r="BS268" s="45"/>
      <c r="BT268" s="46"/>
      <c r="BU268" s="45"/>
    </row>
    <row r="269" spans="1:73" ht="15">
      <c r="A269" s="61" t="s">
        <v>229</v>
      </c>
      <c r="B269" s="61" t="s">
        <v>375</v>
      </c>
      <c r="C269" s="62" t="s">
        <v>11692</v>
      </c>
      <c r="D269" s="63">
        <v>3</v>
      </c>
      <c r="E269" s="64" t="s">
        <v>132</v>
      </c>
      <c r="F269" s="65">
        <v>32</v>
      </c>
      <c r="G269" s="62"/>
      <c r="H269" s="66"/>
      <c r="I269" s="67"/>
      <c r="J269" s="67"/>
      <c r="K269" s="31" t="s">
        <v>65</v>
      </c>
      <c r="L269" s="75">
        <v>269</v>
      </c>
      <c r="M269" s="75"/>
      <c r="N269" s="69"/>
      <c r="O269" s="77" t="s">
        <v>543</v>
      </c>
      <c r="P269" s="79">
        <v>45165.418541666666</v>
      </c>
      <c r="Q269" s="77" t="s">
        <v>573</v>
      </c>
      <c r="R269" s="77">
        <v>0</v>
      </c>
      <c r="S269" s="77">
        <v>5</v>
      </c>
      <c r="T269" s="77">
        <v>1</v>
      </c>
      <c r="U269" s="77">
        <v>0</v>
      </c>
      <c r="V269" s="77">
        <v>49</v>
      </c>
      <c r="W269" s="77"/>
      <c r="X269" s="77"/>
      <c r="Y269" s="77"/>
      <c r="Z269" s="77" t="s">
        <v>771</v>
      </c>
      <c r="AA269" s="77"/>
      <c r="AB269" s="77"/>
      <c r="AC269" s="81" t="s">
        <v>853</v>
      </c>
      <c r="AD269" s="77" t="s">
        <v>859</v>
      </c>
      <c r="AE269" s="83" t="str">
        <f>HYPERLINK("https://twitter.com/mihkal/status/1695738602557239609")</f>
        <v>https://twitter.com/mihkal/status/1695738602557239609</v>
      </c>
      <c r="AF269" s="79">
        <v>45165.418541666666</v>
      </c>
      <c r="AG269" s="85">
        <v>45165</v>
      </c>
      <c r="AH269" s="81" t="s">
        <v>900</v>
      </c>
      <c r="AI269" s="77"/>
      <c r="AJ269" s="77"/>
      <c r="AK269" s="77"/>
      <c r="AL269" s="77"/>
      <c r="AM269" s="77"/>
      <c r="AN269" s="77"/>
      <c r="AO269" s="77"/>
      <c r="AP269" s="77"/>
      <c r="AQ269" s="77"/>
      <c r="AR269" s="77"/>
      <c r="AS269" s="77"/>
      <c r="AT269" s="77"/>
      <c r="AU269" s="77"/>
      <c r="AV269" s="83" t="str">
        <f>HYPERLINK("https://pbs.twimg.com/profile_images/1663227887837757440/XOjtFF4W_normal.jpg")</f>
        <v>https://pbs.twimg.com/profile_images/1663227887837757440/XOjtFF4W_normal.jpg</v>
      </c>
      <c r="AW269" s="81" t="s">
        <v>1055</v>
      </c>
      <c r="AX269" s="81" t="s">
        <v>1054</v>
      </c>
      <c r="AY269" s="81" t="s">
        <v>1176</v>
      </c>
      <c r="AZ269" s="81" t="s">
        <v>1052</v>
      </c>
      <c r="BA269" s="81" t="s">
        <v>1190</v>
      </c>
      <c r="BB269" s="81" t="s">
        <v>1190</v>
      </c>
      <c r="BC269" s="81" t="s">
        <v>1052</v>
      </c>
      <c r="BD269" s="77">
        <v>24256031</v>
      </c>
      <c r="BE269" s="77"/>
      <c r="BF269" s="77"/>
      <c r="BG269" s="77"/>
      <c r="BH269" s="77"/>
      <c r="BI269" s="77"/>
      <c r="BJ269">
        <v>1</v>
      </c>
      <c r="BK269" s="76" t="str">
        <f>REPLACE(INDEX(GroupVertices[Group],MATCH(Edges[[#This Row],[Vertex 1]],GroupVertices[Vertex],0)),1,1,"")</f>
        <v>1</v>
      </c>
      <c r="BL269" s="76" t="str">
        <f>REPLACE(INDEX(GroupVertices[Group],MATCH(Edges[[#This Row],[Vertex 2]],GroupVertices[Vertex],0)),1,1,"")</f>
        <v>1</v>
      </c>
      <c r="BM269" s="45"/>
      <c r="BN269" s="46"/>
      <c r="BO269" s="45"/>
      <c r="BP269" s="46"/>
      <c r="BQ269" s="45"/>
      <c r="BR269" s="46"/>
      <c r="BS269" s="45"/>
      <c r="BT269" s="46"/>
      <c r="BU269" s="45"/>
    </row>
    <row r="270" spans="1:73" ht="15">
      <c r="A270" s="61" t="s">
        <v>230</v>
      </c>
      <c r="B270" s="61" t="s">
        <v>228</v>
      </c>
      <c r="C270" s="62" t="s">
        <v>11693</v>
      </c>
      <c r="D270" s="63">
        <v>4.4</v>
      </c>
      <c r="E270" s="64" t="s">
        <v>132</v>
      </c>
      <c r="F270" s="65">
        <v>27.6</v>
      </c>
      <c r="G270" s="62"/>
      <c r="H270" s="66"/>
      <c r="I270" s="67"/>
      <c r="J270" s="67"/>
      <c r="K270" s="31" t="s">
        <v>65</v>
      </c>
      <c r="L270" s="75">
        <v>270</v>
      </c>
      <c r="M270" s="75"/>
      <c r="N270" s="69"/>
      <c r="O270" s="77" t="s">
        <v>543</v>
      </c>
      <c r="P270" s="79">
        <v>45164.80693287037</v>
      </c>
      <c r="Q270" s="77" t="s">
        <v>570</v>
      </c>
      <c r="R270" s="77">
        <v>0</v>
      </c>
      <c r="S270" s="77">
        <v>1</v>
      </c>
      <c r="T270" s="77">
        <v>2</v>
      </c>
      <c r="U270" s="77">
        <v>0</v>
      </c>
      <c r="V270" s="77">
        <v>44</v>
      </c>
      <c r="W270" s="77"/>
      <c r="X270" s="77"/>
      <c r="Y270" s="77"/>
      <c r="Z270" s="77" t="s">
        <v>768</v>
      </c>
      <c r="AA270" s="77"/>
      <c r="AB270" s="77"/>
      <c r="AC270" s="81" t="s">
        <v>853</v>
      </c>
      <c r="AD270" s="77" t="s">
        <v>859</v>
      </c>
      <c r="AE270" s="83" t="str">
        <f>HYPERLINK("https://twitter.com/dfwplay/status/1695516960786686111")</f>
        <v>https://twitter.com/dfwplay/status/1695516960786686111</v>
      </c>
      <c r="AF270" s="79">
        <v>45164.80693287037</v>
      </c>
      <c r="AG270" s="85">
        <v>45164</v>
      </c>
      <c r="AH270" s="81" t="s">
        <v>897</v>
      </c>
      <c r="AI270" s="77"/>
      <c r="AJ270" s="77"/>
      <c r="AK270" s="77"/>
      <c r="AL270" s="77"/>
      <c r="AM270" s="77"/>
      <c r="AN270" s="77"/>
      <c r="AO270" s="77"/>
      <c r="AP270" s="77"/>
      <c r="AQ270" s="77"/>
      <c r="AR270" s="77"/>
      <c r="AS270" s="77"/>
      <c r="AT270" s="77"/>
      <c r="AU270" s="77"/>
      <c r="AV270" s="83" t="str">
        <f>HYPERLINK("https://pbs.twimg.com/profile_images/1700578472530161664/kLgR6CCn_normal.jpg")</f>
        <v>https://pbs.twimg.com/profile_images/1700578472530161664/kLgR6CCn_normal.jpg</v>
      </c>
      <c r="AW270" s="81" t="s">
        <v>1052</v>
      </c>
      <c r="AX270" s="81" t="s">
        <v>1054</v>
      </c>
      <c r="AY270" s="81" t="s">
        <v>1169</v>
      </c>
      <c r="AZ270" s="81" t="s">
        <v>1054</v>
      </c>
      <c r="BA270" s="81" t="s">
        <v>1190</v>
      </c>
      <c r="BB270" s="81" t="s">
        <v>1190</v>
      </c>
      <c r="BC270" s="81" t="s">
        <v>1054</v>
      </c>
      <c r="BD270" s="81" t="s">
        <v>1176</v>
      </c>
      <c r="BE270" s="77"/>
      <c r="BF270" s="77"/>
      <c r="BG270" s="77"/>
      <c r="BH270" s="77"/>
      <c r="BI270" s="77"/>
      <c r="BJ270">
        <v>2</v>
      </c>
      <c r="BK270" s="76" t="str">
        <f>REPLACE(INDEX(GroupVertices[Group],MATCH(Edges[[#This Row],[Vertex 1]],GroupVertices[Vertex],0)),1,1,"")</f>
        <v>1</v>
      </c>
      <c r="BL270" s="76" t="str">
        <f>REPLACE(INDEX(GroupVertices[Group],MATCH(Edges[[#This Row],[Vertex 2]],GroupVertices[Vertex],0)),1,1,"")</f>
        <v>2</v>
      </c>
      <c r="BM270" s="45"/>
      <c r="BN270" s="46"/>
      <c r="BO270" s="45"/>
      <c r="BP270" s="46"/>
      <c r="BQ270" s="45"/>
      <c r="BR270" s="46"/>
      <c r="BS270" s="45"/>
      <c r="BT270" s="46"/>
      <c r="BU270" s="45"/>
    </row>
    <row r="271" spans="1:73" ht="15">
      <c r="A271" s="61" t="s">
        <v>230</v>
      </c>
      <c r="B271" s="61" t="s">
        <v>376</v>
      </c>
      <c r="C271" s="62" t="s">
        <v>11693</v>
      </c>
      <c r="D271" s="63">
        <v>4.4</v>
      </c>
      <c r="E271" s="64" t="s">
        <v>132</v>
      </c>
      <c r="F271" s="65">
        <v>27.6</v>
      </c>
      <c r="G271" s="62"/>
      <c r="H271" s="66"/>
      <c r="I271" s="67"/>
      <c r="J271" s="67"/>
      <c r="K271" s="31" t="s">
        <v>65</v>
      </c>
      <c r="L271" s="75">
        <v>271</v>
      </c>
      <c r="M271" s="75"/>
      <c r="N271" s="69"/>
      <c r="O271" s="77" t="s">
        <v>543</v>
      </c>
      <c r="P271" s="79">
        <v>45164.80693287037</v>
      </c>
      <c r="Q271" s="77" t="s">
        <v>570</v>
      </c>
      <c r="R271" s="77">
        <v>0</v>
      </c>
      <c r="S271" s="77">
        <v>1</v>
      </c>
      <c r="T271" s="77">
        <v>2</v>
      </c>
      <c r="U271" s="77">
        <v>0</v>
      </c>
      <c r="V271" s="77">
        <v>44</v>
      </c>
      <c r="W271" s="77"/>
      <c r="X271" s="77"/>
      <c r="Y271" s="77"/>
      <c r="Z271" s="77" t="s">
        <v>768</v>
      </c>
      <c r="AA271" s="77"/>
      <c r="AB271" s="77"/>
      <c r="AC271" s="81" t="s">
        <v>853</v>
      </c>
      <c r="AD271" s="77" t="s">
        <v>859</v>
      </c>
      <c r="AE271" s="83" t="str">
        <f>HYPERLINK("https://twitter.com/dfwplay/status/1695516960786686111")</f>
        <v>https://twitter.com/dfwplay/status/1695516960786686111</v>
      </c>
      <c r="AF271" s="79">
        <v>45164.80693287037</v>
      </c>
      <c r="AG271" s="85">
        <v>45164</v>
      </c>
      <c r="AH271" s="81" t="s">
        <v>897</v>
      </c>
      <c r="AI271" s="77"/>
      <c r="AJ271" s="77"/>
      <c r="AK271" s="77"/>
      <c r="AL271" s="77"/>
      <c r="AM271" s="77"/>
      <c r="AN271" s="77"/>
      <c r="AO271" s="77"/>
      <c r="AP271" s="77"/>
      <c r="AQ271" s="77"/>
      <c r="AR271" s="77"/>
      <c r="AS271" s="77"/>
      <c r="AT271" s="77"/>
      <c r="AU271" s="77"/>
      <c r="AV271" s="83" t="str">
        <f>HYPERLINK("https://pbs.twimg.com/profile_images/1700578472530161664/kLgR6CCn_normal.jpg")</f>
        <v>https://pbs.twimg.com/profile_images/1700578472530161664/kLgR6CCn_normal.jpg</v>
      </c>
      <c r="AW271" s="81" t="s">
        <v>1052</v>
      </c>
      <c r="AX271" s="81" t="s">
        <v>1054</v>
      </c>
      <c r="AY271" s="81" t="s">
        <v>1169</v>
      </c>
      <c r="AZ271" s="81" t="s">
        <v>1054</v>
      </c>
      <c r="BA271" s="81" t="s">
        <v>1190</v>
      </c>
      <c r="BB271" s="81" t="s">
        <v>1190</v>
      </c>
      <c r="BC271" s="81" t="s">
        <v>1054</v>
      </c>
      <c r="BD271" s="81" t="s">
        <v>1176</v>
      </c>
      <c r="BE271" s="77"/>
      <c r="BF271" s="77"/>
      <c r="BG271" s="77"/>
      <c r="BH271" s="77"/>
      <c r="BI271" s="77"/>
      <c r="BJ271">
        <v>2</v>
      </c>
      <c r="BK271" s="76" t="str">
        <f>REPLACE(INDEX(GroupVertices[Group],MATCH(Edges[[#This Row],[Vertex 1]],GroupVertices[Vertex],0)),1,1,"")</f>
        <v>1</v>
      </c>
      <c r="BL271" s="76" t="str">
        <f>REPLACE(INDEX(GroupVertices[Group],MATCH(Edges[[#This Row],[Vertex 2]],GroupVertices[Vertex],0)),1,1,"")</f>
        <v>6</v>
      </c>
      <c r="BM271" s="45">
        <v>2</v>
      </c>
      <c r="BN271" s="46">
        <v>4.878048780487805</v>
      </c>
      <c r="BO271" s="45">
        <v>1</v>
      </c>
      <c r="BP271" s="46">
        <v>2.4390243902439024</v>
      </c>
      <c r="BQ271" s="45">
        <v>0</v>
      </c>
      <c r="BR271" s="46">
        <v>0</v>
      </c>
      <c r="BS271" s="45">
        <v>26</v>
      </c>
      <c r="BT271" s="46">
        <v>63.41463414634146</v>
      </c>
      <c r="BU271" s="45">
        <v>41</v>
      </c>
    </row>
    <row r="272" spans="1:73" ht="15">
      <c r="A272" s="61" t="s">
        <v>230</v>
      </c>
      <c r="B272" s="61" t="s">
        <v>229</v>
      </c>
      <c r="C272" s="62" t="s">
        <v>11693</v>
      </c>
      <c r="D272" s="63">
        <v>4.4</v>
      </c>
      <c r="E272" s="64" t="s">
        <v>132</v>
      </c>
      <c r="F272" s="65">
        <v>27.6</v>
      </c>
      <c r="G272" s="62"/>
      <c r="H272" s="66"/>
      <c r="I272" s="67"/>
      <c r="J272" s="67"/>
      <c r="K272" s="31" t="s">
        <v>66</v>
      </c>
      <c r="L272" s="75">
        <v>272</v>
      </c>
      <c r="M272" s="75"/>
      <c r="N272" s="69"/>
      <c r="O272" s="77" t="s">
        <v>540</v>
      </c>
      <c r="P272" s="79">
        <v>45164.80693287037</v>
      </c>
      <c r="Q272" s="77" t="s">
        <v>570</v>
      </c>
      <c r="R272" s="77">
        <v>0</v>
      </c>
      <c r="S272" s="77">
        <v>1</v>
      </c>
      <c r="T272" s="77">
        <v>2</v>
      </c>
      <c r="U272" s="77">
        <v>0</v>
      </c>
      <c r="V272" s="77">
        <v>44</v>
      </c>
      <c r="W272" s="77"/>
      <c r="X272" s="77"/>
      <c r="Y272" s="77"/>
      <c r="Z272" s="77" t="s">
        <v>768</v>
      </c>
      <c r="AA272" s="77"/>
      <c r="AB272" s="77"/>
      <c r="AC272" s="81" t="s">
        <v>853</v>
      </c>
      <c r="AD272" s="77" t="s">
        <v>859</v>
      </c>
      <c r="AE272" s="83" t="str">
        <f>HYPERLINK("https://twitter.com/dfwplay/status/1695516960786686111")</f>
        <v>https://twitter.com/dfwplay/status/1695516960786686111</v>
      </c>
      <c r="AF272" s="79">
        <v>45164.80693287037</v>
      </c>
      <c r="AG272" s="85">
        <v>45164</v>
      </c>
      <c r="AH272" s="81" t="s">
        <v>897</v>
      </c>
      <c r="AI272" s="77"/>
      <c r="AJ272" s="77"/>
      <c r="AK272" s="77"/>
      <c r="AL272" s="77"/>
      <c r="AM272" s="77"/>
      <c r="AN272" s="77"/>
      <c r="AO272" s="77"/>
      <c r="AP272" s="77"/>
      <c r="AQ272" s="77"/>
      <c r="AR272" s="77"/>
      <c r="AS272" s="77"/>
      <c r="AT272" s="77"/>
      <c r="AU272" s="77"/>
      <c r="AV272" s="83" t="str">
        <f>HYPERLINK("https://pbs.twimg.com/profile_images/1700578472530161664/kLgR6CCn_normal.jpg")</f>
        <v>https://pbs.twimg.com/profile_images/1700578472530161664/kLgR6CCn_normal.jpg</v>
      </c>
      <c r="AW272" s="81" t="s">
        <v>1052</v>
      </c>
      <c r="AX272" s="81" t="s">
        <v>1054</v>
      </c>
      <c r="AY272" s="81" t="s">
        <v>1169</v>
      </c>
      <c r="AZ272" s="81" t="s">
        <v>1054</v>
      </c>
      <c r="BA272" s="81" t="s">
        <v>1190</v>
      </c>
      <c r="BB272" s="81" t="s">
        <v>1190</v>
      </c>
      <c r="BC272" s="81" t="s">
        <v>1054</v>
      </c>
      <c r="BD272" s="81" t="s">
        <v>1176</v>
      </c>
      <c r="BE272" s="77"/>
      <c r="BF272" s="77"/>
      <c r="BG272" s="77"/>
      <c r="BH272" s="77"/>
      <c r="BI272" s="77"/>
      <c r="BJ272">
        <v>2</v>
      </c>
      <c r="BK272" s="76" t="str">
        <f>REPLACE(INDEX(GroupVertices[Group],MATCH(Edges[[#This Row],[Vertex 1]],GroupVertices[Vertex],0)),1,1,"")</f>
        <v>1</v>
      </c>
      <c r="BL272" s="76" t="str">
        <f>REPLACE(INDEX(GroupVertices[Group],MATCH(Edges[[#This Row],[Vertex 2]],GroupVertices[Vertex],0)),1,1,"")</f>
        <v>1</v>
      </c>
      <c r="BM272" s="45"/>
      <c r="BN272" s="46"/>
      <c r="BO272" s="45"/>
      <c r="BP272" s="46"/>
      <c r="BQ272" s="45"/>
      <c r="BR272" s="46"/>
      <c r="BS272" s="45"/>
      <c r="BT272" s="46"/>
      <c r="BU272" s="45"/>
    </row>
    <row r="273" spans="1:73" ht="15">
      <c r="A273" s="61" t="s">
        <v>230</v>
      </c>
      <c r="B273" s="61" t="s">
        <v>255</v>
      </c>
      <c r="C273" s="62" t="s">
        <v>11692</v>
      </c>
      <c r="D273" s="63">
        <v>3</v>
      </c>
      <c r="E273" s="64" t="s">
        <v>132</v>
      </c>
      <c r="F273" s="65">
        <v>32</v>
      </c>
      <c r="G273" s="62"/>
      <c r="H273" s="66"/>
      <c r="I273" s="67"/>
      <c r="J273" s="67"/>
      <c r="K273" s="31" t="s">
        <v>65</v>
      </c>
      <c r="L273" s="75">
        <v>273</v>
      </c>
      <c r="M273" s="75"/>
      <c r="N273" s="69"/>
      <c r="O273" s="77" t="s">
        <v>543</v>
      </c>
      <c r="P273" s="79">
        <v>45165.93508101852</v>
      </c>
      <c r="Q273" s="77" t="s">
        <v>571</v>
      </c>
      <c r="R273" s="77">
        <v>0</v>
      </c>
      <c r="S273" s="77">
        <v>0</v>
      </c>
      <c r="T273" s="77">
        <v>0</v>
      </c>
      <c r="U273" s="77">
        <v>0</v>
      </c>
      <c r="V273" s="77">
        <v>41</v>
      </c>
      <c r="W273" s="77"/>
      <c r="X273" s="83" t="str">
        <f>HYPERLINK("https://www.smrfoundation.org/")</f>
        <v>https://www.smrfoundation.org/</v>
      </c>
      <c r="Y273" s="77" t="s">
        <v>741</v>
      </c>
      <c r="Z273" s="77" t="s">
        <v>769</v>
      </c>
      <c r="AA273" s="77"/>
      <c r="AB273" s="77"/>
      <c r="AC273" s="81" t="s">
        <v>853</v>
      </c>
      <c r="AD273" s="77" t="s">
        <v>859</v>
      </c>
      <c r="AE273" s="83" t="str">
        <f>HYPERLINK("https://twitter.com/dfwplay/status/1695925790355963984")</f>
        <v>https://twitter.com/dfwplay/status/1695925790355963984</v>
      </c>
      <c r="AF273" s="79">
        <v>45165.93508101852</v>
      </c>
      <c r="AG273" s="85">
        <v>45165</v>
      </c>
      <c r="AH273" s="81" t="s">
        <v>898</v>
      </c>
      <c r="AI273" s="77" t="b">
        <v>0</v>
      </c>
      <c r="AJ273" s="77"/>
      <c r="AK273" s="77"/>
      <c r="AL273" s="77"/>
      <c r="AM273" s="77"/>
      <c r="AN273" s="77"/>
      <c r="AO273" s="77"/>
      <c r="AP273" s="77"/>
      <c r="AQ273" s="77"/>
      <c r="AR273" s="77"/>
      <c r="AS273" s="77"/>
      <c r="AT273" s="77"/>
      <c r="AU273" s="77"/>
      <c r="AV273" s="83" t="str">
        <f>HYPERLINK("https://pbs.twimg.com/profile_images/1700578472530161664/kLgR6CCn_normal.jpg")</f>
        <v>https://pbs.twimg.com/profile_images/1700578472530161664/kLgR6CCn_normal.jpg</v>
      </c>
      <c r="AW273" s="81" t="s">
        <v>1053</v>
      </c>
      <c r="AX273" s="81" t="s">
        <v>1054</v>
      </c>
      <c r="AY273" s="81" t="s">
        <v>1169</v>
      </c>
      <c r="AZ273" s="81" t="s">
        <v>1055</v>
      </c>
      <c r="BA273" s="81" t="s">
        <v>1190</v>
      </c>
      <c r="BB273" s="81" t="s">
        <v>1190</v>
      </c>
      <c r="BC273" s="81" t="s">
        <v>1055</v>
      </c>
      <c r="BD273" s="81" t="s">
        <v>1176</v>
      </c>
      <c r="BE273" s="77"/>
      <c r="BF273" s="77"/>
      <c r="BG273" s="77"/>
      <c r="BH273" s="77"/>
      <c r="BI273" s="77"/>
      <c r="BJ273">
        <v>1</v>
      </c>
      <c r="BK273" s="76" t="str">
        <f>REPLACE(INDEX(GroupVertices[Group],MATCH(Edges[[#This Row],[Vertex 1]],GroupVertices[Vertex],0)),1,1,"")</f>
        <v>1</v>
      </c>
      <c r="BL273" s="76" t="str">
        <f>REPLACE(INDEX(GroupVertices[Group],MATCH(Edges[[#This Row],[Vertex 2]],GroupVertices[Vertex],0)),1,1,"")</f>
        <v>5</v>
      </c>
      <c r="BM273" s="45"/>
      <c r="BN273" s="46"/>
      <c r="BO273" s="45"/>
      <c r="BP273" s="46"/>
      <c r="BQ273" s="45"/>
      <c r="BR273" s="46"/>
      <c r="BS273" s="45"/>
      <c r="BT273" s="46"/>
      <c r="BU273" s="45"/>
    </row>
    <row r="274" spans="1:73" ht="15">
      <c r="A274" s="61" t="s">
        <v>230</v>
      </c>
      <c r="B274" s="61" t="s">
        <v>228</v>
      </c>
      <c r="C274" s="62" t="s">
        <v>11693</v>
      </c>
      <c r="D274" s="63">
        <v>4.4</v>
      </c>
      <c r="E274" s="64" t="s">
        <v>132</v>
      </c>
      <c r="F274" s="65">
        <v>27.6</v>
      </c>
      <c r="G274" s="62"/>
      <c r="H274" s="66"/>
      <c r="I274" s="67"/>
      <c r="J274" s="67"/>
      <c r="K274" s="31" t="s">
        <v>65</v>
      </c>
      <c r="L274" s="75">
        <v>274</v>
      </c>
      <c r="M274" s="75"/>
      <c r="N274" s="69"/>
      <c r="O274" s="77" t="s">
        <v>543</v>
      </c>
      <c r="P274" s="79">
        <v>45165.93508101852</v>
      </c>
      <c r="Q274" s="77" t="s">
        <v>571</v>
      </c>
      <c r="R274" s="77">
        <v>0</v>
      </c>
      <c r="S274" s="77">
        <v>0</v>
      </c>
      <c r="T274" s="77">
        <v>0</v>
      </c>
      <c r="U274" s="77">
        <v>0</v>
      </c>
      <c r="V274" s="77">
        <v>41</v>
      </c>
      <c r="W274" s="77"/>
      <c r="X274" s="83" t="str">
        <f>HYPERLINK("https://www.smrfoundation.org/")</f>
        <v>https://www.smrfoundation.org/</v>
      </c>
      <c r="Y274" s="77" t="s">
        <v>741</v>
      </c>
      <c r="Z274" s="77" t="s">
        <v>769</v>
      </c>
      <c r="AA274" s="77"/>
      <c r="AB274" s="77"/>
      <c r="AC274" s="81" t="s">
        <v>853</v>
      </c>
      <c r="AD274" s="77" t="s">
        <v>859</v>
      </c>
      <c r="AE274" s="83" t="str">
        <f>HYPERLINK("https://twitter.com/dfwplay/status/1695925790355963984")</f>
        <v>https://twitter.com/dfwplay/status/1695925790355963984</v>
      </c>
      <c r="AF274" s="79">
        <v>45165.93508101852</v>
      </c>
      <c r="AG274" s="85">
        <v>45165</v>
      </c>
      <c r="AH274" s="81" t="s">
        <v>898</v>
      </c>
      <c r="AI274" s="77" t="b">
        <v>0</v>
      </c>
      <c r="AJ274" s="77"/>
      <c r="AK274" s="77"/>
      <c r="AL274" s="77"/>
      <c r="AM274" s="77"/>
      <c r="AN274" s="77"/>
      <c r="AO274" s="77"/>
      <c r="AP274" s="77"/>
      <c r="AQ274" s="77"/>
      <c r="AR274" s="77"/>
      <c r="AS274" s="77"/>
      <c r="AT274" s="77"/>
      <c r="AU274" s="77"/>
      <c r="AV274" s="83" t="str">
        <f>HYPERLINK("https://pbs.twimg.com/profile_images/1700578472530161664/kLgR6CCn_normal.jpg")</f>
        <v>https://pbs.twimg.com/profile_images/1700578472530161664/kLgR6CCn_normal.jpg</v>
      </c>
      <c r="AW274" s="81" t="s">
        <v>1053</v>
      </c>
      <c r="AX274" s="81" t="s">
        <v>1054</v>
      </c>
      <c r="AY274" s="81" t="s">
        <v>1169</v>
      </c>
      <c r="AZ274" s="81" t="s">
        <v>1055</v>
      </c>
      <c r="BA274" s="81" t="s">
        <v>1190</v>
      </c>
      <c r="BB274" s="81" t="s">
        <v>1190</v>
      </c>
      <c r="BC274" s="81" t="s">
        <v>1055</v>
      </c>
      <c r="BD274" s="81" t="s">
        <v>1176</v>
      </c>
      <c r="BE274" s="77"/>
      <c r="BF274" s="77"/>
      <c r="BG274" s="77"/>
      <c r="BH274" s="77"/>
      <c r="BI274" s="77"/>
      <c r="BJ274">
        <v>2</v>
      </c>
      <c r="BK274" s="76" t="str">
        <f>REPLACE(INDEX(GroupVertices[Group],MATCH(Edges[[#This Row],[Vertex 1]],GroupVertices[Vertex],0)),1,1,"")</f>
        <v>1</v>
      </c>
      <c r="BL274" s="76" t="str">
        <f>REPLACE(INDEX(GroupVertices[Group],MATCH(Edges[[#This Row],[Vertex 2]],GroupVertices[Vertex],0)),1,1,"")</f>
        <v>2</v>
      </c>
      <c r="BM274" s="45"/>
      <c r="BN274" s="46"/>
      <c r="BO274" s="45"/>
      <c r="BP274" s="46"/>
      <c r="BQ274" s="45"/>
      <c r="BR274" s="46"/>
      <c r="BS274" s="45"/>
      <c r="BT274" s="46"/>
      <c r="BU274" s="45"/>
    </row>
    <row r="275" spans="1:73" ht="15">
      <c r="A275" s="61" t="s">
        <v>230</v>
      </c>
      <c r="B275" s="61" t="s">
        <v>376</v>
      </c>
      <c r="C275" s="62" t="s">
        <v>11693</v>
      </c>
      <c r="D275" s="63">
        <v>4.4</v>
      </c>
      <c r="E275" s="64" t="s">
        <v>132</v>
      </c>
      <c r="F275" s="65">
        <v>27.6</v>
      </c>
      <c r="G275" s="62"/>
      <c r="H275" s="66"/>
      <c r="I275" s="67"/>
      <c r="J275" s="67"/>
      <c r="K275" s="31" t="s">
        <v>65</v>
      </c>
      <c r="L275" s="75">
        <v>275</v>
      </c>
      <c r="M275" s="75"/>
      <c r="N275" s="69"/>
      <c r="O275" s="77" t="s">
        <v>543</v>
      </c>
      <c r="P275" s="79">
        <v>45165.93508101852</v>
      </c>
      <c r="Q275" s="77" t="s">
        <v>571</v>
      </c>
      <c r="R275" s="77">
        <v>0</v>
      </c>
      <c r="S275" s="77">
        <v>0</v>
      </c>
      <c r="T275" s="77">
        <v>0</v>
      </c>
      <c r="U275" s="77">
        <v>0</v>
      </c>
      <c r="V275" s="77">
        <v>41</v>
      </c>
      <c r="W275" s="77"/>
      <c r="X275" s="83" t="str">
        <f>HYPERLINK("https://www.smrfoundation.org/")</f>
        <v>https://www.smrfoundation.org/</v>
      </c>
      <c r="Y275" s="77" t="s">
        <v>741</v>
      </c>
      <c r="Z275" s="77" t="s">
        <v>769</v>
      </c>
      <c r="AA275" s="77"/>
      <c r="AB275" s="77"/>
      <c r="AC275" s="81" t="s">
        <v>853</v>
      </c>
      <c r="AD275" s="77" t="s">
        <v>859</v>
      </c>
      <c r="AE275" s="83" t="str">
        <f>HYPERLINK("https://twitter.com/dfwplay/status/1695925790355963984")</f>
        <v>https://twitter.com/dfwplay/status/1695925790355963984</v>
      </c>
      <c r="AF275" s="79">
        <v>45165.93508101852</v>
      </c>
      <c r="AG275" s="85">
        <v>45165</v>
      </c>
      <c r="AH275" s="81" t="s">
        <v>898</v>
      </c>
      <c r="AI275" s="77" t="b">
        <v>0</v>
      </c>
      <c r="AJ275" s="77"/>
      <c r="AK275" s="77"/>
      <c r="AL275" s="77"/>
      <c r="AM275" s="77"/>
      <c r="AN275" s="77"/>
      <c r="AO275" s="77"/>
      <c r="AP275" s="77"/>
      <c r="AQ275" s="77"/>
      <c r="AR275" s="77"/>
      <c r="AS275" s="77"/>
      <c r="AT275" s="77"/>
      <c r="AU275" s="77"/>
      <c r="AV275" s="83" t="str">
        <f>HYPERLINK("https://pbs.twimg.com/profile_images/1700578472530161664/kLgR6CCn_normal.jpg")</f>
        <v>https://pbs.twimg.com/profile_images/1700578472530161664/kLgR6CCn_normal.jpg</v>
      </c>
      <c r="AW275" s="81" t="s">
        <v>1053</v>
      </c>
      <c r="AX275" s="81" t="s">
        <v>1054</v>
      </c>
      <c r="AY275" s="81" t="s">
        <v>1169</v>
      </c>
      <c r="AZ275" s="81" t="s">
        <v>1055</v>
      </c>
      <c r="BA275" s="81" t="s">
        <v>1190</v>
      </c>
      <c r="BB275" s="81" t="s">
        <v>1190</v>
      </c>
      <c r="BC275" s="81" t="s">
        <v>1055</v>
      </c>
      <c r="BD275" s="81" t="s">
        <v>1176</v>
      </c>
      <c r="BE275" s="77"/>
      <c r="BF275" s="77"/>
      <c r="BG275" s="77"/>
      <c r="BH275" s="77"/>
      <c r="BI275" s="77"/>
      <c r="BJ275">
        <v>2</v>
      </c>
      <c r="BK275" s="76" t="str">
        <f>REPLACE(INDEX(GroupVertices[Group],MATCH(Edges[[#This Row],[Vertex 1]],GroupVertices[Vertex],0)),1,1,"")</f>
        <v>1</v>
      </c>
      <c r="BL275" s="76" t="str">
        <f>REPLACE(INDEX(GroupVertices[Group],MATCH(Edges[[#This Row],[Vertex 2]],GroupVertices[Vertex],0)),1,1,"")</f>
        <v>6</v>
      </c>
      <c r="BM275" s="45">
        <v>0</v>
      </c>
      <c r="BN275" s="46">
        <v>0</v>
      </c>
      <c r="BO275" s="45">
        <v>0</v>
      </c>
      <c r="BP275" s="46">
        <v>0</v>
      </c>
      <c r="BQ275" s="45">
        <v>0</v>
      </c>
      <c r="BR275" s="46">
        <v>0</v>
      </c>
      <c r="BS275" s="45">
        <v>15</v>
      </c>
      <c r="BT275" s="46">
        <v>88.23529411764706</v>
      </c>
      <c r="BU275" s="45">
        <v>17</v>
      </c>
    </row>
    <row r="276" spans="1:73" ht="15">
      <c r="A276" s="61" t="s">
        <v>230</v>
      </c>
      <c r="B276" s="61" t="s">
        <v>229</v>
      </c>
      <c r="C276" s="62" t="s">
        <v>11693</v>
      </c>
      <c r="D276" s="63">
        <v>4.4</v>
      </c>
      <c r="E276" s="64" t="s">
        <v>132</v>
      </c>
      <c r="F276" s="65">
        <v>27.6</v>
      </c>
      <c r="G276" s="62"/>
      <c r="H276" s="66"/>
      <c r="I276" s="67"/>
      <c r="J276" s="67"/>
      <c r="K276" s="31" t="s">
        <v>66</v>
      </c>
      <c r="L276" s="75">
        <v>276</v>
      </c>
      <c r="M276" s="75"/>
      <c r="N276" s="69"/>
      <c r="O276" s="77" t="s">
        <v>540</v>
      </c>
      <c r="P276" s="79">
        <v>45165.93508101852</v>
      </c>
      <c r="Q276" s="77" t="s">
        <v>571</v>
      </c>
      <c r="R276" s="77">
        <v>0</v>
      </c>
      <c r="S276" s="77">
        <v>0</v>
      </c>
      <c r="T276" s="77">
        <v>0</v>
      </c>
      <c r="U276" s="77">
        <v>0</v>
      </c>
      <c r="V276" s="77">
        <v>41</v>
      </c>
      <c r="W276" s="77"/>
      <c r="X276" s="83" t="str">
        <f>HYPERLINK("https://www.smrfoundation.org/")</f>
        <v>https://www.smrfoundation.org/</v>
      </c>
      <c r="Y276" s="77" t="s">
        <v>741</v>
      </c>
      <c r="Z276" s="77" t="s">
        <v>769</v>
      </c>
      <c r="AA276" s="77"/>
      <c r="AB276" s="77"/>
      <c r="AC276" s="81" t="s">
        <v>853</v>
      </c>
      <c r="AD276" s="77" t="s">
        <v>859</v>
      </c>
      <c r="AE276" s="83" t="str">
        <f>HYPERLINK("https://twitter.com/dfwplay/status/1695925790355963984")</f>
        <v>https://twitter.com/dfwplay/status/1695925790355963984</v>
      </c>
      <c r="AF276" s="79">
        <v>45165.93508101852</v>
      </c>
      <c r="AG276" s="85">
        <v>45165</v>
      </c>
      <c r="AH276" s="81" t="s">
        <v>898</v>
      </c>
      <c r="AI276" s="77" t="b">
        <v>0</v>
      </c>
      <c r="AJ276" s="77"/>
      <c r="AK276" s="77"/>
      <c r="AL276" s="77"/>
      <c r="AM276" s="77"/>
      <c r="AN276" s="77"/>
      <c r="AO276" s="77"/>
      <c r="AP276" s="77"/>
      <c r="AQ276" s="77"/>
      <c r="AR276" s="77"/>
      <c r="AS276" s="77"/>
      <c r="AT276" s="77"/>
      <c r="AU276" s="77"/>
      <c r="AV276" s="83" t="str">
        <f>HYPERLINK("https://pbs.twimg.com/profile_images/1700578472530161664/kLgR6CCn_normal.jpg")</f>
        <v>https://pbs.twimg.com/profile_images/1700578472530161664/kLgR6CCn_normal.jpg</v>
      </c>
      <c r="AW276" s="81" t="s">
        <v>1053</v>
      </c>
      <c r="AX276" s="81" t="s">
        <v>1054</v>
      </c>
      <c r="AY276" s="81" t="s">
        <v>1169</v>
      </c>
      <c r="AZ276" s="81" t="s">
        <v>1055</v>
      </c>
      <c r="BA276" s="81" t="s">
        <v>1190</v>
      </c>
      <c r="BB276" s="81" t="s">
        <v>1190</v>
      </c>
      <c r="BC276" s="81" t="s">
        <v>1055</v>
      </c>
      <c r="BD276" s="81" t="s">
        <v>1176</v>
      </c>
      <c r="BE276" s="77"/>
      <c r="BF276" s="77"/>
      <c r="BG276" s="77"/>
      <c r="BH276" s="77"/>
      <c r="BI276" s="77"/>
      <c r="BJ276">
        <v>2</v>
      </c>
      <c r="BK276" s="76" t="str">
        <f>REPLACE(INDEX(GroupVertices[Group],MATCH(Edges[[#This Row],[Vertex 1]],GroupVertices[Vertex],0)),1,1,"")</f>
        <v>1</v>
      </c>
      <c r="BL276" s="76" t="str">
        <f>REPLACE(INDEX(GroupVertices[Group],MATCH(Edges[[#This Row],[Vertex 2]],GroupVertices[Vertex],0)),1,1,"")</f>
        <v>1</v>
      </c>
      <c r="BM276" s="45"/>
      <c r="BN276" s="46"/>
      <c r="BO276" s="45"/>
      <c r="BP276" s="46"/>
      <c r="BQ276" s="45"/>
      <c r="BR276" s="46"/>
      <c r="BS276" s="45"/>
      <c r="BT276" s="46"/>
      <c r="BU276" s="45"/>
    </row>
    <row r="277" spans="1:73" ht="15">
      <c r="A277" s="61" t="s">
        <v>229</v>
      </c>
      <c r="B277" s="61" t="s">
        <v>230</v>
      </c>
      <c r="C277" s="62" t="s">
        <v>11692</v>
      </c>
      <c r="D277" s="63">
        <v>3</v>
      </c>
      <c r="E277" s="64" t="s">
        <v>132</v>
      </c>
      <c r="F277" s="65">
        <v>32</v>
      </c>
      <c r="G277" s="62"/>
      <c r="H277" s="66"/>
      <c r="I277" s="67"/>
      <c r="J277" s="67"/>
      <c r="K277" s="31" t="s">
        <v>66</v>
      </c>
      <c r="L277" s="75">
        <v>277</v>
      </c>
      <c r="M277" s="75"/>
      <c r="N277" s="69"/>
      <c r="O277" s="77" t="s">
        <v>539</v>
      </c>
      <c r="P277" s="79">
        <v>45164.47796296296</v>
      </c>
      <c r="Q277" s="77" t="s">
        <v>572</v>
      </c>
      <c r="R277" s="77">
        <v>0</v>
      </c>
      <c r="S277" s="77">
        <v>4</v>
      </c>
      <c r="T277" s="77">
        <v>1</v>
      </c>
      <c r="U277" s="77">
        <v>0</v>
      </c>
      <c r="V277" s="77">
        <v>94</v>
      </c>
      <c r="W277" s="81" t="s">
        <v>683</v>
      </c>
      <c r="X277" s="83" t="str">
        <f>HYPERLINK("https://bit.ly/47Lu0XB")</f>
        <v>https://bit.ly/47Lu0XB</v>
      </c>
      <c r="Y277" s="77" t="s">
        <v>740</v>
      </c>
      <c r="Z277" s="77" t="s">
        <v>770</v>
      </c>
      <c r="AA277" s="77"/>
      <c r="AB277" s="77"/>
      <c r="AC277" s="81" t="s">
        <v>853</v>
      </c>
      <c r="AD277" s="77" t="s">
        <v>863</v>
      </c>
      <c r="AE277" s="83" t="str">
        <f>HYPERLINK("https://twitter.com/mihkal/status/1695397746121875757")</f>
        <v>https://twitter.com/mihkal/status/1695397746121875757</v>
      </c>
      <c r="AF277" s="79">
        <v>45164.47796296296</v>
      </c>
      <c r="AG277" s="85">
        <v>45164</v>
      </c>
      <c r="AH277" s="81" t="s">
        <v>899</v>
      </c>
      <c r="AI277" s="77" t="b">
        <v>0</v>
      </c>
      <c r="AJ277" s="77"/>
      <c r="AK277" s="77"/>
      <c r="AL277" s="77"/>
      <c r="AM277" s="77"/>
      <c r="AN277" s="77"/>
      <c r="AO277" s="77"/>
      <c r="AP277" s="77"/>
      <c r="AQ277" s="77"/>
      <c r="AR277" s="77"/>
      <c r="AS277" s="77"/>
      <c r="AT277" s="77"/>
      <c r="AU277" s="77"/>
      <c r="AV277" s="83" t="str">
        <f>HYPERLINK("https://pbs.twimg.com/profile_images/1663227887837757440/XOjtFF4W_normal.jpg")</f>
        <v>https://pbs.twimg.com/profile_images/1663227887837757440/XOjtFF4W_normal.jpg</v>
      </c>
      <c r="AW277" s="81" t="s">
        <v>1054</v>
      </c>
      <c r="AX277" s="81" t="s">
        <v>1054</v>
      </c>
      <c r="AY277" s="77"/>
      <c r="AZ277" s="81" t="s">
        <v>1190</v>
      </c>
      <c r="BA277" s="81" t="s">
        <v>1190</v>
      </c>
      <c r="BB277" s="81" t="s">
        <v>1190</v>
      </c>
      <c r="BC277" s="81" t="s">
        <v>1054</v>
      </c>
      <c r="BD277" s="77">
        <v>24256031</v>
      </c>
      <c r="BE277" s="77"/>
      <c r="BF277" s="77"/>
      <c r="BG277" s="77"/>
      <c r="BH277" s="77"/>
      <c r="BI277" s="77"/>
      <c r="BJ277">
        <v>1</v>
      </c>
      <c r="BK277" s="76" t="str">
        <f>REPLACE(INDEX(GroupVertices[Group],MATCH(Edges[[#This Row],[Vertex 1]],GroupVertices[Vertex],0)),1,1,"")</f>
        <v>1</v>
      </c>
      <c r="BL277" s="76" t="str">
        <f>REPLACE(INDEX(GroupVertices[Group],MATCH(Edges[[#This Row],[Vertex 2]],GroupVertices[Vertex],0)),1,1,"")</f>
        <v>1</v>
      </c>
      <c r="BM277" s="45"/>
      <c r="BN277" s="46"/>
      <c r="BO277" s="45"/>
      <c r="BP277" s="46"/>
      <c r="BQ277" s="45"/>
      <c r="BR277" s="46"/>
      <c r="BS277" s="45"/>
      <c r="BT277" s="46"/>
      <c r="BU277" s="45"/>
    </row>
    <row r="278" spans="1:73" ht="15">
      <c r="A278" s="61" t="s">
        <v>229</v>
      </c>
      <c r="B278" s="61" t="s">
        <v>230</v>
      </c>
      <c r="C278" s="62" t="s">
        <v>11692</v>
      </c>
      <c r="D278" s="63">
        <v>3</v>
      </c>
      <c r="E278" s="64" t="s">
        <v>132</v>
      </c>
      <c r="F278" s="65">
        <v>32</v>
      </c>
      <c r="G278" s="62"/>
      <c r="H278" s="66"/>
      <c r="I278" s="67"/>
      <c r="J278" s="67"/>
      <c r="K278" s="31" t="s">
        <v>66</v>
      </c>
      <c r="L278" s="75">
        <v>278</v>
      </c>
      <c r="M278" s="75"/>
      <c r="N278" s="69"/>
      <c r="O278" s="77" t="s">
        <v>540</v>
      </c>
      <c r="P278" s="79">
        <v>45165.418541666666</v>
      </c>
      <c r="Q278" s="77" t="s">
        <v>573</v>
      </c>
      <c r="R278" s="77">
        <v>0</v>
      </c>
      <c r="S278" s="77">
        <v>5</v>
      </c>
      <c r="T278" s="77">
        <v>1</v>
      </c>
      <c r="U278" s="77">
        <v>0</v>
      </c>
      <c r="V278" s="77">
        <v>49</v>
      </c>
      <c r="W278" s="77"/>
      <c r="X278" s="77"/>
      <c r="Y278" s="77"/>
      <c r="Z278" s="77" t="s">
        <v>771</v>
      </c>
      <c r="AA278" s="77"/>
      <c r="AB278" s="77"/>
      <c r="AC278" s="81" t="s">
        <v>853</v>
      </c>
      <c r="AD278" s="77" t="s">
        <v>859</v>
      </c>
      <c r="AE278" s="83" t="str">
        <f>HYPERLINK("https://twitter.com/mihkal/status/1695738602557239609")</f>
        <v>https://twitter.com/mihkal/status/1695738602557239609</v>
      </c>
      <c r="AF278" s="79">
        <v>45165.418541666666</v>
      </c>
      <c r="AG278" s="85">
        <v>45165</v>
      </c>
      <c r="AH278" s="81" t="s">
        <v>900</v>
      </c>
      <c r="AI278" s="77"/>
      <c r="AJ278" s="77"/>
      <c r="AK278" s="77"/>
      <c r="AL278" s="77"/>
      <c r="AM278" s="77"/>
      <c r="AN278" s="77"/>
      <c r="AO278" s="77"/>
      <c r="AP278" s="77"/>
      <c r="AQ278" s="77"/>
      <c r="AR278" s="77"/>
      <c r="AS278" s="77"/>
      <c r="AT278" s="77"/>
      <c r="AU278" s="77"/>
      <c r="AV278" s="83" t="str">
        <f>HYPERLINK("https://pbs.twimg.com/profile_images/1663227887837757440/XOjtFF4W_normal.jpg")</f>
        <v>https://pbs.twimg.com/profile_images/1663227887837757440/XOjtFF4W_normal.jpg</v>
      </c>
      <c r="AW278" s="81" t="s">
        <v>1055</v>
      </c>
      <c r="AX278" s="81" t="s">
        <v>1054</v>
      </c>
      <c r="AY278" s="81" t="s">
        <v>1176</v>
      </c>
      <c r="AZ278" s="81" t="s">
        <v>1052</v>
      </c>
      <c r="BA278" s="81" t="s">
        <v>1190</v>
      </c>
      <c r="BB278" s="81" t="s">
        <v>1190</v>
      </c>
      <c r="BC278" s="81" t="s">
        <v>1052</v>
      </c>
      <c r="BD278" s="77">
        <v>24256031</v>
      </c>
      <c r="BE278" s="77"/>
      <c r="BF278" s="77"/>
      <c r="BG278" s="77"/>
      <c r="BH278" s="77"/>
      <c r="BI278" s="77"/>
      <c r="BJ278">
        <v>1</v>
      </c>
      <c r="BK278" s="76" t="str">
        <f>REPLACE(INDEX(GroupVertices[Group],MATCH(Edges[[#This Row],[Vertex 1]],GroupVertices[Vertex],0)),1,1,"")</f>
        <v>1</v>
      </c>
      <c r="BL278" s="76" t="str">
        <f>REPLACE(INDEX(GroupVertices[Group],MATCH(Edges[[#This Row],[Vertex 2]],GroupVertices[Vertex],0)),1,1,"")</f>
        <v>1</v>
      </c>
      <c r="BM278" s="45"/>
      <c r="BN278" s="46"/>
      <c r="BO278" s="45"/>
      <c r="BP278" s="46"/>
      <c r="BQ278" s="45"/>
      <c r="BR278" s="46"/>
      <c r="BS278" s="45"/>
      <c r="BT278" s="46"/>
      <c r="BU278" s="45"/>
    </row>
    <row r="279" spans="1:73" ht="15">
      <c r="A279" s="61" t="s">
        <v>229</v>
      </c>
      <c r="B279" s="61" t="s">
        <v>377</v>
      </c>
      <c r="C279" s="62" t="s">
        <v>11693</v>
      </c>
      <c r="D279" s="63">
        <v>4.4</v>
      </c>
      <c r="E279" s="64" t="s">
        <v>132</v>
      </c>
      <c r="F279" s="65">
        <v>27.6</v>
      </c>
      <c r="G279" s="62"/>
      <c r="H279" s="66"/>
      <c r="I279" s="67"/>
      <c r="J279" s="67"/>
      <c r="K279" s="31" t="s">
        <v>65</v>
      </c>
      <c r="L279" s="75">
        <v>279</v>
      </c>
      <c r="M279" s="75"/>
      <c r="N279" s="69"/>
      <c r="O279" s="77" t="s">
        <v>539</v>
      </c>
      <c r="P279" s="79">
        <v>45160.88125</v>
      </c>
      <c r="Q279" s="77" t="s">
        <v>565</v>
      </c>
      <c r="R279" s="77">
        <v>0</v>
      </c>
      <c r="S279" s="77">
        <v>4</v>
      </c>
      <c r="T279" s="77">
        <v>0</v>
      </c>
      <c r="U279" s="77">
        <v>0</v>
      </c>
      <c r="V279" s="77">
        <v>97</v>
      </c>
      <c r="W279" s="81" t="s">
        <v>678</v>
      </c>
      <c r="X279" s="83" t="str">
        <f>HYPERLINK("https://bit.ly/3YIJPKw")</f>
        <v>https://bit.ly/3YIJPKw</v>
      </c>
      <c r="Y279" s="77" t="s">
        <v>740</v>
      </c>
      <c r="Z279" s="77" t="s">
        <v>763</v>
      </c>
      <c r="AA279" s="77"/>
      <c r="AB279" s="77"/>
      <c r="AC279" s="81" t="s">
        <v>853</v>
      </c>
      <c r="AD279" s="77" t="s">
        <v>859</v>
      </c>
      <c r="AE279" s="83" t="str">
        <f>HYPERLINK("https://twitter.com/mihkal/status/1694094340023259162")</f>
        <v>https://twitter.com/mihkal/status/1694094340023259162</v>
      </c>
      <c r="AF279" s="79">
        <v>45160.88125</v>
      </c>
      <c r="AG279" s="85">
        <v>45160</v>
      </c>
      <c r="AH279" s="81" t="s">
        <v>892</v>
      </c>
      <c r="AI279" s="77" t="b">
        <v>0</v>
      </c>
      <c r="AJ279" s="77"/>
      <c r="AK279" s="77"/>
      <c r="AL279" s="77"/>
      <c r="AM279" s="77"/>
      <c r="AN279" s="77"/>
      <c r="AO279" s="77"/>
      <c r="AP279" s="77"/>
      <c r="AQ279" s="77"/>
      <c r="AR279" s="77"/>
      <c r="AS279" s="77"/>
      <c r="AT279" s="77"/>
      <c r="AU279" s="77"/>
      <c r="AV279" s="83" t="str">
        <f>HYPERLINK("https://pbs.twimg.com/profile_images/1663227887837757440/XOjtFF4W_normal.jpg")</f>
        <v>https://pbs.twimg.com/profile_images/1663227887837757440/XOjtFF4W_normal.jpg</v>
      </c>
      <c r="AW279" s="81" t="s">
        <v>1047</v>
      </c>
      <c r="AX279" s="81" t="s">
        <v>1047</v>
      </c>
      <c r="AY279" s="77"/>
      <c r="AZ279" s="81" t="s">
        <v>1190</v>
      </c>
      <c r="BA279" s="81" t="s">
        <v>1190</v>
      </c>
      <c r="BB279" s="81" t="s">
        <v>1190</v>
      </c>
      <c r="BC279" s="81" t="s">
        <v>1047</v>
      </c>
      <c r="BD279" s="77">
        <v>24256031</v>
      </c>
      <c r="BE279" s="77"/>
      <c r="BF279" s="77"/>
      <c r="BG279" s="77"/>
      <c r="BH279" s="77"/>
      <c r="BI279" s="77"/>
      <c r="BJ279">
        <v>2</v>
      </c>
      <c r="BK279" s="76" t="str">
        <f>REPLACE(INDEX(GroupVertices[Group],MATCH(Edges[[#This Row],[Vertex 1]],GroupVertices[Vertex],0)),1,1,"")</f>
        <v>1</v>
      </c>
      <c r="BL279" s="76" t="str">
        <f>REPLACE(INDEX(GroupVertices[Group],MATCH(Edges[[#This Row],[Vertex 2]],GroupVertices[Vertex],0)),1,1,"")</f>
        <v>1</v>
      </c>
      <c r="BM279" s="45"/>
      <c r="BN279" s="46"/>
      <c r="BO279" s="45"/>
      <c r="BP279" s="46"/>
      <c r="BQ279" s="45"/>
      <c r="BR279" s="46"/>
      <c r="BS279" s="45"/>
      <c r="BT279" s="46"/>
      <c r="BU279" s="45"/>
    </row>
    <row r="280" spans="1:73" ht="15">
      <c r="A280" s="61" t="s">
        <v>229</v>
      </c>
      <c r="B280" s="61" t="s">
        <v>377</v>
      </c>
      <c r="C280" s="62" t="s">
        <v>11693</v>
      </c>
      <c r="D280" s="63">
        <v>4.4</v>
      </c>
      <c r="E280" s="64" t="s">
        <v>132</v>
      </c>
      <c r="F280" s="65">
        <v>27.6</v>
      </c>
      <c r="G280" s="62"/>
      <c r="H280" s="66"/>
      <c r="I280" s="67"/>
      <c r="J280" s="67"/>
      <c r="K280" s="31" t="s">
        <v>65</v>
      </c>
      <c r="L280" s="75">
        <v>280</v>
      </c>
      <c r="M280" s="75"/>
      <c r="N280" s="69"/>
      <c r="O280" s="77" t="s">
        <v>539</v>
      </c>
      <c r="P280" s="79">
        <v>45162.27140046296</v>
      </c>
      <c r="Q280" s="77" t="s">
        <v>574</v>
      </c>
      <c r="R280" s="77">
        <v>0</v>
      </c>
      <c r="S280" s="77">
        <v>5</v>
      </c>
      <c r="T280" s="77">
        <v>0</v>
      </c>
      <c r="U280" s="77">
        <v>0</v>
      </c>
      <c r="V280" s="77">
        <v>74</v>
      </c>
      <c r="W280" s="81" t="s">
        <v>684</v>
      </c>
      <c r="X280" s="83" t="str">
        <f>HYPERLINK("https://bit.ly/3QQBRgg")</f>
        <v>https://bit.ly/3QQBRgg</v>
      </c>
      <c r="Y280" s="77" t="s">
        <v>740</v>
      </c>
      <c r="Z280" s="77" t="s">
        <v>772</v>
      </c>
      <c r="AA280" s="77"/>
      <c r="AB280" s="77"/>
      <c r="AC280" s="81" t="s">
        <v>853</v>
      </c>
      <c r="AD280" s="77" t="s">
        <v>866</v>
      </c>
      <c r="AE280" s="83" t="str">
        <f>HYPERLINK("https://twitter.com/mihkal/status/1694598113590161716")</f>
        <v>https://twitter.com/mihkal/status/1694598113590161716</v>
      </c>
      <c r="AF280" s="79">
        <v>45162.27140046296</v>
      </c>
      <c r="AG280" s="85">
        <v>45162</v>
      </c>
      <c r="AH280" s="81" t="s">
        <v>901</v>
      </c>
      <c r="AI280" s="77" t="b">
        <v>0</v>
      </c>
      <c r="AJ280" s="77"/>
      <c r="AK280" s="77"/>
      <c r="AL280" s="77"/>
      <c r="AM280" s="77"/>
      <c r="AN280" s="77"/>
      <c r="AO280" s="77"/>
      <c r="AP280" s="77"/>
      <c r="AQ280" s="77"/>
      <c r="AR280" s="77"/>
      <c r="AS280" s="77"/>
      <c r="AT280" s="77"/>
      <c r="AU280" s="77"/>
      <c r="AV280" s="83" t="str">
        <f>HYPERLINK("https://pbs.twimg.com/profile_images/1663227887837757440/XOjtFF4W_normal.jpg")</f>
        <v>https://pbs.twimg.com/profile_images/1663227887837757440/XOjtFF4W_normal.jpg</v>
      </c>
      <c r="AW280" s="81" t="s">
        <v>1056</v>
      </c>
      <c r="AX280" s="81" t="s">
        <v>1056</v>
      </c>
      <c r="AY280" s="77"/>
      <c r="AZ280" s="81" t="s">
        <v>1190</v>
      </c>
      <c r="BA280" s="81" t="s">
        <v>1190</v>
      </c>
      <c r="BB280" s="81" t="s">
        <v>1190</v>
      </c>
      <c r="BC280" s="81" t="s">
        <v>1056</v>
      </c>
      <c r="BD280" s="77">
        <v>24256031</v>
      </c>
      <c r="BE280" s="77"/>
      <c r="BF280" s="77"/>
      <c r="BG280" s="77"/>
      <c r="BH280" s="77"/>
      <c r="BI280" s="77"/>
      <c r="BJ280">
        <v>2</v>
      </c>
      <c r="BK280" s="76" t="str">
        <f>REPLACE(INDEX(GroupVertices[Group],MATCH(Edges[[#This Row],[Vertex 1]],GroupVertices[Vertex],0)),1,1,"")</f>
        <v>1</v>
      </c>
      <c r="BL280" s="76" t="str">
        <f>REPLACE(INDEX(GroupVertices[Group],MATCH(Edges[[#This Row],[Vertex 2]],GroupVertices[Vertex],0)),1,1,"")</f>
        <v>1</v>
      </c>
      <c r="BM280" s="45"/>
      <c r="BN280" s="46"/>
      <c r="BO280" s="45"/>
      <c r="BP280" s="46"/>
      <c r="BQ280" s="45"/>
      <c r="BR280" s="46"/>
      <c r="BS280" s="45"/>
      <c r="BT280" s="46"/>
      <c r="BU280" s="45"/>
    </row>
    <row r="281" spans="1:73" ht="15">
      <c r="A281" s="61" t="s">
        <v>229</v>
      </c>
      <c r="B281" s="61" t="s">
        <v>378</v>
      </c>
      <c r="C281" s="62" t="s">
        <v>11693</v>
      </c>
      <c r="D281" s="63">
        <v>4.4</v>
      </c>
      <c r="E281" s="64" t="s">
        <v>132</v>
      </c>
      <c r="F281" s="65">
        <v>27.6</v>
      </c>
      <c r="G281" s="62"/>
      <c r="H281" s="66"/>
      <c r="I281" s="67"/>
      <c r="J281" s="67"/>
      <c r="K281" s="31" t="s">
        <v>65</v>
      </c>
      <c r="L281" s="75">
        <v>281</v>
      </c>
      <c r="M281" s="75"/>
      <c r="N281" s="69"/>
      <c r="O281" s="77" t="s">
        <v>539</v>
      </c>
      <c r="P281" s="79">
        <v>45160.88125</v>
      </c>
      <c r="Q281" s="77" t="s">
        <v>565</v>
      </c>
      <c r="R281" s="77">
        <v>0</v>
      </c>
      <c r="S281" s="77">
        <v>4</v>
      </c>
      <c r="T281" s="77">
        <v>0</v>
      </c>
      <c r="U281" s="77">
        <v>0</v>
      </c>
      <c r="V281" s="77">
        <v>97</v>
      </c>
      <c r="W281" s="81" t="s">
        <v>678</v>
      </c>
      <c r="X281" s="83" t="str">
        <f>HYPERLINK("https://bit.ly/3YIJPKw")</f>
        <v>https://bit.ly/3YIJPKw</v>
      </c>
      <c r="Y281" s="77" t="s">
        <v>740</v>
      </c>
      <c r="Z281" s="77" t="s">
        <v>763</v>
      </c>
      <c r="AA281" s="77"/>
      <c r="AB281" s="77"/>
      <c r="AC281" s="81" t="s">
        <v>853</v>
      </c>
      <c r="AD281" s="77" t="s">
        <v>859</v>
      </c>
      <c r="AE281" s="83" t="str">
        <f>HYPERLINK("https://twitter.com/mihkal/status/1694094340023259162")</f>
        <v>https://twitter.com/mihkal/status/1694094340023259162</v>
      </c>
      <c r="AF281" s="79">
        <v>45160.88125</v>
      </c>
      <c r="AG281" s="85">
        <v>45160</v>
      </c>
      <c r="AH281" s="81" t="s">
        <v>892</v>
      </c>
      <c r="AI281" s="77" t="b">
        <v>0</v>
      </c>
      <c r="AJ281" s="77"/>
      <c r="AK281" s="77"/>
      <c r="AL281" s="77"/>
      <c r="AM281" s="77"/>
      <c r="AN281" s="77"/>
      <c r="AO281" s="77"/>
      <c r="AP281" s="77"/>
      <c r="AQ281" s="77"/>
      <c r="AR281" s="77"/>
      <c r="AS281" s="77"/>
      <c r="AT281" s="77"/>
      <c r="AU281" s="77"/>
      <c r="AV281" s="83" t="str">
        <f>HYPERLINK("https://pbs.twimg.com/profile_images/1663227887837757440/XOjtFF4W_normal.jpg")</f>
        <v>https://pbs.twimg.com/profile_images/1663227887837757440/XOjtFF4W_normal.jpg</v>
      </c>
      <c r="AW281" s="81" t="s">
        <v>1047</v>
      </c>
      <c r="AX281" s="81" t="s">
        <v>1047</v>
      </c>
      <c r="AY281" s="77"/>
      <c r="AZ281" s="81" t="s">
        <v>1190</v>
      </c>
      <c r="BA281" s="81" t="s">
        <v>1190</v>
      </c>
      <c r="BB281" s="81" t="s">
        <v>1190</v>
      </c>
      <c r="BC281" s="81" t="s">
        <v>1047</v>
      </c>
      <c r="BD281" s="77">
        <v>24256031</v>
      </c>
      <c r="BE281" s="77"/>
      <c r="BF281" s="77"/>
      <c r="BG281" s="77"/>
      <c r="BH281" s="77"/>
      <c r="BI281" s="77"/>
      <c r="BJ281">
        <v>2</v>
      </c>
      <c r="BK281" s="76" t="str">
        <f>REPLACE(INDEX(GroupVertices[Group],MATCH(Edges[[#This Row],[Vertex 1]],GroupVertices[Vertex],0)),1,1,"")</f>
        <v>1</v>
      </c>
      <c r="BL281" s="76" t="str">
        <f>REPLACE(INDEX(GroupVertices[Group],MATCH(Edges[[#This Row],[Vertex 2]],GroupVertices[Vertex],0)),1,1,"")</f>
        <v>1</v>
      </c>
      <c r="BM281" s="45"/>
      <c r="BN281" s="46"/>
      <c r="BO281" s="45"/>
      <c r="BP281" s="46"/>
      <c r="BQ281" s="45"/>
      <c r="BR281" s="46"/>
      <c r="BS281" s="45"/>
      <c r="BT281" s="46"/>
      <c r="BU281" s="45"/>
    </row>
    <row r="282" spans="1:73" ht="15">
      <c r="A282" s="61" t="s">
        <v>229</v>
      </c>
      <c r="B282" s="61" t="s">
        <v>378</v>
      </c>
      <c r="C282" s="62" t="s">
        <v>11693</v>
      </c>
      <c r="D282" s="63">
        <v>4.4</v>
      </c>
      <c r="E282" s="64" t="s">
        <v>132</v>
      </c>
      <c r="F282" s="65">
        <v>27.6</v>
      </c>
      <c r="G282" s="62"/>
      <c r="H282" s="66"/>
      <c r="I282" s="67"/>
      <c r="J282" s="67"/>
      <c r="K282" s="31" t="s">
        <v>65</v>
      </c>
      <c r="L282" s="75">
        <v>282</v>
      </c>
      <c r="M282" s="75"/>
      <c r="N282" s="69"/>
      <c r="O282" s="77" t="s">
        <v>539</v>
      </c>
      <c r="P282" s="79">
        <v>45162.27140046296</v>
      </c>
      <c r="Q282" s="77" t="s">
        <v>574</v>
      </c>
      <c r="R282" s="77">
        <v>0</v>
      </c>
      <c r="S282" s="77">
        <v>5</v>
      </c>
      <c r="T282" s="77">
        <v>0</v>
      </c>
      <c r="U282" s="77">
        <v>0</v>
      </c>
      <c r="V282" s="77">
        <v>74</v>
      </c>
      <c r="W282" s="81" t="s">
        <v>684</v>
      </c>
      <c r="X282" s="83" t="str">
        <f>HYPERLINK("https://bit.ly/3QQBRgg")</f>
        <v>https://bit.ly/3QQBRgg</v>
      </c>
      <c r="Y282" s="77" t="s">
        <v>740</v>
      </c>
      <c r="Z282" s="77" t="s">
        <v>772</v>
      </c>
      <c r="AA282" s="77"/>
      <c r="AB282" s="77"/>
      <c r="AC282" s="81" t="s">
        <v>853</v>
      </c>
      <c r="AD282" s="77" t="s">
        <v>866</v>
      </c>
      <c r="AE282" s="83" t="str">
        <f>HYPERLINK("https://twitter.com/mihkal/status/1694598113590161716")</f>
        <v>https://twitter.com/mihkal/status/1694598113590161716</v>
      </c>
      <c r="AF282" s="79">
        <v>45162.27140046296</v>
      </c>
      <c r="AG282" s="85">
        <v>45162</v>
      </c>
      <c r="AH282" s="81" t="s">
        <v>901</v>
      </c>
      <c r="AI282" s="77" t="b">
        <v>0</v>
      </c>
      <c r="AJ282" s="77"/>
      <c r="AK282" s="77"/>
      <c r="AL282" s="77"/>
      <c r="AM282" s="77"/>
      <c r="AN282" s="77"/>
      <c r="AO282" s="77"/>
      <c r="AP282" s="77"/>
      <c r="AQ282" s="77"/>
      <c r="AR282" s="77"/>
      <c r="AS282" s="77"/>
      <c r="AT282" s="77"/>
      <c r="AU282" s="77"/>
      <c r="AV282" s="83" t="str">
        <f>HYPERLINK("https://pbs.twimg.com/profile_images/1663227887837757440/XOjtFF4W_normal.jpg")</f>
        <v>https://pbs.twimg.com/profile_images/1663227887837757440/XOjtFF4W_normal.jpg</v>
      </c>
      <c r="AW282" s="81" t="s">
        <v>1056</v>
      </c>
      <c r="AX282" s="81" t="s">
        <v>1056</v>
      </c>
      <c r="AY282" s="77"/>
      <c r="AZ282" s="81" t="s">
        <v>1190</v>
      </c>
      <c r="BA282" s="81" t="s">
        <v>1190</v>
      </c>
      <c r="BB282" s="81" t="s">
        <v>1190</v>
      </c>
      <c r="BC282" s="81" t="s">
        <v>1056</v>
      </c>
      <c r="BD282" s="77">
        <v>24256031</v>
      </c>
      <c r="BE282" s="77"/>
      <c r="BF282" s="77"/>
      <c r="BG282" s="77"/>
      <c r="BH282" s="77"/>
      <c r="BI282" s="77"/>
      <c r="BJ282">
        <v>2</v>
      </c>
      <c r="BK282" s="76" t="str">
        <f>REPLACE(INDEX(GroupVertices[Group],MATCH(Edges[[#This Row],[Vertex 1]],GroupVertices[Vertex],0)),1,1,"")</f>
        <v>1</v>
      </c>
      <c r="BL282" s="76" t="str">
        <f>REPLACE(INDEX(GroupVertices[Group],MATCH(Edges[[#This Row],[Vertex 2]],GroupVertices[Vertex],0)),1,1,"")</f>
        <v>1</v>
      </c>
      <c r="BM282" s="45"/>
      <c r="BN282" s="46"/>
      <c r="BO282" s="45"/>
      <c r="BP282" s="46"/>
      <c r="BQ282" s="45"/>
      <c r="BR282" s="46"/>
      <c r="BS282" s="45"/>
      <c r="BT282" s="46"/>
      <c r="BU282" s="45"/>
    </row>
    <row r="283" spans="1:73" ht="15">
      <c r="A283" s="61" t="s">
        <v>229</v>
      </c>
      <c r="B283" s="61" t="s">
        <v>379</v>
      </c>
      <c r="C283" s="62" t="s">
        <v>11693</v>
      </c>
      <c r="D283" s="63">
        <v>4.4</v>
      </c>
      <c r="E283" s="64" t="s">
        <v>132</v>
      </c>
      <c r="F283" s="65">
        <v>27.6</v>
      </c>
      <c r="G283" s="62"/>
      <c r="H283" s="66"/>
      <c r="I283" s="67"/>
      <c r="J283" s="67"/>
      <c r="K283" s="31" t="s">
        <v>65</v>
      </c>
      <c r="L283" s="75">
        <v>283</v>
      </c>
      <c r="M283" s="75"/>
      <c r="N283" s="69"/>
      <c r="O283" s="77" t="s">
        <v>539</v>
      </c>
      <c r="P283" s="79">
        <v>45160.88125</v>
      </c>
      <c r="Q283" s="77" t="s">
        <v>565</v>
      </c>
      <c r="R283" s="77">
        <v>0</v>
      </c>
      <c r="S283" s="77">
        <v>4</v>
      </c>
      <c r="T283" s="77">
        <v>0</v>
      </c>
      <c r="U283" s="77">
        <v>0</v>
      </c>
      <c r="V283" s="77">
        <v>97</v>
      </c>
      <c r="W283" s="81" t="s">
        <v>678</v>
      </c>
      <c r="X283" s="83" t="str">
        <f>HYPERLINK("https://bit.ly/3YIJPKw")</f>
        <v>https://bit.ly/3YIJPKw</v>
      </c>
      <c r="Y283" s="77" t="s">
        <v>740</v>
      </c>
      <c r="Z283" s="77" t="s">
        <v>763</v>
      </c>
      <c r="AA283" s="77"/>
      <c r="AB283" s="77"/>
      <c r="AC283" s="81" t="s">
        <v>853</v>
      </c>
      <c r="AD283" s="77" t="s">
        <v>859</v>
      </c>
      <c r="AE283" s="83" t="str">
        <f>HYPERLINK("https://twitter.com/mihkal/status/1694094340023259162")</f>
        <v>https://twitter.com/mihkal/status/1694094340023259162</v>
      </c>
      <c r="AF283" s="79">
        <v>45160.88125</v>
      </c>
      <c r="AG283" s="85">
        <v>45160</v>
      </c>
      <c r="AH283" s="81" t="s">
        <v>892</v>
      </c>
      <c r="AI283" s="77" t="b">
        <v>0</v>
      </c>
      <c r="AJ283" s="77"/>
      <c r="AK283" s="77"/>
      <c r="AL283" s="77"/>
      <c r="AM283" s="77"/>
      <c r="AN283" s="77"/>
      <c r="AO283" s="77"/>
      <c r="AP283" s="77"/>
      <c r="AQ283" s="77"/>
      <c r="AR283" s="77"/>
      <c r="AS283" s="77"/>
      <c r="AT283" s="77"/>
      <c r="AU283" s="77"/>
      <c r="AV283" s="83" t="str">
        <f>HYPERLINK("https://pbs.twimg.com/profile_images/1663227887837757440/XOjtFF4W_normal.jpg")</f>
        <v>https://pbs.twimg.com/profile_images/1663227887837757440/XOjtFF4W_normal.jpg</v>
      </c>
      <c r="AW283" s="81" t="s">
        <v>1047</v>
      </c>
      <c r="AX283" s="81" t="s">
        <v>1047</v>
      </c>
      <c r="AY283" s="77"/>
      <c r="AZ283" s="81" t="s">
        <v>1190</v>
      </c>
      <c r="BA283" s="81" t="s">
        <v>1190</v>
      </c>
      <c r="BB283" s="81" t="s">
        <v>1190</v>
      </c>
      <c r="BC283" s="81" t="s">
        <v>1047</v>
      </c>
      <c r="BD283" s="77">
        <v>24256031</v>
      </c>
      <c r="BE283" s="77"/>
      <c r="BF283" s="77"/>
      <c r="BG283" s="77"/>
      <c r="BH283" s="77"/>
      <c r="BI283" s="77"/>
      <c r="BJ283">
        <v>2</v>
      </c>
      <c r="BK283" s="76" t="str">
        <f>REPLACE(INDEX(GroupVertices[Group],MATCH(Edges[[#This Row],[Vertex 1]],GroupVertices[Vertex],0)),1,1,"")</f>
        <v>1</v>
      </c>
      <c r="BL283" s="76" t="str">
        <f>REPLACE(INDEX(GroupVertices[Group],MATCH(Edges[[#This Row],[Vertex 2]],GroupVertices[Vertex],0)),1,1,"")</f>
        <v>1</v>
      </c>
      <c r="BM283" s="45">
        <v>1</v>
      </c>
      <c r="BN283" s="46">
        <v>4.761904761904762</v>
      </c>
      <c r="BO283" s="45">
        <v>0</v>
      </c>
      <c r="BP283" s="46">
        <v>0</v>
      </c>
      <c r="BQ283" s="45">
        <v>0</v>
      </c>
      <c r="BR283" s="46">
        <v>0</v>
      </c>
      <c r="BS283" s="45">
        <v>19</v>
      </c>
      <c r="BT283" s="46">
        <v>90.47619047619048</v>
      </c>
      <c r="BU283" s="45">
        <v>21</v>
      </c>
    </row>
    <row r="284" spans="1:73" ht="15">
      <c r="A284" s="61" t="s">
        <v>229</v>
      </c>
      <c r="B284" s="61" t="s">
        <v>379</v>
      </c>
      <c r="C284" s="62" t="s">
        <v>11693</v>
      </c>
      <c r="D284" s="63">
        <v>4.4</v>
      </c>
      <c r="E284" s="64" t="s">
        <v>132</v>
      </c>
      <c r="F284" s="65">
        <v>27.6</v>
      </c>
      <c r="G284" s="62"/>
      <c r="H284" s="66"/>
      <c r="I284" s="67"/>
      <c r="J284" s="67"/>
      <c r="K284" s="31" t="s">
        <v>65</v>
      </c>
      <c r="L284" s="75">
        <v>284</v>
      </c>
      <c r="M284" s="75"/>
      <c r="N284" s="69"/>
      <c r="O284" s="77" t="s">
        <v>539</v>
      </c>
      <c r="P284" s="79">
        <v>45162.27140046296</v>
      </c>
      <c r="Q284" s="77" t="s">
        <v>574</v>
      </c>
      <c r="R284" s="77">
        <v>0</v>
      </c>
      <c r="S284" s="77">
        <v>5</v>
      </c>
      <c r="T284" s="77">
        <v>0</v>
      </c>
      <c r="U284" s="77">
        <v>0</v>
      </c>
      <c r="V284" s="77">
        <v>74</v>
      </c>
      <c r="W284" s="81" t="s">
        <v>684</v>
      </c>
      <c r="X284" s="83" t="str">
        <f>HYPERLINK("https://bit.ly/3QQBRgg")</f>
        <v>https://bit.ly/3QQBRgg</v>
      </c>
      <c r="Y284" s="77" t="s">
        <v>740</v>
      </c>
      <c r="Z284" s="77" t="s">
        <v>772</v>
      </c>
      <c r="AA284" s="77"/>
      <c r="AB284" s="77"/>
      <c r="AC284" s="81" t="s">
        <v>853</v>
      </c>
      <c r="AD284" s="77" t="s">
        <v>866</v>
      </c>
      <c r="AE284" s="83" t="str">
        <f>HYPERLINK("https://twitter.com/mihkal/status/1694598113590161716")</f>
        <v>https://twitter.com/mihkal/status/1694598113590161716</v>
      </c>
      <c r="AF284" s="79">
        <v>45162.27140046296</v>
      </c>
      <c r="AG284" s="85">
        <v>45162</v>
      </c>
      <c r="AH284" s="81" t="s">
        <v>901</v>
      </c>
      <c r="AI284" s="77" t="b">
        <v>0</v>
      </c>
      <c r="AJ284" s="77"/>
      <c r="AK284" s="77"/>
      <c r="AL284" s="77"/>
      <c r="AM284" s="77"/>
      <c r="AN284" s="77"/>
      <c r="AO284" s="77"/>
      <c r="AP284" s="77"/>
      <c r="AQ284" s="77"/>
      <c r="AR284" s="77"/>
      <c r="AS284" s="77"/>
      <c r="AT284" s="77"/>
      <c r="AU284" s="77"/>
      <c r="AV284" s="83" t="str">
        <f>HYPERLINK("https://pbs.twimg.com/profile_images/1663227887837757440/XOjtFF4W_normal.jpg")</f>
        <v>https://pbs.twimg.com/profile_images/1663227887837757440/XOjtFF4W_normal.jpg</v>
      </c>
      <c r="AW284" s="81" t="s">
        <v>1056</v>
      </c>
      <c r="AX284" s="81" t="s">
        <v>1056</v>
      </c>
      <c r="AY284" s="77"/>
      <c r="AZ284" s="81" t="s">
        <v>1190</v>
      </c>
      <c r="BA284" s="81" t="s">
        <v>1190</v>
      </c>
      <c r="BB284" s="81" t="s">
        <v>1190</v>
      </c>
      <c r="BC284" s="81" t="s">
        <v>1056</v>
      </c>
      <c r="BD284" s="77">
        <v>24256031</v>
      </c>
      <c r="BE284" s="77"/>
      <c r="BF284" s="77"/>
      <c r="BG284" s="77"/>
      <c r="BH284" s="77"/>
      <c r="BI284" s="77"/>
      <c r="BJ284">
        <v>2</v>
      </c>
      <c r="BK284" s="76" t="str">
        <f>REPLACE(INDEX(GroupVertices[Group],MATCH(Edges[[#This Row],[Vertex 1]],GroupVertices[Vertex],0)),1,1,"")</f>
        <v>1</v>
      </c>
      <c r="BL284" s="76" t="str">
        <f>REPLACE(INDEX(GroupVertices[Group],MATCH(Edges[[#This Row],[Vertex 2]],GroupVertices[Vertex],0)),1,1,"")</f>
        <v>1</v>
      </c>
      <c r="BM284" s="45"/>
      <c r="BN284" s="46"/>
      <c r="BO284" s="45"/>
      <c r="BP284" s="46"/>
      <c r="BQ284" s="45"/>
      <c r="BR284" s="46"/>
      <c r="BS284" s="45"/>
      <c r="BT284" s="46"/>
      <c r="BU284" s="45"/>
    </row>
    <row r="285" spans="1:73" ht="15">
      <c r="A285" s="61" t="s">
        <v>229</v>
      </c>
      <c r="B285" s="61" t="s">
        <v>380</v>
      </c>
      <c r="C285" s="62" t="s">
        <v>11693</v>
      </c>
      <c r="D285" s="63">
        <v>4.4</v>
      </c>
      <c r="E285" s="64" t="s">
        <v>132</v>
      </c>
      <c r="F285" s="65">
        <v>27.6</v>
      </c>
      <c r="G285" s="62"/>
      <c r="H285" s="66"/>
      <c r="I285" s="67"/>
      <c r="J285" s="67"/>
      <c r="K285" s="31" t="s">
        <v>65</v>
      </c>
      <c r="L285" s="75">
        <v>285</v>
      </c>
      <c r="M285" s="75"/>
      <c r="N285" s="69"/>
      <c r="O285" s="77" t="s">
        <v>539</v>
      </c>
      <c r="P285" s="79">
        <v>45153.73174768518</v>
      </c>
      <c r="Q285" s="77" t="s">
        <v>568</v>
      </c>
      <c r="R285" s="77">
        <v>0</v>
      </c>
      <c r="S285" s="77">
        <v>5</v>
      </c>
      <c r="T285" s="77">
        <v>0</v>
      </c>
      <c r="U285" s="77">
        <v>0</v>
      </c>
      <c r="V285" s="77">
        <v>309</v>
      </c>
      <c r="W285" s="81" t="s">
        <v>681</v>
      </c>
      <c r="X285" s="83" t="str">
        <f>HYPERLINK("https://bit.ly/3OSFbpT")</f>
        <v>https://bit.ly/3OSFbpT</v>
      </c>
      <c r="Y285" s="77" t="s">
        <v>740</v>
      </c>
      <c r="Z285" s="77" t="s">
        <v>766</v>
      </c>
      <c r="AA285" s="77"/>
      <c r="AB285" s="77"/>
      <c r="AC285" s="81" t="s">
        <v>853</v>
      </c>
      <c r="AD285" s="77" t="s">
        <v>859</v>
      </c>
      <c r="AE285" s="83" t="str">
        <f>HYPERLINK("https://twitter.com/mihkal/status/1691503450989666304")</f>
        <v>https://twitter.com/mihkal/status/1691503450989666304</v>
      </c>
      <c r="AF285" s="79">
        <v>45153.73174768518</v>
      </c>
      <c r="AG285" s="85">
        <v>45153</v>
      </c>
      <c r="AH285" s="81" t="s">
        <v>895</v>
      </c>
      <c r="AI285" s="77" t="b">
        <v>0</v>
      </c>
      <c r="AJ285" s="77"/>
      <c r="AK285" s="77"/>
      <c r="AL285" s="77"/>
      <c r="AM285" s="77"/>
      <c r="AN285" s="77"/>
      <c r="AO285" s="77"/>
      <c r="AP285" s="77"/>
      <c r="AQ285" s="77"/>
      <c r="AR285" s="77"/>
      <c r="AS285" s="77"/>
      <c r="AT285" s="77"/>
      <c r="AU285" s="77"/>
      <c r="AV285" s="83" t="str">
        <f>HYPERLINK("https://pbs.twimg.com/profile_images/1663227887837757440/XOjtFF4W_normal.jpg")</f>
        <v>https://pbs.twimg.com/profile_images/1663227887837757440/XOjtFF4W_normal.jpg</v>
      </c>
      <c r="AW285" s="81" t="s">
        <v>1050</v>
      </c>
      <c r="AX285" s="81" t="s">
        <v>1050</v>
      </c>
      <c r="AY285" s="77"/>
      <c r="AZ285" s="81" t="s">
        <v>1190</v>
      </c>
      <c r="BA285" s="81" t="s">
        <v>1190</v>
      </c>
      <c r="BB285" s="81" t="s">
        <v>1190</v>
      </c>
      <c r="BC285" s="81" t="s">
        <v>1050</v>
      </c>
      <c r="BD285" s="77">
        <v>24256031</v>
      </c>
      <c r="BE285" s="77"/>
      <c r="BF285" s="77"/>
      <c r="BG285" s="77"/>
      <c r="BH285" s="77"/>
      <c r="BI285" s="77"/>
      <c r="BJ285">
        <v>2</v>
      </c>
      <c r="BK285" s="76" t="str">
        <f>REPLACE(INDEX(GroupVertices[Group],MATCH(Edges[[#This Row],[Vertex 1]],GroupVertices[Vertex],0)),1,1,"")</f>
        <v>1</v>
      </c>
      <c r="BL285" s="76" t="str">
        <f>REPLACE(INDEX(GroupVertices[Group],MATCH(Edges[[#This Row],[Vertex 2]],GroupVertices[Vertex],0)),1,1,"")</f>
        <v>1</v>
      </c>
      <c r="BM285" s="45"/>
      <c r="BN285" s="46"/>
      <c r="BO285" s="45"/>
      <c r="BP285" s="46"/>
      <c r="BQ285" s="45"/>
      <c r="BR285" s="46"/>
      <c r="BS285" s="45"/>
      <c r="BT285" s="46"/>
      <c r="BU285" s="45"/>
    </row>
    <row r="286" spans="1:73" ht="15">
      <c r="A286" s="61" t="s">
        <v>229</v>
      </c>
      <c r="B286" s="61" t="s">
        <v>380</v>
      </c>
      <c r="C286" s="62" t="s">
        <v>11693</v>
      </c>
      <c r="D286" s="63">
        <v>4.4</v>
      </c>
      <c r="E286" s="64" t="s">
        <v>132</v>
      </c>
      <c r="F286" s="65">
        <v>27.6</v>
      </c>
      <c r="G286" s="62"/>
      <c r="H286" s="66"/>
      <c r="I286" s="67"/>
      <c r="J286" s="67"/>
      <c r="K286" s="31" t="s">
        <v>65</v>
      </c>
      <c r="L286" s="75">
        <v>286</v>
      </c>
      <c r="M286" s="75"/>
      <c r="N286" s="69"/>
      <c r="O286" s="77" t="s">
        <v>539</v>
      </c>
      <c r="P286" s="79">
        <v>45162.27140046296</v>
      </c>
      <c r="Q286" s="77" t="s">
        <v>574</v>
      </c>
      <c r="R286" s="77">
        <v>0</v>
      </c>
      <c r="S286" s="77">
        <v>5</v>
      </c>
      <c r="T286" s="77">
        <v>0</v>
      </c>
      <c r="U286" s="77">
        <v>0</v>
      </c>
      <c r="V286" s="77">
        <v>74</v>
      </c>
      <c r="W286" s="81" t="s">
        <v>684</v>
      </c>
      <c r="X286" s="83" t="str">
        <f>HYPERLINK("https://bit.ly/3QQBRgg")</f>
        <v>https://bit.ly/3QQBRgg</v>
      </c>
      <c r="Y286" s="77" t="s">
        <v>740</v>
      </c>
      <c r="Z286" s="77" t="s">
        <v>772</v>
      </c>
      <c r="AA286" s="77"/>
      <c r="AB286" s="77"/>
      <c r="AC286" s="81" t="s">
        <v>853</v>
      </c>
      <c r="AD286" s="77" t="s">
        <v>866</v>
      </c>
      <c r="AE286" s="83" t="str">
        <f>HYPERLINK("https://twitter.com/mihkal/status/1694598113590161716")</f>
        <v>https://twitter.com/mihkal/status/1694598113590161716</v>
      </c>
      <c r="AF286" s="79">
        <v>45162.27140046296</v>
      </c>
      <c r="AG286" s="85">
        <v>45162</v>
      </c>
      <c r="AH286" s="81" t="s">
        <v>901</v>
      </c>
      <c r="AI286" s="77" t="b">
        <v>0</v>
      </c>
      <c r="AJ286" s="77"/>
      <c r="AK286" s="77"/>
      <c r="AL286" s="77"/>
      <c r="AM286" s="77"/>
      <c r="AN286" s="77"/>
      <c r="AO286" s="77"/>
      <c r="AP286" s="77"/>
      <c r="AQ286" s="77"/>
      <c r="AR286" s="77"/>
      <c r="AS286" s="77"/>
      <c r="AT286" s="77"/>
      <c r="AU286" s="77"/>
      <c r="AV286" s="83" t="str">
        <f>HYPERLINK("https://pbs.twimg.com/profile_images/1663227887837757440/XOjtFF4W_normal.jpg")</f>
        <v>https://pbs.twimg.com/profile_images/1663227887837757440/XOjtFF4W_normal.jpg</v>
      </c>
      <c r="AW286" s="81" t="s">
        <v>1056</v>
      </c>
      <c r="AX286" s="81" t="s">
        <v>1056</v>
      </c>
      <c r="AY286" s="77"/>
      <c r="AZ286" s="81" t="s">
        <v>1190</v>
      </c>
      <c r="BA286" s="81" t="s">
        <v>1190</v>
      </c>
      <c r="BB286" s="81" t="s">
        <v>1190</v>
      </c>
      <c r="BC286" s="81" t="s">
        <v>1056</v>
      </c>
      <c r="BD286" s="77">
        <v>24256031</v>
      </c>
      <c r="BE286" s="77"/>
      <c r="BF286" s="77"/>
      <c r="BG286" s="77"/>
      <c r="BH286" s="77"/>
      <c r="BI286" s="77"/>
      <c r="BJ286">
        <v>2</v>
      </c>
      <c r="BK286" s="76" t="str">
        <f>REPLACE(INDEX(GroupVertices[Group],MATCH(Edges[[#This Row],[Vertex 1]],GroupVertices[Vertex],0)),1,1,"")</f>
        <v>1</v>
      </c>
      <c r="BL286" s="76" t="str">
        <f>REPLACE(INDEX(GroupVertices[Group],MATCH(Edges[[#This Row],[Vertex 2]],GroupVertices[Vertex],0)),1,1,"")</f>
        <v>1</v>
      </c>
      <c r="BM286" s="45"/>
      <c r="BN286" s="46"/>
      <c r="BO286" s="45"/>
      <c r="BP286" s="46"/>
      <c r="BQ286" s="45"/>
      <c r="BR286" s="46"/>
      <c r="BS286" s="45"/>
      <c r="BT286" s="46"/>
      <c r="BU286" s="45"/>
    </row>
    <row r="287" spans="1:73" ht="15">
      <c r="A287" s="61" t="s">
        <v>229</v>
      </c>
      <c r="B287" s="61" t="s">
        <v>381</v>
      </c>
      <c r="C287" s="62" t="s">
        <v>11692</v>
      </c>
      <c r="D287" s="63">
        <v>3</v>
      </c>
      <c r="E287" s="64" t="s">
        <v>132</v>
      </c>
      <c r="F287" s="65">
        <v>32</v>
      </c>
      <c r="G287" s="62"/>
      <c r="H287" s="66"/>
      <c r="I287" s="67"/>
      <c r="J287" s="67"/>
      <c r="K287" s="31" t="s">
        <v>65</v>
      </c>
      <c r="L287" s="75">
        <v>287</v>
      </c>
      <c r="M287" s="75"/>
      <c r="N287" s="69"/>
      <c r="O287" s="77" t="s">
        <v>539</v>
      </c>
      <c r="P287" s="79">
        <v>45162.27140046296</v>
      </c>
      <c r="Q287" s="77" t="s">
        <v>574</v>
      </c>
      <c r="R287" s="77">
        <v>0</v>
      </c>
      <c r="S287" s="77">
        <v>5</v>
      </c>
      <c r="T287" s="77">
        <v>0</v>
      </c>
      <c r="U287" s="77">
        <v>0</v>
      </c>
      <c r="V287" s="77">
        <v>74</v>
      </c>
      <c r="W287" s="81" t="s">
        <v>684</v>
      </c>
      <c r="X287" s="83" t="str">
        <f>HYPERLINK("https://bit.ly/3QQBRgg")</f>
        <v>https://bit.ly/3QQBRgg</v>
      </c>
      <c r="Y287" s="77" t="s">
        <v>740</v>
      </c>
      <c r="Z287" s="77" t="s">
        <v>772</v>
      </c>
      <c r="AA287" s="77"/>
      <c r="AB287" s="77"/>
      <c r="AC287" s="81" t="s">
        <v>853</v>
      </c>
      <c r="AD287" s="77" t="s">
        <v>866</v>
      </c>
      <c r="AE287" s="83" t="str">
        <f>HYPERLINK("https://twitter.com/mihkal/status/1694598113590161716")</f>
        <v>https://twitter.com/mihkal/status/1694598113590161716</v>
      </c>
      <c r="AF287" s="79">
        <v>45162.27140046296</v>
      </c>
      <c r="AG287" s="85">
        <v>45162</v>
      </c>
      <c r="AH287" s="81" t="s">
        <v>901</v>
      </c>
      <c r="AI287" s="77" t="b">
        <v>0</v>
      </c>
      <c r="AJ287" s="77"/>
      <c r="AK287" s="77"/>
      <c r="AL287" s="77"/>
      <c r="AM287" s="77"/>
      <c r="AN287" s="77"/>
      <c r="AO287" s="77"/>
      <c r="AP287" s="77"/>
      <c r="AQ287" s="77"/>
      <c r="AR287" s="77"/>
      <c r="AS287" s="77"/>
      <c r="AT287" s="77"/>
      <c r="AU287" s="77"/>
      <c r="AV287" s="83" t="str">
        <f>HYPERLINK("https://pbs.twimg.com/profile_images/1663227887837757440/XOjtFF4W_normal.jpg")</f>
        <v>https://pbs.twimg.com/profile_images/1663227887837757440/XOjtFF4W_normal.jpg</v>
      </c>
      <c r="AW287" s="81" t="s">
        <v>1056</v>
      </c>
      <c r="AX287" s="81" t="s">
        <v>1056</v>
      </c>
      <c r="AY287" s="77"/>
      <c r="AZ287" s="81" t="s">
        <v>1190</v>
      </c>
      <c r="BA287" s="81" t="s">
        <v>1190</v>
      </c>
      <c r="BB287" s="81" t="s">
        <v>1190</v>
      </c>
      <c r="BC287" s="81" t="s">
        <v>1056</v>
      </c>
      <c r="BD287" s="77">
        <v>24256031</v>
      </c>
      <c r="BE287" s="77"/>
      <c r="BF287" s="77"/>
      <c r="BG287" s="77"/>
      <c r="BH287" s="77"/>
      <c r="BI287" s="77"/>
      <c r="BJ287">
        <v>1</v>
      </c>
      <c r="BK287" s="76" t="str">
        <f>REPLACE(INDEX(GroupVertices[Group],MATCH(Edges[[#This Row],[Vertex 1]],GroupVertices[Vertex],0)),1,1,"")</f>
        <v>1</v>
      </c>
      <c r="BL287" s="76" t="str">
        <f>REPLACE(INDEX(GroupVertices[Group],MATCH(Edges[[#This Row],[Vertex 2]],GroupVertices[Vertex],0)),1,1,"")</f>
        <v>1</v>
      </c>
      <c r="BM287" s="45"/>
      <c r="BN287" s="46"/>
      <c r="BO287" s="45"/>
      <c r="BP287" s="46"/>
      <c r="BQ287" s="45"/>
      <c r="BR287" s="46"/>
      <c r="BS287" s="45"/>
      <c r="BT287" s="46"/>
      <c r="BU287" s="45"/>
    </row>
    <row r="288" spans="1:73" ht="15">
      <c r="A288" s="61" t="s">
        <v>229</v>
      </c>
      <c r="B288" s="61" t="s">
        <v>382</v>
      </c>
      <c r="C288" s="62" t="s">
        <v>11693</v>
      </c>
      <c r="D288" s="63">
        <v>4.4</v>
      </c>
      <c r="E288" s="64" t="s">
        <v>132</v>
      </c>
      <c r="F288" s="65">
        <v>27.6</v>
      </c>
      <c r="G288" s="62"/>
      <c r="H288" s="66"/>
      <c r="I288" s="67"/>
      <c r="J288" s="67"/>
      <c r="K288" s="31" t="s">
        <v>65</v>
      </c>
      <c r="L288" s="75">
        <v>288</v>
      </c>
      <c r="M288" s="75"/>
      <c r="N288" s="69"/>
      <c r="O288" s="77" t="s">
        <v>539</v>
      </c>
      <c r="P288" s="79">
        <v>45163.71129629629</v>
      </c>
      <c r="Q288" s="77" t="s">
        <v>566</v>
      </c>
      <c r="R288" s="77">
        <v>0</v>
      </c>
      <c r="S288" s="77">
        <v>6</v>
      </c>
      <c r="T288" s="77">
        <v>1</v>
      </c>
      <c r="U288" s="77">
        <v>0</v>
      </c>
      <c r="V288" s="77">
        <v>122</v>
      </c>
      <c r="W288" s="81" t="s">
        <v>679</v>
      </c>
      <c r="X288" s="83" t="str">
        <f>HYPERLINK("https://bit.ly/44lcKFG")</f>
        <v>https://bit.ly/44lcKFG</v>
      </c>
      <c r="Y288" s="77" t="s">
        <v>740</v>
      </c>
      <c r="Z288" s="77" t="s">
        <v>764</v>
      </c>
      <c r="AA288" s="77"/>
      <c r="AB288" s="77"/>
      <c r="AC288" s="81" t="s">
        <v>853</v>
      </c>
      <c r="AD288" s="77" t="s">
        <v>859</v>
      </c>
      <c r="AE288" s="83" t="str">
        <f>HYPERLINK("https://twitter.com/mihkal/status/1695119915429085633")</f>
        <v>https://twitter.com/mihkal/status/1695119915429085633</v>
      </c>
      <c r="AF288" s="79">
        <v>45163.71129629629</v>
      </c>
      <c r="AG288" s="85">
        <v>45163</v>
      </c>
      <c r="AH288" s="81" t="s">
        <v>893</v>
      </c>
      <c r="AI288" s="77" t="b">
        <v>0</v>
      </c>
      <c r="AJ288" s="77"/>
      <c r="AK288" s="77"/>
      <c r="AL288" s="77"/>
      <c r="AM288" s="77"/>
      <c r="AN288" s="77"/>
      <c r="AO288" s="77"/>
      <c r="AP288" s="77"/>
      <c r="AQ288" s="77"/>
      <c r="AR288" s="77"/>
      <c r="AS288" s="77"/>
      <c r="AT288" s="77"/>
      <c r="AU288" s="77"/>
      <c r="AV288" s="83" t="str">
        <f>HYPERLINK("https://pbs.twimg.com/profile_images/1663227887837757440/XOjtFF4W_normal.jpg")</f>
        <v>https://pbs.twimg.com/profile_images/1663227887837757440/XOjtFF4W_normal.jpg</v>
      </c>
      <c r="AW288" s="81" t="s">
        <v>1048</v>
      </c>
      <c r="AX288" s="81" t="s">
        <v>1048</v>
      </c>
      <c r="AY288" s="77"/>
      <c r="AZ288" s="81" t="s">
        <v>1190</v>
      </c>
      <c r="BA288" s="81" t="s">
        <v>1190</v>
      </c>
      <c r="BB288" s="81" t="s">
        <v>1190</v>
      </c>
      <c r="BC288" s="81" t="s">
        <v>1048</v>
      </c>
      <c r="BD288" s="77">
        <v>24256031</v>
      </c>
      <c r="BE288" s="77"/>
      <c r="BF288" s="77"/>
      <c r="BG288" s="77"/>
      <c r="BH288" s="77"/>
      <c r="BI288" s="77"/>
      <c r="BJ288">
        <v>2</v>
      </c>
      <c r="BK288" s="76" t="str">
        <f>REPLACE(INDEX(GroupVertices[Group],MATCH(Edges[[#This Row],[Vertex 1]],GroupVertices[Vertex],0)),1,1,"")</f>
        <v>1</v>
      </c>
      <c r="BL288" s="76" t="str">
        <f>REPLACE(INDEX(GroupVertices[Group],MATCH(Edges[[#This Row],[Vertex 2]],GroupVertices[Vertex],0)),1,1,"")</f>
        <v>1</v>
      </c>
      <c r="BM288" s="45">
        <v>1</v>
      </c>
      <c r="BN288" s="46">
        <v>5.2631578947368425</v>
      </c>
      <c r="BO288" s="45">
        <v>0</v>
      </c>
      <c r="BP288" s="46">
        <v>0</v>
      </c>
      <c r="BQ288" s="45">
        <v>0</v>
      </c>
      <c r="BR288" s="46">
        <v>0</v>
      </c>
      <c r="BS288" s="45">
        <v>17</v>
      </c>
      <c r="BT288" s="46">
        <v>89.47368421052632</v>
      </c>
      <c r="BU288" s="45">
        <v>19</v>
      </c>
    </row>
    <row r="289" spans="1:73" ht="15">
      <c r="A289" s="61" t="s">
        <v>229</v>
      </c>
      <c r="B289" s="61" t="s">
        <v>382</v>
      </c>
      <c r="C289" s="62" t="s">
        <v>11693</v>
      </c>
      <c r="D289" s="63">
        <v>4.4</v>
      </c>
      <c r="E289" s="64" t="s">
        <v>132</v>
      </c>
      <c r="F289" s="65">
        <v>27.6</v>
      </c>
      <c r="G289" s="62"/>
      <c r="H289" s="66"/>
      <c r="I289" s="67"/>
      <c r="J289" s="67"/>
      <c r="K289" s="31" t="s">
        <v>65</v>
      </c>
      <c r="L289" s="75">
        <v>289</v>
      </c>
      <c r="M289" s="75"/>
      <c r="N289" s="69"/>
      <c r="O289" s="77" t="s">
        <v>539</v>
      </c>
      <c r="P289" s="79">
        <v>45162.27140046296</v>
      </c>
      <c r="Q289" s="77" t="s">
        <v>574</v>
      </c>
      <c r="R289" s="77">
        <v>0</v>
      </c>
      <c r="S289" s="77">
        <v>5</v>
      </c>
      <c r="T289" s="77">
        <v>0</v>
      </c>
      <c r="U289" s="77">
        <v>0</v>
      </c>
      <c r="V289" s="77">
        <v>74</v>
      </c>
      <c r="W289" s="81" t="s">
        <v>684</v>
      </c>
      <c r="X289" s="83" t="str">
        <f>HYPERLINK("https://bit.ly/3QQBRgg")</f>
        <v>https://bit.ly/3QQBRgg</v>
      </c>
      <c r="Y289" s="77" t="s">
        <v>740</v>
      </c>
      <c r="Z289" s="77" t="s">
        <v>772</v>
      </c>
      <c r="AA289" s="77"/>
      <c r="AB289" s="77"/>
      <c r="AC289" s="81" t="s">
        <v>853</v>
      </c>
      <c r="AD289" s="77" t="s">
        <v>866</v>
      </c>
      <c r="AE289" s="83" t="str">
        <f>HYPERLINK("https://twitter.com/mihkal/status/1694598113590161716")</f>
        <v>https://twitter.com/mihkal/status/1694598113590161716</v>
      </c>
      <c r="AF289" s="79">
        <v>45162.27140046296</v>
      </c>
      <c r="AG289" s="85">
        <v>45162</v>
      </c>
      <c r="AH289" s="81" t="s">
        <v>901</v>
      </c>
      <c r="AI289" s="77" t="b">
        <v>0</v>
      </c>
      <c r="AJ289" s="77"/>
      <c r="AK289" s="77"/>
      <c r="AL289" s="77"/>
      <c r="AM289" s="77"/>
      <c r="AN289" s="77"/>
      <c r="AO289" s="77"/>
      <c r="AP289" s="77"/>
      <c r="AQ289" s="77"/>
      <c r="AR289" s="77"/>
      <c r="AS289" s="77"/>
      <c r="AT289" s="77"/>
      <c r="AU289" s="77"/>
      <c r="AV289" s="83" t="str">
        <f>HYPERLINK("https://pbs.twimg.com/profile_images/1663227887837757440/XOjtFF4W_normal.jpg")</f>
        <v>https://pbs.twimg.com/profile_images/1663227887837757440/XOjtFF4W_normal.jpg</v>
      </c>
      <c r="AW289" s="81" t="s">
        <v>1056</v>
      </c>
      <c r="AX289" s="81" t="s">
        <v>1056</v>
      </c>
      <c r="AY289" s="77"/>
      <c r="AZ289" s="81" t="s">
        <v>1190</v>
      </c>
      <c r="BA289" s="81" t="s">
        <v>1190</v>
      </c>
      <c r="BB289" s="81" t="s">
        <v>1190</v>
      </c>
      <c r="BC289" s="81" t="s">
        <v>1056</v>
      </c>
      <c r="BD289" s="77">
        <v>24256031</v>
      </c>
      <c r="BE289" s="77"/>
      <c r="BF289" s="77"/>
      <c r="BG289" s="77"/>
      <c r="BH289" s="77"/>
      <c r="BI289" s="77"/>
      <c r="BJ289">
        <v>2</v>
      </c>
      <c r="BK289" s="76" t="str">
        <f>REPLACE(INDEX(GroupVertices[Group],MATCH(Edges[[#This Row],[Vertex 1]],GroupVertices[Vertex],0)),1,1,"")</f>
        <v>1</v>
      </c>
      <c r="BL289" s="76" t="str">
        <f>REPLACE(INDEX(GroupVertices[Group],MATCH(Edges[[#This Row],[Vertex 2]],GroupVertices[Vertex],0)),1,1,"")</f>
        <v>1</v>
      </c>
      <c r="BM289" s="45"/>
      <c r="BN289" s="46"/>
      <c r="BO289" s="45"/>
      <c r="BP289" s="46"/>
      <c r="BQ289" s="45"/>
      <c r="BR289" s="46"/>
      <c r="BS289" s="45"/>
      <c r="BT289" s="46"/>
      <c r="BU289" s="45"/>
    </row>
    <row r="290" spans="1:73" ht="15">
      <c r="A290" s="61" t="s">
        <v>229</v>
      </c>
      <c r="B290" s="61" t="s">
        <v>383</v>
      </c>
      <c r="C290" s="62" t="s">
        <v>11692</v>
      </c>
      <c r="D290" s="63">
        <v>3</v>
      </c>
      <c r="E290" s="64" t="s">
        <v>132</v>
      </c>
      <c r="F290" s="65">
        <v>32</v>
      </c>
      <c r="G290" s="62"/>
      <c r="H290" s="66"/>
      <c r="I290" s="67"/>
      <c r="J290" s="67"/>
      <c r="K290" s="31" t="s">
        <v>65</v>
      </c>
      <c r="L290" s="75">
        <v>290</v>
      </c>
      <c r="M290" s="75"/>
      <c r="N290" s="69"/>
      <c r="O290" s="77" t="s">
        <v>539</v>
      </c>
      <c r="P290" s="79">
        <v>45162.27140046296</v>
      </c>
      <c r="Q290" s="77" t="s">
        <v>574</v>
      </c>
      <c r="R290" s="77">
        <v>0</v>
      </c>
      <c r="S290" s="77">
        <v>5</v>
      </c>
      <c r="T290" s="77">
        <v>0</v>
      </c>
      <c r="U290" s="77">
        <v>0</v>
      </c>
      <c r="V290" s="77">
        <v>74</v>
      </c>
      <c r="W290" s="81" t="s">
        <v>684</v>
      </c>
      <c r="X290" s="83" t="str">
        <f>HYPERLINK("https://bit.ly/3QQBRgg")</f>
        <v>https://bit.ly/3QQBRgg</v>
      </c>
      <c r="Y290" s="77" t="s">
        <v>740</v>
      </c>
      <c r="Z290" s="77" t="s">
        <v>772</v>
      </c>
      <c r="AA290" s="77"/>
      <c r="AB290" s="77"/>
      <c r="AC290" s="81" t="s">
        <v>853</v>
      </c>
      <c r="AD290" s="77" t="s">
        <v>866</v>
      </c>
      <c r="AE290" s="83" t="str">
        <f>HYPERLINK("https://twitter.com/mihkal/status/1694598113590161716")</f>
        <v>https://twitter.com/mihkal/status/1694598113590161716</v>
      </c>
      <c r="AF290" s="79">
        <v>45162.27140046296</v>
      </c>
      <c r="AG290" s="85">
        <v>45162</v>
      </c>
      <c r="AH290" s="81" t="s">
        <v>901</v>
      </c>
      <c r="AI290" s="77" t="b">
        <v>0</v>
      </c>
      <c r="AJ290" s="77"/>
      <c r="AK290" s="77"/>
      <c r="AL290" s="77"/>
      <c r="AM290" s="77"/>
      <c r="AN290" s="77"/>
      <c r="AO290" s="77"/>
      <c r="AP290" s="77"/>
      <c r="AQ290" s="77"/>
      <c r="AR290" s="77"/>
      <c r="AS290" s="77"/>
      <c r="AT290" s="77"/>
      <c r="AU290" s="77"/>
      <c r="AV290" s="83" t="str">
        <f>HYPERLINK("https://pbs.twimg.com/profile_images/1663227887837757440/XOjtFF4W_normal.jpg")</f>
        <v>https://pbs.twimg.com/profile_images/1663227887837757440/XOjtFF4W_normal.jpg</v>
      </c>
      <c r="AW290" s="81" t="s">
        <v>1056</v>
      </c>
      <c r="AX290" s="81" t="s">
        <v>1056</v>
      </c>
      <c r="AY290" s="77"/>
      <c r="AZ290" s="81" t="s">
        <v>1190</v>
      </c>
      <c r="BA290" s="81" t="s">
        <v>1190</v>
      </c>
      <c r="BB290" s="81" t="s">
        <v>1190</v>
      </c>
      <c r="BC290" s="81" t="s">
        <v>1056</v>
      </c>
      <c r="BD290" s="77">
        <v>24256031</v>
      </c>
      <c r="BE290" s="77"/>
      <c r="BF290" s="77"/>
      <c r="BG290" s="77"/>
      <c r="BH290" s="77"/>
      <c r="BI290" s="77"/>
      <c r="BJ290">
        <v>1</v>
      </c>
      <c r="BK290" s="76" t="str">
        <f>REPLACE(INDEX(GroupVertices[Group],MATCH(Edges[[#This Row],[Vertex 1]],GroupVertices[Vertex],0)),1,1,"")</f>
        <v>1</v>
      </c>
      <c r="BL290" s="76" t="str">
        <f>REPLACE(INDEX(GroupVertices[Group],MATCH(Edges[[#This Row],[Vertex 2]],GroupVertices[Vertex],0)),1,1,"")</f>
        <v>1</v>
      </c>
      <c r="BM290" s="45"/>
      <c r="BN290" s="46"/>
      <c r="BO290" s="45"/>
      <c r="BP290" s="46"/>
      <c r="BQ290" s="45"/>
      <c r="BR290" s="46"/>
      <c r="BS290" s="45"/>
      <c r="BT290" s="46"/>
      <c r="BU290" s="45"/>
    </row>
    <row r="291" spans="1:73" ht="15">
      <c r="A291" s="61" t="s">
        <v>229</v>
      </c>
      <c r="B291" s="61" t="s">
        <v>384</v>
      </c>
      <c r="C291" s="62" t="s">
        <v>11692</v>
      </c>
      <c r="D291" s="63">
        <v>3</v>
      </c>
      <c r="E291" s="64" t="s">
        <v>132</v>
      </c>
      <c r="F291" s="65">
        <v>32</v>
      </c>
      <c r="G291" s="62"/>
      <c r="H291" s="66"/>
      <c r="I291" s="67"/>
      <c r="J291" s="67"/>
      <c r="K291" s="31" t="s">
        <v>65</v>
      </c>
      <c r="L291" s="75">
        <v>291</v>
      </c>
      <c r="M291" s="75"/>
      <c r="N291" s="69"/>
      <c r="O291" s="77" t="s">
        <v>539</v>
      </c>
      <c r="P291" s="79">
        <v>45162.27140046296</v>
      </c>
      <c r="Q291" s="77" t="s">
        <v>574</v>
      </c>
      <c r="R291" s="77">
        <v>0</v>
      </c>
      <c r="S291" s="77">
        <v>5</v>
      </c>
      <c r="T291" s="77">
        <v>0</v>
      </c>
      <c r="U291" s="77">
        <v>0</v>
      </c>
      <c r="V291" s="77">
        <v>74</v>
      </c>
      <c r="W291" s="81" t="s">
        <v>684</v>
      </c>
      <c r="X291" s="83" t="str">
        <f>HYPERLINK("https://bit.ly/3QQBRgg")</f>
        <v>https://bit.ly/3QQBRgg</v>
      </c>
      <c r="Y291" s="77" t="s">
        <v>740</v>
      </c>
      <c r="Z291" s="77" t="s">
        <v>772</v>
      </c>
      <c r="AA291" s="77"/>
      <c r="AB291" s="77"/>
      <c r="AC291" s="81" t="s">
        <v>853</v>
      </c>
      <c r="AD291" s="77" t="s">
        <v>866</v>
      </c>
      <c r="AE291" s="83" t="str">
        <f>HYPERLINK("https://twitter.com/mihkal/status/1694598113590161716")</f>
        <v>https://twitter.com/mihkal/status/1694598113590161716</v>
      </c>
      <c r="AF291" s="79">
        <v>45162.27140046296</v>
      </c>
      <c r="AG291" s="85">
        <v>45162</v>
      </c>
      <c r="AH291" s="81" t="s">
        <v>901</v>
      </c>
      <c r="AI291" s="77" t="b">
        <v>0</v>
      </c>
      <c r="AJ291" s="77"/>
      <c r="AK291" s="77"/>
      <c r="AL291" s="77"/>
      <c r="AM291" s="77"/>
      <c r="AN291" s="77"/>
      <c r="AO291" s="77"/>
      <c r="AP291" s="77"/>
      <c r="AQ291" s="77"/>
      <c r="AR291" s="77"/>
      <c r="AS291" s="77"/>
      <c r="AT291" s="77"/>
      <c r="AU291" s="77"/>
      <c r="AV291" s="83" t="str">
        <f>HYPERLINK("https://pbs.twimg.com/profile_images/1663227887837757440/XOjtFF4W_normal.jpg")</f>
        <v>https://pbs.twimg.com/profile_images/1663227887837757440/XOjtFF4W_normal.jpg</v>
      </c>
      <c r="AW291" s="81" t="s">
        <v>1056</v>
      </c>
      <c r="AX291" s="81" t="s">
        <v>1056</v>
      </c>
      <c r="AY291" s="77"/>
      <c r="AZ291" s="81" t="s">
        <v>1190</v>
      </c>
      <c r="BA291" s="81" t="s">
        <v>1190</v>
      </c>
      <c r="BB291" s="81" t="s">
        <v>1190</v>
      </c>
      <c r="BC291" s="81" t="s">
        <v>1056</v>
      </c>
      <c r="BD291" s="77">
        <v>24256031</v>
      </c>
      <c r="BE291" s="77"/>
      <c r="BF291" s="77"/>
      <c r="BG291" s="77"/>
      <c r="BH291" s="77"/>
      <c r="BI291" s="77"/>
      <c r="BJ291">
        <v>1</v>
      </c>
      <c r="BK291" s="76" t="str">
        <f>REPLACE(INDEX(GroupVertices[Group],MATCH(Edges[[#This Row],[Vertex 1]],GroupVertices[Vertex],0)),1,1,"")</f>
        <v>1</v>
      </c>
      <c r="BL291" s="76" t="str">
        <f>REPLACE(INDEX(GroupVertices[Group],MATCH(Edges[[#This Row],[Vertex 2]],GroupVertices[Vertex],0)),1,1,"")</f>
        <v>1</v>
      </c>
      <c r="BM291" s="45"/>
      <c r="BN291" s="46"/>
      <c r="BO291" s="45"/>
      <c r="BP291" s="46"/>
      <c r="BQ291" s="45"/>
      <c r="BR291" s="46"/>
      <c r="BS291" s="45"/>
      <c r="BT291" s="46"/>
      <c r="BU291" s="45"/>
    </row>
    <row r="292" spans="1:73" ht="15">
      <c r="A292" s="61" t="s">
        <v>229</v>
      </c>
      <c r="B292" s="61" t="s">
        <v>385</v>
      </c>
      <c r="C292" s="62" t="s">
        <v>11692</v>
      </c>
      <c r="D292" s="63">
        <v>3</v>
      </c>
      <c r="E292" s="64" t="s">
        <v>132</v>
      </c>
      <c r="F292" s="65">
        <v>32</v>
      </c>
      <c r="G292" s="62"/>
      <c r="H292" s="66"/>
      <c r="I292" s="67"/>
      <c r="J292" s="67"/>
      <c r="K292" s="31" t="s">
        <v>65</v>
      </c>
      <c r="L292" s="75">
        <v>292</v>
      </c>
      <c r="M292" s="75"/>
      <c r="N292" s="69"/>
      <c r="O292" s="77" t="s">
        <v>539</v>
      </c>
      <c r="P292" s="79">
        <v>45165.7343287037</v>
      </c>
      <c r="Q292" s="77" t="s">
        <v>575</v>
      </c>
      <c r="R292" s="77">
        <v>0</v>
      </c>
      <c r="S292" s="77">
        <v>5</v>
      </c>
      <c r="T292" s="77">
        <v>0</v>
      </c>
      <c r="U292" s="77">
        <v>0</v>
      </c>
      <c r="V292" s="77">
        <v>157</v>
      </c>
      <c r="W292" s="81" t="s">
        <v>685</v>
      </c>
      <c r="X292" s="83" t="str">
        <f>HYPERLINK("https://bit.ly/3PdAVBo")</f>
        <v>https://bit.ly/3PdAVBo</v>
      </c>
      <c r="Y292" s="77" t="s">
        <v>740</v>
      </c>
      <c r="Z292" s="77" t="s">
        <v>773</v>
      </c>
      <c r="AA292" s="77"/>
      <c r="AB292" s="77"/>
      <c r="AC292" s="81" t="s">
        <v>853</v>
      </c>
      <c r="AD292" s="77" t="s">
        <v>859</v>
      </c>
      <c r="AE292" s="83" t="str">
        <f>HYPERLINK("https://twitter.com/mihkal/status/1695853038546620819")</f>
        <v>https://twitter.com/mihkal/status/1695853038546620819</v>
      </c>
      <c r="AF292" s="79">
        <v>45165.7343287037</v>
      </c>
      <c r="AG292" s="85">
        <v>45165</v>
      </c>
      <c r="AH292" s="81" t="s">
        <v>902</v>
      </c>
      <c r="AI292" s="77" t="b">
        <v>0</v>
      </c>
      <c r="AJ292" s="77"/>
      <c r="AK292" s="77"/>
      <c r="AL292" s="77"/>
      <c r="AM292" s="77"/>
      <c r="AN292" s="77"/>
      <c r="AO292" s="77"/>
      <c r="AP292" s="77"/>
      <c r="AQ292" s="77"/>
      <c r="AR292" s="77"/>
      <c r="AS292" s="77"/>
      <c r="AT292" s="77"/>
      <c r="AU292" s="77"/>
      <c r="AV292" s="83" t="str">
        <f>HYPERLINK("https://pbs.twimg.com/profile_images/1663227887837757440/XOjtFF4W_normal.jpg")</f>
        <v>https://pbs.twimg.com/profile_images/1663227887837757440/XOjtFF4W_normal.jpg</v>
      </c>
      <c r="AW292" s="81" t="s">
        <v>1057</v>
      </c>
      <c r="AX292" s="81" t="s">
        <v>1057</v>
      </c>
      <c r="AY292" s="77"/>
      <c r="AZ292" s="81" t="s">
        <v>1190</v>
      </c>
      <c r="BA292" s="81" t="s">
        <v>1190</v>
      </c>
      <c r="BB292" s="81" t="s">
        <v>1190</v>
      </c>
      <c r="BC292" s="81" t="s">
        <v>1057</v>
      </c>
      <c r="BD292" s="77">
        <v>24256031</v>
      </c>
      <c r="BE292" s="77"/>
      <c r="BF292" s="77"/>
      <c r="BG292" s="77"/>
      <c r="BH292" s="77"/>
      <c r="BI292" s="77"/>
      <c r="BJ292">
        <v>1</v>
      </c>
      <c r="BK292" s="76" t="str">
        <f>REPLACE(INDEX(GroupVertices[Group],MATCH(Edges[[#This Row],[Vertex 1]],GroupVertices[Vertex],0)),1,1,"")</f>
        <v>1</v>
      </c>
      <c r="BL292" s="76" t="str">
        <f>REPLACE(INDEX(GroupVertices[Group],MATCH(Edges[[#This Row],[Vertex 2]],GroupVertices[Vertex],0)),1,1,"")</f>
        <v>1</v>
      </c>
      <c r="BM292" s="45"/>
      <c r="BN292" s="46"/>
      <c r="BO292" s="45"/>
      <c r="BP292" s="46"/>
      <c r="BQ292" s="45"/>
      <c r="BR292" s="46"/>
      <c r="BS292" s="45"/>
      <c r="BT292" s="46"/>
      <c r="BU292" s="45"/>
    </row>
    <row r="293" spans="1:73" ht="15">
      <c r="A293" s="61" t="s">
        <v>229</v>
      </c>
      <c r="B293" s="61" t="s">
        <v>386</v>
      </c>
      <c r="C293" s="62" t="s">
        <v>11692</v>
      </c>
      <c r="D293" s="63">
        <v>3</v>
      </c>
      <c r="E293" s="64" t="s">
        <v>132</v>
      </c>
      <c r="F293" s="65">
        <v>32</v>
      </c>
      <c r="G293" s="62"/>
      <c r="H293" s="66"/>
      <c r="I293" s="67"/>
      <c r="J293" s="67"/>
      <c r="K293" s="31" t="s">
        <v>65</v>
      </c>
      <c r="L293" s="75">
        <v>293</v>
      </c>
      <c r="M293" s="75"/>
      <c r="N293" s="69"/>
      <c r="O293" s="77" t="s">
        <v>539</v>
      </c>
      <c r="P293" s="79">
        <v>45165.7343287037</v>
      </c>
      <c r="Q293" s="77" t="s">
        <v>575</v>
      </c>
      <c r="R293" s="77">
        <v>0</v>
      </c>
      <c r="S293" s="77">
        <v>5</v>
      </c>
      <c r="T293" s="77">
        <v>0</v>
      </c>
      <c r="U293" s="77">
        <v>0</v>
      </c>
      <c r="V293" s="77">
        <v>157</v>
      </c>
      <c r="W293" s="81" t="s">
        <v>685</v>
      </c>
      <c r="X293" s="83" t="str">
        <f>HYPERLINK("https://bit.ly/3PdAVBo")</f>
        <v>https://bit.ly/3PdAVBo</v>
      </c>
      <c r="Y293" s="77" t="s">
        <v>740</v>
      </c>
      <c r="Z293" s="77" t="s">
        <v>773</v>
      </c>
      <c r="AA293" s="77"/>
      <c r="AB293" s="77"/>
      <c r="AC293" s="81" t="s">
        <v>853</v>
      </c>
      <c r="AD293" s="77" t="s">
        <v>859</v>
      </c>
      <c r="AE293" s="83" t="str">
        <f>HYPERLINK("https://twitter.com/mihkal/status/1695853038546620819")</f>
        <v>https://twitter.com/mihkal/status/1695853038546620819</v>
      </c>
      <c r="AF293" s="79">
        <v>45165.7343287037</v>
      </c>
      <c r="AG293" s="85">
        <v>45165</v>
      </c>
      <c r="AH293" s="81" t="s">
        <v>902</v>
      </c>
      <c r="AI293" s="77" t="b">
        <v>0</v>
      </c>
      <c r="AJ293" s="77"/>
      <c r="AK293" s="77"/>
      <c r="AL293" s="77"/>
      <c r="AM293" s="77"/>
      <c r="AN293" s="77"/>
      <c r="AO293" s="77"/>
      <c r="AP293" s="77"/>
      <c r="AQ293" s="77"/>
      <c r="AR293" s="77"/>
      <c r="AS293" s="77"/>
      <c r="AT293" s="77"/>
      <c r="AU293" s="77"/>
      <c r="AV293" s="83" t="str">
        <f>HYPERLINK("https://pbs.twimg.com/profile_images/1663227887837757440/XOjtFF4W_normal.jpg")</f>
        <v>https://pbs.twimg.com/profile_images/1663227887837757440/XOjtFF4W_normal.jpg</v>
      </c>
      <c r="AW293" s="81" t="s">
        <v>1057</v>
      </c>
      <c r="AX293" s="81" t="s">
        <v>1057</v>
      </c>
      <c r="AY293" s="77"/>
      <c r="AZ293" s="81" t="s">
        <v>1190</v>
      </c>
      <c r="BA293" s="81" t="s">
        <v>1190</v>
      </c>
      <c r="BB293" s="81" t="s">
        <v>1190</v>
      </c>
      <c r="BC293" s="81" t="s">
        <v>1057</v>
      </c>
      <c r="BD293" s="77">
        <v>24256031</v>
      </c>
      <c r="BE293" s="77"/>
      <c r="BF293" s="77"/>
      <c r="BG293" s="77"/>
      <c r="BH293" s="77"/>
      <c r="BI293" s="77"/>
      <c r="BJ293">
        <v>1</v>
      </c>
      <c r="BK293" s="76" t="str">
        <f>REPLACE(INDEX(GroupVertices[Group],MATCH(Edges[[#This Row],[Vertex 1]],GroupVertices[Vertex],0)),1,1,"")</f>
        <v>1</v>
      </c>
      <c r="BL293" s="76" t="str">
        <f>REPLACE(INDEX(GroupVertices[Group],MATCH(Edges[[#This Row],[Vertex 2]],GroupVertices[Vertex],0)),1,1,"")</f>
        <v>1</v>
      </c>
      <c r="BM293" s="45"/>
      <c r="BN293" s="46"/>
      <c r="BO293" s="45"/>
      <c r="BP293" s="46"/>
      <c r="BQ293" s="45"/>
      <c r="BR293" s="46"/>
      <c r="BS293" s="45"/>
      <c r="BT293" s="46"/>
      <c r="BU293" s="45"/>
    </row>
    <row r="294" spans="1:73" ht="15">
      <c r="A294" s="61" t="s">
        <v>229</v>
      </c>
      <c r="B294" s="61" t="s">
        <v>387</v>
      </c>
      <c r="C294" s="62" t="s">
        <v>11692</v>
      </c>
      <c r="D294" s="63">
        <v>3</v>
      </c>
      <c r="E294" s="64" t="s">
        <v>132</v>
      </c>
      <c r="F294" s="65">
        <v>32</v>
      </c>
      <c r="G294" s="62"/>
      <c r="H294" s="66"/>
      <c r="I294" s="67"/>
      <c r="J294" s="67"/>
      <c r="K294" s="31" t="s">
        <v>65</v>
      </c>
      <c r="L294" s="75">
        <v>294</v>
      </c>
      <c r="M294" s="75"/>
      <c r="N294" s="69"/>
      <c r="O294" s="77" t="s">
        <v>539</v>
      </c>
      <c r="P294" s="79">
        <v>45165.7343287037</v>
      </c>
      <c r="Q294" s="77" t="s">
        <v>575</v>
      </c>
      <c r="R294" s="77">
        <v>0</v>
      </c>
      <c r="S294" s="77">
        <v>5</v>
      </c>
      <c r="T294" s="77">
        <v>0</v>
      </c>
      <c r="U294" s="77">
        <v>0</v>
      </c>
      <c r="V294" s="77">
        <v>157</v>
      </c>
      <c r="W294" s="81" t="s">
        <v>685</v>
      </c>
      <c r="X294" s="83" t="str">
        <f>HYPERLINK("https://bit.ly/3PdAVBo")</f>
        <v>https://bit.ly/3PdAVBo</v>
      </c>
      <c r="Y294" s="77" t="s">
        <v>740</v>
      </c>
      <c r="Z294" s="77" t="s">
        <v>773</v>
      </c>
      <c r="AA294" s="77"/>
      <c r="AB294" s="77"/>
      <c r="AC294" s="81" t="s">
        <v>853</v>
      </c>
      <c r="AD294" s="77" t="s">
        <v>859</v>
      </c>
      <c r="AE294" s="83" t="str">
        <f>HYPERLINK("https://twitter.com/mihkal/status/1695853038546620819")</f>
        <v>https://twitter.com/mihkal/status/1695853038546620819</v>
      </c>
      <c r="AF294" s="79">
        <v>45165.7343287037</v>
      </c>
      <c r="AG294" s="85">
        <v>45165</v>
      </c>
      <c r="AH294" s="81" t="s">
        <v>902</v>
      </c>
      <c r="AI294" s="77" t="b">
        <v>0</v>
      </c>
      <c r="AJ294" s="77"/>
      <c r="AK294" s="77"/>
      <c r="AL294" s="77"/>
      <c r="AM294" s="77"/>
      <c r="AN294" s="77"/>
      <c r="AO294" s="77"/>
      <c r="AP294" s="77"/>
      <c r="AQ294" s="77"/>
      <c r="AR294" s="77"/>
      <c r="AS294" s="77"/>
      <c r="AT294" s="77"/>
      <c r="AU294" s="77"/>
      <c r="AV294" s="83" t="str">
        <f>HYPERLINK("https://pbs.twimg.com/profile_images/1663227887837757440/XOjtFF4W_normal.jpg")</f>
        <v>https://pbs.twimg.com/profile_images/1663227887837757440/XOjtFF4W_normal.jpg</v>
      </c>
      <c r="AW294" s="81" t="s">
        <v>1057</v>
      </c>
      <c r="AX294" s="81" t="s">
        <v>1057</v>
      </c>
      <c r="AY294" s="77"/>
      <c r="AZ294" s="81" t="s">
        <v>1190</v>
      </c>
      <c r="BA294" s="81" t="s">
        <v>1190</v>
      </c>
      <c r="BB294" s="81" t="s">
        <v>1190</v>
      </c>
      <c r="BC294" s="81" t="s">
        <v>1057</v>
      </c>
      <c r="BD294" s="77">
        <v>24256031</v>
      </c>
      <c r="BE294" s="77"/>
      <c r="BF294" s="77"/>
      <c r="BG294" s="77"/>
      <c r="BH294" s="77"/>
      <c r="BI294" s="77"/>
      <c r="BJ294">
        <v>1</v>
      </c>
      <c r="BK294" s="76" t="str">
        <f>REPLACE(INDEX(GroupVertices[Group],MATCH(Edges[[#This Row],[Vertex 1]],GroupVertices[Vertex],0)),1,1,"")</f>
        <v>1</v>
      </c>
      <c r="BL294" s="76" t="str">
        <f>REPLACE(INDEX(GroupVertices[Group],MATCH(Edges[[#This Row],[Vertex 2]],GroupVertices[Vertex],0)),1,1,"")</f>
        <v>1</v>
      </c>
      <c r="BM294" s="45"/>
      <c r="BN294" s="46"/>
      <c r="BO294" s="45"/>
      <c r="BP294" s="46"/>
      <c r="BQ294" s="45"/>
      <c r="BR294" s="46"/>
      <c r="BS294" s="45"/>
      <c r="BT294" s="46"/>
      <c r="BU294" s="45"/>
    </row>
    <row r="295" spans="1:73" ht="15">
      <c r="A295" s="61" t="s">
        <v>229</v>
      </c>
      <c r="B295" s="61" t="s">
        <v>388</v>
      </c>
      <c r="C295" s="62" t="s">
        <v>11692</v>
      </c>
      <c r="D295" s="63">
        <v>3</v>
      </c>
      <c r="E295" s="64" t="s">
        <v>132</v>
      </c>
      <c r="F295" s="65">
        <v>32</v>
      </c>
      <c r="G295" s="62"/>
      <c r="H295" s="66"/>
      <c r="I295" s="67"/>
      <c r="J295" s="67"/>
      <c r="K295" s="31" t="s">
        <v>65</v>
      </c>
      <c r="L295" s="75">
        <v>295</v>
      </c>
      <c r="M295" s="75"/>
      <c r="N295" s="69"/>
      <c r="O295" s="77" t="s">
        <v>539</v>
      </c>
      <c r="P295" s="79">
        <v>45165.7343287037</v>
      </c>
      <c r="Q295" s="77" t="s">
        <v>575</v>
      </c>
      <c r="R295" s="77">
        <v>0</v>
      </c>
      <c r="S295" s="77">
        <v>5</v>
      </c>
      <c r="T295" s="77">
        <v>0</v>
      </c>
      <c r="U295" s="77">
        <v>0</v>
      </c>
      <c r="V295" s="77">
        <v>157</v>
      </c>
      <c r="W295" s="81" t="s">
        <v>685</v>
      </c>
      <c r="X295" s="83" t="str">
        <f>HYPERLINK("https://bit.ly/3PdAVBo")</f>
        <v>https://bit.ly/3PdAVBo</v>
      </c>
      <c r="Y295" s="77" t="s">
        <v>740</v>
      </c>
      <c r="Z295" s="77" t="s">
        <v>773</v>
      </c>
      <c r="AA295" s="77"/>
      <c r="AB295" s="77"/>
      <c r="AC295" s="81" t="s">
        <v>853</v>
      </c>
      <c r="AD295" s="77" t="s">
        <v>859</v>
      </c>
      <c r="AE295" s="83" t="str">
        <f>HYPERLINK("https://twitter.com/mihkal/status/1695853038546620819")</f>
        <v>https://twitter.com/mihkal/status/1695853038546620819</v>
      </c>
      <c r="AF295" s="79">
        <v>45165.7343287037</v>
      </c>
      <c r="AG295" s="85">
        <v>45165</v>
      </c>
      <c r="AH295" s="81" t="s">
        <v>902</v>
      </c>
      <c r="AI295" s="77" t="b">
        <v>0</v>
      </c>
      <c r="AJ295" s="77"/>
      <c r="AK295" s="77"/>
      <c r="AL295" s="77"/>
      <c r="AM295" s="77"/>
      <c r="AN295" s="77"/>
      <c r="AO295" s="77"/>
      <c r="AP295" s="77"/>
      <c r="AQ295" s="77"/>
      <c r="AR295" s="77"/>
      <c r="AS295" s="77"/>
      <c r="AT295" s="77"/>
      <c r="AU295" s="77"/>
      <c r="AV295" s="83" t="str">
        <f>HYPERLINK("https://pbs.twimg.com/profile_images/1663227887837757440/XOjtFF4W_normal.jpg")</f>
        <v>https://pbs.twimg.com/profile_images/1663227887837757440/XOjtFF4W_normal.jpg</v>
      </c>
      <c r="AW295" s="81" t="s">
        <v>1057</v>
      </c>
      <c r="AX295" s="81" t="s">
        <v>1057</v>
      </c>
      <c r="AY295" s="77"/>
      <c r="AZ295" s="81" t="s">
        <v>1190</v>
      </c>
      <c r="BA295" s="81" t="s">
        <v>1190</v>
      </c>
      <c r="BB295" s="81" t="s">
        <v>1190</v>
      </c>
      <c r="BC295" s="81" t="s">
        <v>1057</v>
      </c>
      <c r="BD295" s="77">
        <v>24256031</v>
      </c>
      <c r="BE295" s="77"/>
      <c r="BF295" s="77"/>
      <c r="BG295" s="77"/>
      <c r="BH295" s="77"/>
      <c r="BI295" s="77"/>
      <c r="BJ295">
        <v>1</v>
      </c>
      <c r="BK295" s="76" t="str">
        <f>REPLACE(INDEX(GroupVertices[Group],MATCH(Edges[[#This Row],[Vertex 1]],GroupVertices[Vertex],0)),1,1,"")</f>
        <v>1</v>
      </c>
      <c r="BL295" s="76" t="str">
        <f>REPLACE(INDEX(GroupVertices[Group],MATCH(Edges[[#This Row],[Vertex 2]],GroupVertices[Vertex],0)),1,1,"")</f>
        <v>1</v>
      </c>
      <c r="BM295" s="45"/>
      <c r="BN295" s="46"/>
      <c r="BO295" s="45"/>
      <c r="BP295" s="46"/>
      <c r="BQ295" s="45"/>
      <c r="BR295" s="46"/>
      <c r="BS295" s="45"/>
      <c r="BT295" s="46"/>
      <c r="BU295" s="45"/>
    </row>
    <row r="296" spans="1:73" ht="15">
      <c r="A296" s="61" t="s">
        <v>229</v>
      </c>
      <c r="B296" s="61" t="s">
        <v>389</v>
      </c>
      <c r="C296" s="62" t="s">
        <v>11692</v>
      </c>
      <c r="D296" s="63">
        <v>3</v>
      </c>
      <c r="E296" s="64" t="s">
        <v>132</v>
      </c>
      <c r="F296" s="65">
        <v>32</v>
      </c>
      <c r="G296" s="62"/>
      <c r="H296" s="66"/>
      <c r="I296" s="67"/>
      <c r="J296" s="67"/>
      <c r="K296" s="31" t="s">
        <v>65</v>
      </c>
      <c r="L296" s="75">
        <v>296</v>
      </c>
      <c r="M296" s="75"/>
      <c r="N296" s="69"/>
      <c r="O296" s="77" t="s">
        <v>539</v>
      </c>
      <c r="P296" s="79">
        <v>45165.7343287037</v>
      </c>
      <c r="Q296" s="77" t="s">
        <v>575</v>
      </c>
      <c r="R296" s="77">
        <v>0</v>
      </c>
      <c r="S296" s="77">
        <v>5</v>
      </c>
      <c r="T296" s="77">
        <v>0</v>
      </c>
      <c r="U296" s="77">
        <v>0</v>
      </c>
      <c r="V296" s="77">
        <v>157</v>
      </c>
      <c r="W296" s="81" t="s">
        <v>685</v>
      </c>
      <c r="X296" s="83" t="str">
        <f>HYPERLINK("https://bit.ly/3PdAVBo")</f>
        <v>https://bit.ly/3PdAVBo</v>
      </c>
      <c r="Y296" s="77" t="s">
        <v>740</v>
      </c>
      <c r="Z296" s="77" t="s">
        <v>773</v>
      </c>
      <c r="AA296" s="77"/>
      <c r="AB296" s="77"/>
      <c r="AC296" s="81" t="s">
        <v>853</v>
      </c>
      <c r="AD296" s="77" t="s">
        <v>859</v>
      </c>
      <c r="AE296" s="83" t="str">
        <f>HYPERLINK("https://twitter.com/mihkal/status/1695853038546620819")</f>
        <v>https://twitter.com/mihkal/status/1695853038546620819</v>
      </c>
      <c r="AF296" s="79">
        <v>45165.7343287037</v>
      </c>
      <c r="AG296" s="85">
        <v>45165</v>
      </c>
      <c r="AH296" s="81" t="s">
        <v>902</v>
      </c>
      <c r="AI296" s="77" t="b">
        <v>0</v>
      </c>
      <c r="AJ296" s="77"/>
      <c r="AK296" s="77"/>
      <c r="AL296" s="77"/>
      <c r="AM296" s="77"/>
      <c r="AN296" s="77"/>
      <c r="AO296" s="77"/>
      <c r="AP296" s="77"/>
      <c r="AQ296" s="77"/>
      <c r="AR296" s="77"/>
      <c r="AS296" s="77"/>
      <c r="AT296" s="77"/>
      <c r="AU296" s="77"/>
      <c r="AV296" s="83" t="str">
        <f>HYPERLINK("https://pbs.twimg.com/profile_images/1663227887837757440/XOjtFF4W_normal.jpg")</f>
        <v>https://pbs.twimg.com/profile_images/1663227887837757440/XOjtFF4W_normal.jpg</v>
      </c>
      <c r="AW296" s="81" t="s">
        <v>1057</v>
      </c>
      <c r="AX296" s="81" t="s">
        <v>1057</v>
      </c>
      <c r="AY296" s="77"/>
      <c r="AZ296" s="81" t="s">
        <v>1190</v>
      </c>
      <c r="BA296" s="81" t="s">
        <v>1190</v>
      </c>
      <c r="BB296" s="81" t="s">
        <v>1190</v>
      </c>
      <c r="BC296" s="81" t="s">
        <v>1057</v>
      </c>
      <c r="BD296" s="77">
        <v>24256031</v>
      </c>
      <c r="BE296" s="77"/>
      <c r="BF296" s="77"/>
      <c r="BG296" s="77"/>
      <c r="BH296" s="77"/>
      <c r="BI296" s="77"/>
      <c r="BJ296">
        <v>1</v>
      </c>
      <c r="BK296" s="76" t="str">
        <f>REPLACE(INDEX(GroupVertices[Group],MATCH(Edges[[#This Row],[Vertex 1]],GroupVertices[Vertex],0)),1,1,"")</f>
        <v>1</v>
      </c>
      <c r="BL296" s="76" t="str">
        <f>REPLACE(INDEX(GroupVertices[Group],MATCH(Edges[[#This Row],[Vertex 2]],GroupVertices[Vertex],0)),1,1,"")</f>
        <v>1</v>
      </c>
      <c r="BM296" s="45"/>
      <c r="BN296" s="46"/>
      <c r="BO296" s="45"/>
      <c r="BP296" s="46"/>
      <c r="BQ296" s="45"/>
      <c r="BR296" s="46"/>
      <c r="BS296" s="45"/>
      <c r="BT296" s="46"/>
      <c r="BU296" s="45"/>
    </row>
    <row r="297" spans="1:73" ht="15">
      <c r="A297" s="61" t="s">
        <v>229</v>
      </c>
      <c r="B297" s="61" t="s">
        <v>390</v>
      </c>
      <c r="C297" s="62" t="s">
        <v>11692</v>
      </c>
      <c r="D297" s="63">
        <v>3</v>
      </c>
      <c r="E297" s="64" t="s">
        <v>132</v>
      </c>
      <c r="F297" s="65">
        <v>32</v>
      </c>
      <c r="G297" s="62"/>
      <c r="H297" s="66"/>
      <c r="I297" s="67"/>
      <c r="J297" s="67"/>
      <c r="K297" s="31" t="s">
        <v>65</v>
      </c>
      <c r="L297" s="75">
        <v>297</v>
      </c>
      <c r="M297" s="75"/>
      <c r="N297" s="69"/>
      <c r="O297" s="77" t="s">
        <v>539</v>
      </c>
      <c r="P297" s="79">
        <v>45165.7343287037</v>
      </c>
      <c r="Q297" s="77" t="s">
        <v>575</v>
      </c>
      <c r="R297" s="77">
        <v>0</v>
      </c>
      <c r="S297" s="77">
        <v>5</v>
      </c>
      <c r="T297" s="77">
        <v>0</v>
      </c>
      <c r="U297" s="77">
        <v>0</v>
      </c>
      <c r="V297" s="77">
        <v>157</v>
      </c>
      <c r="W297" s="81" t="s">
        <v>685</v>
      </c>
      <c r="X297" s="83" t="str">
        <f>HYPERLINK("https://bit.ly/3PdAVBo")</f>
        <v>https://bit.ly/3PdAVBo</v>
      </c>
      <c r="Y297" s="77" t="s">
        <v>740</v>
      </c>
      <c r="Z297" s="77" t="s">
        <v>773</v>
      </c>
      <c r="AA297" s="77"/>
      <c r="AB297" s="77"/>
      <c r="AC297" s="81" t="s">
        <v>853</v>
      </c>
      <c r="AD297" s="77" t="s">
        <v>859</v>
      </c>
      <c r="AE297" s="83" t="str">
        <f>HYPERLINK("https://twitter.com/mihkal/status/1695853038546620819")</f>
        <v>https://twitter.com/mihkal/status/1695853038546620819</v>
      </c>
      <c r="AF297" s="79">
        <v>45165.7343287037</v>
      </c>
      <c r="AG297" s="85">
        <v>45165</v>
      </c>
      <c r="AH297" s="81" t="s">
        <v>902</v>
      </c>
      <c r="AI297" s="77" t="b">
        <v>0</v>
      </c>
      <c r="AJ297" s="77"/>
      <c r="AK297" s="77"/>
      <c r="AL297" s="77"/>
      <c r="AM297" s="77"/>
      <c r="AN297" s="77"/>
      <c r="AO297" s="77"/>
      <c r="AP297" s="77"/>
      <c r="AQ297" s="77"/>
      <c r="AR297" s="77"/>
      <c r="AS297" s="77"/>
      <c r="AT297" s="77"/>
      <c r="AU297" s="77"/>
      <c r="AV297" s="83" t="str">
        <f>HYPERLINK("https://pbs.twimg.com/profile_images/1663227887837757440/XOjtFF4W_normal.jpg")</f>
        <v>https://pbs.twimg.com/profile_images/1663227887837757440/XOjtFF4W_normal.jpg</v>
      </c>
      <c r="AW297" s="81" t="s">
        <v>1057</v>
      </c>
      <c r="AX297" s="81" t="s">
        <v>1057</v>
      </c>
      <c r="AY297" s="77"/>
      <c r="AZ297" s="81" t="s">
        <v>1190</v>
      </c>
      <c r="BA297" s="81" t="s">
        <v>1190</v>
      </c>
      <c r="BB297" s="81" t="s">
        <v>1190</v>
      </c>
      <c r="BC297" s="81" t="s">
        <v>1057</v>
      </c>
      <c r="BD297" s="77">
        <v>24256031</v>
      </c>
      <c r="BE297" s="77"/>
      <c r="BF297" s="77"/>
      <c r="BG297" s="77"/>
      <c r="BH297" s="77"/>
      <c r="BI297" s="77"/>
      <c r="BJ297">
        <v>1</v>
      </c>
      <c r="BK297" s="76" t="str">
        <f>REPLACE(INDEX(GroupVertices[Group],MATCH(Edges[[#This Row],[Vertex 1]],GroupVertices[Vertex],0)),1,1,"")</f>
        <v>1</v>
      </c>
      <c r="BL297" s="76" t="str">
        <f>REPLACE(INDEX(GroupVertices[Group],MATCH(Edges[[#This Row],[Vertex 2]],GroupVertices[Vertex],0)),1,1,"")</f>
        <v>1</v>
      </c>
      <c r="BM297" s="45"/>
      <c r="BN297" s="46"/>
      <c r="BO297" s="45"/>
      <c r="BP297" s="46"/>
      <c r="BQ297" s="45"/>
      <c r="BR297" s="46"/>
      <c r="BS297" s="45"/>
      <c r="BT297" s="46"/>
      <c r="BU297" s="45"/>
    </row>
    <row r="298" spans="1:73" ht="15">
      <c r="A298" s="61" t="s">
        <v>229</v>
      </c>
      <c r="B298" s="61" t="s">
        <v>391</v>
      </c>
      <c r="C298" s="62" t="s">
        <v>11692</v>
      </c>
      <c r="D298" s="63">
        <v>3</v>
      </c>
      <c r="E298" s="64" t="s">
        <v>132</v>
      </c>
      <c r="F298" s="65">
        <v>32</v>
      </c>
      <c r="G298" s="62"/>
      <c r="H298" s="66"/>
      <c r="I298" s="67"/>
      <c r="J298" s="67"/>
      <c r="K298" s="31" t="s">
        <v>65</v>
      </c>
      <c r="L298" s="75">
        <v>298</v>
      </c>
      <c r="M298" s="75"/>
      <c r="N298" s="69"/>
      <c r="O298" s="77" t="s">
        <v>539</v>
      </c>
      <c r="P298" s="79">
        <v>45165.7343287037</v>
      </c>
      <c r="Q298" s="77" t="s">
        <v>575</v>
      </c>
      <c r="R298" s="77">
        <v>0</v>
      </c>
      <c r="S298" s="77">
        <v>5</v>
      </c>
      <c r="T298" s="77">
        <v>0</v>
      </c>
      <c r="U298" s="77">
        <v>0</v>
      </c>
      <c r="V298" s="77">
        <v>157</v>
      </c>
      <c r="W298" s="81" t="s">
        <v>685</v>
      </c>
      <c r="X298" s="83" t="str">
        <f>HYPERLINK("https://bit.ly/3PdAVBo")</f>
        <v>https://bit.ly/3PdAVBo</v>
      </c>
      <c r="Y298" s="77" t="s">
        <v>740</v>
      </c>
      <c r="Z298" s="77" t="s">
        <v>773</v>
      </c>
      <c r="AA298" s="77"/>
      <c r="AB298" s="77"/>
      <c r="AC298" s="81" t="s">
        <v>853</v>
      </c>
      <c r="AD298" s="77" t="s">
        <v>859</v>
      </c>
      <c r="AE298" s="83" t="str">
        <f>HYPERLINK("https://twitter.com/mihkal/status/1695853038546620819")</f>
        <v>https://twitter.com/mihkal/status/1695853038546620819</v>
      </c>
      <c r="AF298" s="79">
        <v>45165.7343287037</v>
      </c>
      <c r="AG298" s="85">
        <v>45165</v>
      </c>
      <c r="AH298" s="81" t="s">
        <v>902</v>
      </c>
      <c r="AI298" s="77" t="b">
        <v>0</v>
      </c>
      <c r="AJ298" s="77"/>
      <c r="AK298" s="77"/>
      <c r="AL298" s="77"/>
      <c r="AM298" s="77"/>
      <c r="AN298" s="77"/>
      <c r="AO298" s="77"/>
      <c r="AP298" s="77"/>
      <c r="AQ298" s="77"/>
      <c r="AR298" s="77"/>
      <c r="AS298" s="77"/>
      <c r="AT298" s="77"/>
      <c r="AU298" s="77"/>
      <c r="AV298" s="83" t="str">
        <f>HYPERLINK("https://pbs.twimg.com/profile_images/1663227887837757440/XOjtFF4W_normal.jpg")</f>
        <v>https://pbs.twimg.com/profile_images/1663227887837757440/XOjtFF4W_normal.jpg</v>
      </c>
      <c r="AW298" s="81" t="s">
        <v>1057</v>
      </c>
      <c r="AX298" s="81" t="s">
        <v>1057</v>
      </c>
      <c r="AY298" s="77"/>
      <c r="AZ298" s="81" t="s">
        <v>1190</v>
      </c>
      <c r="BA298" s="81" t="s">
        <v>1190</v>
      </c>
      <c r="BB298" s="81" t="s">
        <v>1190</v>
      </c>
      <c r="BC298" s="81" t="s">
        <v>1057</v>
      </c>
      <c r="BD298" s="77">
        <v>24256031</v>
      </c>
      <c r="BE298" s="77"/>
      <c r="BF298" s="77"/>
      <c r="BG298" s="77"/>
      <c r="BH298" s="77"/>
      <c r="BI298" s="77"/>
      <c r="BJ298">
        <v>1</v>
      </c>
      <c r="BK298" s="76" t="str">
        <f>REPLACE(INDEX(GroupVertices[Group],MATCH(Edges[[#This Row],[Vertex 1]],GroupVertices[Vertex],0)),1,1,"")</f>
        <v>1</v>
      </c>
      <c r="BL298" s="76" t="str">
        <f>REPLACE(INDEX(GroupVertices[Group],MATCH(Edges[[#This Row],[Vertex 2]],GroupVertices[Vertex],0)),1,1,"")</f>
        <v>1</v>
      </c>
      <c r="BM298" s="45"/>
      <c r="BN298" s="46"/>
      <c r="BO298" s="45"/>
      <c r="BP298" s="46"/>
      <c r="BQ298" s="45"/>
      <c r="BR298" s="46"/>
      <c r="BS298" s="45"/>
      <c r="BT298" s="46"/>
      <c r="BU298" s="45"/>
    </row>
    <row r="299" spans="1:73" ht="15">
      <c r="A299" s="61" t="s">
        <v>229</v>
      </c>
      <c r="B299" s="61" t="s">
        <v>392</v>
      </c>
      <c r="C299" s="62" t="s">
        <v>11692</v>
      </c>
      <c r="D299" s="63">
        <v>3</v>
      </c>
      <c r="E299" s="64" t="s">
        <v>132</v>
      </c>
      <c r="F299" s="65">
        <v>32</v>
      </c>
      <c r="G299" s="62"/>
      <c r="H299" s="66"/>
      <c r="I299" s="67"/>
      <c r="J299" s="67"/>
      <c r="K299" s="31" t="s">
        <v>65</v>
      </c>
      <c r="L299" s="75">
        <v>299</v>
      </c>
      <c r="M299" s="75"/>
      <c r="N299" s="69"/>
      <c r="O299" s="77" t="s">
        <v>539</v>
      </c>
      <c r="P299" s="79">
        <v>45165.7343287037</v>
      </c>
      <c r="Q299" s="77" t="s">
        <v>575</v>
      </c>
      <c r="R299" s="77">
        <v>0</v>
      </c>
      <c r="S299" s="77">
        <v>5</v>
      </c>
      <c r="T299" s="77">
        <v>0</v>
      </c>
      <c r="U299" s="77">
        <v>0</v>
      </c>
      <c r="V299" s="77">
        <v>157</v>
      </c>
      <c r="W299" s="81" t="s">
        <v>685</v>
      </c>
      <c r="X299" s="83" t="str">
        <f>HYPERLINK("https://bit.ly/3PdAVBo")</f>
        <v>https://bit.ly/3PdAVBo</v>
      </c>
      <c r="Y299" s="77" t="s">
        <v>740</v>
      </c>
      <c r="Z299" s="77" t="s">
        <v>773</v>
      </c>
      <c r="AA299" s="77"/>
      <c r="AB299" s="77"/>
      <c r="AC299" s="81" t="s">
        <v>853</v>
      </c>
      <c r="AD299" s="77" t="s">
        <v>859</v>
      </c>
      <c r="AE299" s="83" t="str">
        <f>HYPERLINK("https://twitter.com/mihkal/status/1695853038546620819")</f>
        <v>https://twitter.com/mihkal/status/1695853038546620819</v>
      </c>
      <c r="AF299" s="79">
        <v>45165.7343287037</v>
      </c>
      <c r="AG299" s="85">
        <v>45165</v>
      </c>
      <c r="AH299" s="81" t="s">
        <v>902</v>
      </c>
      <c r="AI299" s="77" t="b">
        <v>0</v>
      </c>
      <c r="AJ299" s="77"/>
      <c r="AK299" s="77"/>
      <c r="AL299" s="77"/>
      <c r="AM299" s="77"/>
      <c r="AN299" s="77"/>
      <c r="AO299" s="77"/>
      <c r="AP299" s="77"/>
      <c r="AQ299" s="77"/>
      <c r="AR299" s="77"/>
      <c r="AS299" s="77"/>
      <c r="AT299" s="77"/>
      <c r="AU299" s="77"/>
      <c r="AV299" s="83" t="str">
        <f>HYPERLINK("https://pbs.twimg.com/profile_images/1663227887837757440/XOjtFF4W_normal.jpg")</f>
        <v>https://pbs.twimg.com/profile_images/1663227887837757440/XOjtFF4W_normal.jpg</v>
      </c>
      <c r="AW299" s="81" t="s">
        <v>1057</v>
      </c>
      <c r="AX299" s="81" t="s">
        <v>1057</v>
      </c>
      <c r="AY299" s="77"/>
      <c r="AZ299" s="81" t="s">
        <v>1190</v>
      </c>
      <c r="BA299" s="81" t="s">
        <v>1190</v>
      </c>
      <c r="BB299" s="81" t="s">
        <v>1190</v>
      </c>
      <c r="BC299" s="81" t="s">
        <v>1057</v>
      </c>
      <c r="BD299" s="77">
        <v>24256031</v>
      </c>
      <c r="BE299" s="77"/>
      <c r="BF299" s="77"/>
      <c r="BG299" s="77"/>
      <c r="BH299" s="77"/>
      <c r="BI299" s="77"/>
      <c r="BJ299">
        <v>1</v>
      </c>
      <c r="BK299" s="76" t="str">
        <f>REPLACE(INDEX(GroupVertices[Group],MATCH(Edges[[#This Row],[Vertex 1]],GroupVertices[Vertex],0)),1,1,"")</f>
        <v>1</v>
      </c>
      <c r="BL299" s="76" t="str">
        <f>REPLACE(INDEX(GroupVertices[Group],MATCH(Edges[[#This Row],[Vertex 2]],GroupVertices[Vertex],0)),1,1,"")</f>
        <v>1</v>
      </c>
      <c r="BM299" s="45"/>
      <c r="BN299" s="46"/>
      <c r="BO299" s="45"/>
      <c r="BP299" s="46"/>
      <c r="BQ299" s="45"/>
      <c r="BR299" s="46"/>
      <c r="BS299" s="45"/>
      <c r="BT299" s="46"/>
      <c r="BU299" s="45"/>
    </row>
    <row r="300" spans="1:73" ht="15">
      <c r="A300" s="61" t="s">
        <v>229</v>
      </c>
      <c r="B300" s="61" t="s">
        <v>393</v>
      </c>
      <c r="C300" s="62" t="s">
        <v>11692</v>
      </c>
      <c r="D300" s="63">
        <v>3</v>
      </c>
      <c r="E300" s="64" t="s">
        <v>132</v>
      </c>
      <c r="F300" s="65">
        <v>32</v>
      </c>
      <c r="G300" s="62"/>
      <c r="H300" s="66"/>
      <c r="I300" s="67"/>
      <c r="J300" s="67"/>
      <c r="K300" s="31" t="s">
        <v>65</v>
      </c>
      <c r="L300" s="75">
        <v>300</v>
      </c>
      <c r="M300" s="75"/>
      <c r="N300" s="69"/>
      <c r="O300" s="77" t="s">
        <v>539</v>
      </c>
      <c r="P300" s="79">
        <v>45165.7343287037</v>
      </c>
      <c r="Q300" s="77" t="s">
        <v>575</v>
      </c>
      <c r="R300" s="77">
        <v>0</v>
      </c>
      <c r="S300" s="77">
        <v>5</v>
      </c>
      <c r="T300" s="77">
        <v>0</v>
      </c>
      <c r="U300" s="77">
        <v>0</v>
      </c>
      <c r="V300" s="77">
        <v>157</v>
      </c>
      <c r="W300" s="81" t="s">
        <v>685</v>
      </c>
      <c r="X300" s="83" t="str">
        <f>HYPERLINK("https://bit.ly/3PdAVBo")</f>
        <v>https://bit.ly/3PdAVBo</v>
      </c>
      <c r="Y300" s="77" t="s">
        <v>740</v>
      </c>
      <c r="Z300" s="77" t="s">
        <v>773</v>
      </c>
      <c r="AA300" s="77"/>
      <c r="AB300" s="77"/>
      <c r="AC300" s="81" t="s">
        <v>853</v>
      </c>
      <c r="AD300" s="77" t="s">
        <v>859</v>
      </c>
      <c r="AE300" s="83" t="str">
        <f>HYPERLINK("https://twitter.com/mihkal/status/1695853038546620819")</f>
        <v>https://twitter.com/mihkal/status/1695853038546620819</v>
      </c>
      <c r="AF300" s="79">
        <v>45165.7343287037</v>
      </c>
      <c r="AG300" s="85">
        <v>45165</v>
      </c>
      <c r="AH300" s="81" t="s">
        <v>902</v>
      </c>
      <c r="AI300" s="77" t="b">
        <v>0</v>
      </c>
      <c r="AJ300" s="77"/>
      <c r="AK300" s="77"/>
      <c r="AL300" s="77"/>
      <c r="AM300" s="77"/>
      <c r="AN300" s="77"/>
      <c r="AO300" s="77"/>
      <c r="AP300" s="77"/>
      <c r="AQ300" s="77"/>
      <c r="AR300" s="77"/>
      <c r="AS300" s="77"/>
      <c r="AT300" s="77"/>
      <c r="AU300" s="77"/>
      <c r="AV300" s="83" t="str">
        <f>HYPERLINK("https://pbs.twimg.com/profile_images/1663227887837757440/XOjtFF4W_normal.jpg")</f>
        <v>https://pbs.twimg.com/profile_images/1663227887837757440/XOjtFF4W_normal.jpg</v>
      </c>
      <c r="AW300" s="81" t="s">
        <v>1057</v>
      </c>
      <c r="AX300" s="81" t="s">
        <v>1057</v>
      </c>
      <c r="AY300" s="77"/>
      <c r="AZ300" s="81" t="s">
        <v>1190</v>
      </c>
      <c r="BA300" s="81" t="s">
        <v>1190</v>
      </c>
      <c r="BB300" s="81" t="s">
        <v>1190</v>
      </c>
      <c r="BC300" s="81" t="s">
        <v>1057</v>
      </c>
      <c r="BD300" s="77">
        <v>24256031</v>
      </c>
      <c r="BE300" s="77"/>
      <c r="BF300" s="77"/>
      <c r="BG300" s="77"/>
      <c r="BH300" s="77"/>
      <c r="BI300" s="77"/>
      <c r="BJ300">
        <v>1</v>
      </c>
      <c r="BK300" s="76" t="str">
        <f>REPLACE(INDEX(GroupVertices[Group],MATCH(Edges[[#This Row],[Vertex 1]],GroupVertices[Vertex],0)),1,1,"")</f>
        <v>1</v>
      </c>
      <c r="BL300" s="76" t="str">
        <f>REPLACE(INDEX(GroupVertices[Group],MATCH(Edges[[#This Row],[Vertex 2]],GroupVertices[Vertex],0)),1,1,"")</f>
        <v>1</v>
      </c>
      <c r="BM300" s="45"/>
      <c r="BN300" s="46"/>
      <c r="BO300" s="45"/>
      <c r="BP300" s="46"/>
      <c r="BQ300" s="45"/>
      <c r="BR300" s="46"/>
      <c r="BS300" s="45"/>
      <c r="BT300" s="46"/>
      <c r="BU300" s="45"/>
    </row>
    <row r="301" spans="1:73" ht="15">
      <c r="A301" s="61" t="s">
        <v>229</v>
      </c>
      <c r="B301" s="61" t="s">
        <v>394</v>
      </c>
      <c r="C301" s="62" t="s">
        <v>11692</v>
      </c>
      <c r="D301" s="63">
        <v>3</v>
      </c>
      <c r="E301" s="64" t="s">
        <v>132</v>
      </c>
      <c r="F301" s="65">
        <v>32</v>
      </c>
      <c r="G301" s="62"/>
      <c r="H301" s="66"/>
      <c r="I301" s="67"/>
      <c r="J301" s="67"/>
      <c r="K301" s="31" t="s">
        <v>65</v>
      </c>
      <c r="L301" s="75">
        <v>301</v>
      </c>
      <c r="M301" s="75"/>
      <c r="N301" s="69"/>
      <c r="O301" s="77" t="s">
        <v>539</v>
      </c>
      <c r="P301" s="79">
        <v>45165.73452546296</v>
      </c>
      <c r="Q301" s="77" t="s">
        <v>576</v>
      </c>
      <c r="R301" s="77">
        <v>0</v>
      </c>
      <c r="S301" s="77">
        <v>5</v>
      </c>
      <c r="T301" s="77">
        <v>0</v>
      </c>
      <c r="U301" s="77">
        <v>0</v>
      </c>
      <c r="V301" s="77">
        <v>80</v>
      </c>
      <c r="W301" s="81" t="s">
        <v>686</v>
      </c>
      <c r="X301" s="83" t="str">
        <f>HYPERLINK("https://bit.ly/47SnwWM")</f>
        <v>https://bit.ly/47SnwWM</v>
      </c>
      <c r="Y301" s="77" t="s">
        <v>740</v>
      </c>
      <c r="Z301" s="77" t="s">
        <v>774</v>
      </c>
      <c r="AA301" s="77"/>
      <c r="AB301" s="77"/>
      <c r="AC301" s="81" t="s">
        <v>853</v>
      </c>
      <c r="AD301" s="77" t="s">
        <v>859</v>
      </c>
      <c r="AE301" s="83" t="str">
        <f>HYPERLINK("https://twitter.com/mihkal/status/1695853109212282929")</f>
        <v>https://twitter.com/mihkal/status/1695853109212282929</v>
      </c>
      <c r="AF301" s="79">
        <v>45165.73452546296</v>
      </c>
      <c r="AG301" s="85">
        <v>45165</v>
      </c>
      <c r="AH301" s="81" t="s">
        <v>903</v>
      </c>
      <c r="AI301" s="77" t="b">
        <v>0</v>
      </c>
      <c r="AJ301" s="77"/>
      <c r="AK301" s="77"/>
      <c r="AL301" s="77"/>
      <c r="AM301" s="77"/>
      <c r="AN301" s="77"/>
      <c r="AO301" s="77"/>
      <c r="AP301" s="77"/>
      <c r="AQ301" s="77"/>
      <c r="AR301" s="77"/>
      <c r="AS301" s="77"/>
      <c r="AT301" s="77"/>
      <c r="AU301" s="77"/>
      <c r="AV301" s="83" t="str">
        <f>HYPERLINK("https://pbs.twimg.com/profile_images/1663227887837757440/XOjtFF4W_normal.jpg")</f>
        <v>https://pbs.twimg.com/profile_images/1663227887837757440/XOjtFF4W_normal.jpg</v>
      </c>
      <c r="AW301" s="81" t="s">
        <v>1058</v>
      </c>
      <c r="AX301" s="81" t="s">
        <v>1058</v>
      </c>
      <c r="AY301" s="77"/>
      <c r="AZ301" s="81" t="s">
        <v>1190</v>
      </c>
      <c r="BA301" s="81" t="s">
        <v>1190</v>
      </c>
      <c r="BB301" s="81" t="s">
        <v>1190</v>
      </c>
      <c r="BC301" s="81" t="s">
        <v>1058</v>
      </c>
      <c r="BD301" s="77">
        <v>24256031</v>
      </c>
      <c r="BE301" s="77"/>
      <c r="BF301" s="77"/>
      <c r="BG301" s="77"/>
      <c r="BH301" s="77"/>
      <c r="BI301" s="77"/>
      <c r="BJ301">
        <v>1</v>
      </c>
      <c r="BK301" s="76" t="str">
        <f>REPLACE(INDEX(GroupVertices[Group],MATCH(Edges[[#This Row],[Vertex 1]],GroupVertices[Vertex],0)),1,1,"")</f>
        <v>1</v>
      </c>
      <c r="BL301" s="76" t="str">
        <f>REPLACE(INDEX(GroupVertices[Group],MATCH(Edges[[#This Row],[Vertex 2]],GroupVertices[Vertex],0)),1,1,"")</f>
        <v>1</v>
      </c>
      <c r="BM301" s="45"/>
      <c r="BN301" s="46"/>
      <c r="BO301" s="45"/>
      <c r="BP301" s="46"/>
      <c r="BQ301" s="45"/>
      <c r="BR301" s="46"/>
      <c r="BS301" s="45"/>
      <c r="BT301" s="46"/>
      <c r="BU301" s="45"/>
    </row>
    <row r="302" spans="1:73" ht="15">
      <c r="A302" s="61" t="s">
        <v>229</v>
      </c>
      <c r="B302" s="61" t="s">
        <v>395</v>
      </c>
      <c r="C302" s="62" t="s">
        <v>11692</v>
      </c>
      <c r="D302" s="63">
        <v>3</v>
      </c>
      <c r="E302" s="64" t="s">
        <v>132</v>
      </c>
      <c r="F302" s="65">
        <v>32</v>
      </c>
      <c r="G302" s="62"/>
      <c r="H302" s="66"/>
      <c r="I302" s="67"/>
      <c r="J302" s="67"/>
      <c r="K302" s="31" t="s">
        <v>65</v>
      </c>
      <c r="L302" s="75">
        <v>302</v>
      </c>
      <c r="M302" s="75"/>
      <c r="N302" s="69"/>
      <c r="O302" s="77" t="s">
        <v>539</v>
      </c>
      <c r="P302" s="79">
        <v>45165.73452546296</v>
      </c>
      <c r="Q302" s="77" t="s">
        <v>576</v>
      </c>
      <c r="R302" s="77">
        <v>0</v>
      </c>
      <c r="S302" s="77">
        <v>5</v>
      </c>
      <c r="T302" s="77">
        <v>0</v>
      </c>
      <c r="U302" s="77">
        <v>0</v>
      </c>
      <c r="V302" s="77">
        <v>80</v>
      </c>
      <c r="W302" s="81" t="s">
        <v>686</v>
      </c>
      <c r="X302" s="83" t="str">
        <f>HYPERLINK("https://bit.ly/47SnwWM")</f>
        <v>https://bit.ly/47SnwWM</v>
      </c>
      <c r="Y302" s="77" t="s">
        <v>740</v>
      </c>
      <c r="Z302" s="77" t="s">
        <v>774</v>
      </c>
      <c r="AA302" s="77"/>
      <c r="AB302" s="77"/>
      <c r="AC302" s="81" t="s">
        <v>853</v>
      </c>
      <c r="AD302" s="77" t="s">
        <v>859</v>
      </c>
      <c r="AE302" s="83" t="str">
        <f>HYPERLINK("https://twitter.com/mihkal/status/1695853109212282929")</f>
        <v>https://twitter.com/mihkal/status/1695853109212282929</v>
      </c>
      <c r="AF302" s="79">
        <v>45165.73452546296</v>
      </c>
      <c r="AG302" s="85">
        <v>45165</v>
      </c>
      <c r="AH302" s="81" t="s">
        <v>903</v>
      </c>
      <c r="AI302" s="77" t="b">
        <v>0</v>
      </c>
      <c r="AJ302" s="77"/>
      <c r="AK302" s="77"/>
      <c r="AL302" s="77"/>
      <c r="AM302" s="77"/>
      <c r="AN302" s="77"/>
      <c r="AO302" s="77"/>
      <c r="AP302" s="77"/>
      <c r="AQ302" s="77"/>
      <c r="AR302" s="77"/>
      <c r="AS302" s="77"/>
      <c r="AT302" s="77"/>
      <c r="AU302" s="77"/>
      <c r="AV302" s="83" t="str">
        <f>HYPERLINK("https://pbs.twimg.com/profile_images/1663227887837757440/XOjtFF4W_normal.jpg")</f>
        <v>https://pbs.twimg.com/profile_images/1663227887837757440/XOjtFF4W_normal.jpg</v>
      </c>
      <c r="AW302" s="81" t="s">
        <v>1058</v>
      </c>
      <c r="AX302" s="81" t="s">
        <v>1058</v>
      </c>
      <c r="AY302" s="77"/>
      <c r="AZ302" s="81" t="s">
        <v>1190</v>
      </c>
      <c r="BA302" s="81" t="s">
        <v>1190</v>
      </c>
      <c r="BB302" s="81" t="s">
        <v>1190</v>
      </c>
      <c r="BC302" s="81" t="s">
        <v>1058</v>
      </c>
      <c r="BD302" s="77">
        <v>24256031</v>
      </c>
      <c r="BE302" s="77"/>
      <c r="BF302" s="77"/>
      <c r="BG302" s="77"/>
      <c r="BH302" s="77"/>
      <c r="BI302" s="77"/>
      <c r="BJ302">
        <v>1</v>
      </c>
      <c r="BK302" s="76" t="str">
        <f>REPLACE(INDEX(GroupVertices[Group],MATCH(Edges[[#This Row],[Vertex 1]],GroupVertices[Vertex],0)),1,1,"")</f>
        <v>1</v>
      </c>
      <c r="BL302" s="76" t="str">
        <f>REPLACE(INDEX(GroupVertices[Group],MATCH(Edges[[#This Row],[Vertex 2]],GroupVertices[Vertex],0)),1,1,"")</f>
        <v>1</v>
      </c>
      <c r="BM302" s="45"/>
      <c r="BN302" s="46"/>
      <c r="BO302" s="45"/>
      <c r="BP302" s="46"/>
      <c r="BQ302" s="45"/>
      <c r="BR302" s="46"/>
      <c r="BS302" s="45"/>
      <c r="BT302" s="46"/>
      <c r="BU302" s="45"/>
    </row>
    <row r="303" spans="1:73" ht="15">
      <c r="A303" s="61" t="s">
        <v>229</v>
      </c>
      <c r="B303" s="61" t="s">
        <v>396</v>
      </c>
      <c r="C303" s="62" t="s">
        <v>11692</v>
      </c>
      <c r="D303" s="63">
        <v>3</v>
      </c>
      <c r="E303" s="64" t="s">
        <v>132</v>
      </c>
      <c r="F303" s="65">
        <v>32</v>
      </c>
      <c r="G303" s="62"/>
      <c r="H303" s="66"/>
      <c r="I303" s="67"/>
      <c r="J303" s="67"/>
      <c r="K303" s="31" t="s">
        <v>65</v>
      </c>
      <c r="L303" s="75">
        <v>303</v>
      </c>
      <c r="M303" s="75"/>
      <c r="N303" s="69"/>
      <c r="O303" s="77" t="s">
        <v>539</v>
      </c>
      <c r="P303" s="79">
        <v>45165.73452546296</v>
      </c>
      <c r="Q303" s="77" t="s">
        <v>576</v>
      </c>
      <c r="R303" s="77">
        <v>0</v>
      </c>
      <c r="S303" s="77">
        <v>5</v>
      </c>
      <c r="T303" s="77">
        <v>0</v>
      </c>
      <c r="U303" s="77">
        <v>0</v>
      </c>
      <c r="V303" s="77">
        <v>80</v>
      </c>
      <c r="W303" s="81" t="s">
        <v>686</v>
      </c>
      <c r="X303" s="83" t="str">
        <f>HYPERLINK("https://bit.ly/47SnwWM")</f>
        <v>https://bit.ly/47SnwWM</v>
      </c>
      <c r="Y303" s="77" t="s">
        <v>740</v>
      </c>
      <c r="Z303" s="77" t="s">
        <v>774</v>
      </c>
      <c r="AA303" s="77"/>
      <c r="AB303" s="77"/>
      <c r="AC303" s="81" t="s">
        <v>853</v>
      </c>
      <c r="AD303" s="77" t="s">
        <v>859</v>
      </c>
      <c r="AE303" s="83" t="str">
        <f>HYPERLINK("https://twitter.com/mihkal/status/1695853109212282929")</f>
        <v>https://twitter.com/mihkal/status/1695853109212282929</v>
      </c>
      <c r="AF303" s="79">
        <v>45165.73452546296</v>
      </c>
      <c r="AG303" s="85">
        <v>45165</v>
      </c>
      <c r="AH303" s="81" t="s">
        <v>903</v>
      </c>
      <c r="AI303" s="77" t="b">
        <v>0</v>
      </c>
      <c r="AJ303" s="77"/>
      <c r="AK303" s="77"/>
      <c r="AL303" s="77"/>
      <c r="AM303" s="77"/>
      <c r="AN303" s="77"/>
      <c r="AO303" s="77"/>
      <c r="AP303" s="77"/>
      <c r="AQ303" s="77"/>
      <c r="AR303" s="77"/>
      <c r="AS303" s="77"/>
      <c r="AT303" s="77"/>
      <c r="AU303" s="77"/>
      <c r="AV303" s="83" t="str">
        <f>HYPERLINK("https://pbs.twimg.com/profile_images/1663227887837757440/XOjtFF4W_normal.jpg")</f>
        <v>https://pbs.twimg.com/profile_images/1663227887837757440/XOjtFF4W_normal.jpg</v>
      </c>
      <c r="AW303" s="81" t="s">
        <v>1058</v>
      </c>
      <c r="AX303" s="81" t="s">
        <v>1058</v>
      </c>
      <c r="AY303" s="77"/>
      <c r="AZ303" s="81" t="s">
        <v>1190</v>
      </c>
      <c r="BA303" s="81" t="s">
        <v>1190</v>
      </c>
      <c r="BB303" s="81" t="s">
        <v>1190</v>
      </c>
      <c r="BC303" s="81" t="s">
        <v>1058</v>
      </c>
      <c r="BD303" s="77">
        <v>24256031</v>
      </c>
      <c r="BE303" s="77"/>
      <c r="BF303" s="77"/>
      <c r="BG303" s="77"/>
      <c r="BH303" s="77"/>
      <c r="BI303" s="77"/>
      <c r="BJ303">
        <v>1</v>
      </c>
      <c r="BK303" s="76" t="str">
        <f>REPLACE(INDEX(GroupVertices[Group],MATCH(Edges[[#This Row],[Vertex 1]],GroupVertices[Vertex],0)),1,1,"")</f>
        <v>1</v>
      </c>
      <c r="BL303" s="76" t="str">
        <f>REPLACE(INDEX(GroupVertices[Group],MATCH(Edges[[#This Row],[Vertex 2]],GroupVertices[Vertex],0)),1,1,"")</f>
        <v>1</v>
      </c>
      <c r="BM303" s="45"/>
      <c r="BN303" s="46"/>
      <c r="BO303" s="45"/>
      <c r="BP303" s="46"/>
      <c r="BQ303" s="45"/>
      <c r="BR303" s="46"/>
      <c r="BS303" s="45"/>
      <c r="BT303" s="46"/>
      <c r="BU303" s="45"/>
    </row>
    <row r="304" spans="1:73" ht="15">
      <c r="A304" s="61" t="s">
        <v>229</v>
      </c>
      <c r="B304" s="61" t="s">
        <v>397</v>
      </c>
      <c r="C304" s="62" t="s">
        <v>11692</v>
      </c>
      <c r="D304" s="63">
        <v>3</v>
      </c>
      <c r="E304" s="64" t="s">
        <v>132</v>
      </c>
      <c r="F304" s="65">
        <v>32</v>
      </c>
      <c r="G304" s="62"/>
      <c r="H304" s="66"/>
      <c r="I304" s="67"/>
      <c r="J304" s="67"/>
      <c r="K304" s="31" t="s">
        <v>65</v>
      </c>
      <c r="L304" s="75">
        <v>304</v>
      </c>
      <c r="M304" s="75"/>
      <c r="N304" s="69"/>
      <c r="O304" s="77" t="s">
        <v>539</v>
      </c>
      <c r="P304" s="79">
        <v>45165.73452546296</v>
      </c>
      <c r="Q304" s="77" t="s">
        <v>576</v>
      </c>
      <c r="R304" s="77">
        <v>0</v>
      </c>
      <c r="S304" s="77">
        <v>5</v>
      </c>
      <c r="T304" s="77">
        <v>0</v>
      </c>
      <c r="U304" s="77">
        <v>0</v>
      </c>
      <c r="V304" s="77">
        <v>80</v>
      </c>
      <c r="W304" s="81" t="s">
        <v>686</v>
      </c>
      <c r="X304" s="83" t="str">
        <f>HYPERLINK("https://bit.ly/47SnwWM")</f>
        <v>https://bit.ly/47SnwWM</v>
      </c>
      <c r="Y304" s="77" t="s">
        <v>740</v>
      </c>
      <c r="Z304" s="77" t="s">
        <v>774</v>
      </c>
      <c r="AA304" s="77"/>
      <c r="AB304" s="77"/>
      <c r="AC304" s="81" t="s">
        <v>853</v>
      </c>
      <c r="AD304" s="77" t="s">
        <v>859</v>
      </c>
      <c r="AE304" s="83" t="str">
        <f>HYPERLINK("https://twitter.com/mihkal/status/1695853109212282929")</f>
        <v>https://twitter.com/mihkal/status/1695853109212282929</v>
      </c>
      <c r="AF304" s="79">
        <v>45165.73452546296</v>
      </c>
      <c r="AG304" s="85">
        <v>45165</v>
      </c>
      <c r="AH304" s="81" t="s">
        <v>903</v>
      </c>
      <c r="AI304" s="77" t="b">
        <v>0</v>
      </c>
      <c r="AJ304" s="77"/>
      <c r="AK304" s="77"/>
      <c r="AL304" s="77"/>
      <c r="AM304" s="77"/>
      <c r="AN304" s="77"/>
      <c r="AO304" s="77"/>
      <c r="AP304" s="77"/>
      <c r="AQ304" s="77"/>
      <c r="AR304" s="77"/>
      <c r="AS304" s="77"/>
      <c r="AT304" s="77"/>
      <c r="AU304" s="77"/>
      <c r="AV304" s="83" t="str">
        <f>HYPERLINK("https://pbs.twimg.com/profile_images/1663227887837757440/XOjtFF4W_normal.jpg")</f>
        <v>https://pbs.twimg.com/profile_images/1663227887837757440/XOjtFF4W_normal.jpg</v>
      </c>
      <c r="AW304" s="81" t="s">
        <v>1058</v>
      </c>
      <c r="AX304" s="81" t="s">
        <v>1058</v>
      </c>
      <c r="AY304" s="77"/>
      <c r="AZ304" s="81" t="s">
        <v>1190</v>
      </c>
      <c r="BA304" s="81" t="s">
        <v>1190</v>
      </c>
      <c r="BB304" s="81" t="s">
        <v>1190</v>
      </c>
      <c r="BC304" s="81" t="s">
        <v>1058</v>
      </c>
      <c r="BD304" s="77">
        <v>24256031</v>
      </c>
      <c r="BE304" s="77"/>
      <c r="BF304" s="77"/>
      <c r="BG304" s="77"/>
      <c r="BH304" s="77"/>
      <c r="BI304" s="77"/>
      <c r="BJ304">
        <v>1</v>
      </c>
      <c r="BK304" s="76" t="str">
        <f>REPLACE(INDEX(GroupVertices[Group],MATCH(Edges[[#This Row],[Vertex 1]],GroupVertices[Vertex],0)),1,1,"")</f>
        <v>1</v>
      </c>
      <c r="BL304" s="76" t="str">
        <f>REPLACE(INDEX(GroupVertices[Group],MATCH(Edges[[#This Row],[Vertex 2]],GroupVertices[Vertex],0)),1,1,"")</f>
        <v>1</v>
      </c>
      <c r="BM304" s="45"/>
      <c r="BN304" s="46"/>
      <c r="BO304" s="45"/>
      <c r="BP304" s="46"/>
      <c r="BQ304" s="45"/>
      <c r="BR304" s="46"/>
      <c r="BS304" s="45"/>
      <c r="BT304" s="46"/>
      <c r="BU304" s="45"/>
    </row>
    <row r="305" spans="1:73" ht="15">
      <c r="A305" s="61" t="s">
        <v>229</v>
      </c>
      <c r="B305" s="61" t="s">
        <v>398</v>
      </c>
      <c r="C305" s="62" t="s">
        <v>11692</v>
      </c>
      <c r="D305" s="63">
        <v>3</v>
      </c>
      <c r="E305" s="64" t="s">
        <v>132</v>
      </c>
      <c r="F305" s="65">
        <v>32</v>
      </c>
      <c r="G305" s="62"/>
      <c r="H305" s="66"/>
      <c r="I305" s="67"/>
      <c r="J305" s="67"/>
      <c r="K305" s="31" t="s">
        <v>65</v>
      </c>
      <c r="L305" s="75">
        <v>305</v>
      </c>
      <c r="M305" s="75"/>
      <c r="N305" s="69"/>
      <c r="O305" s="77" t="s">
        <v>539</v>
      </c>
      <c r="P305" s="79">
        <v>45165.73452546296</v>
      </c>
      <c r="Q305" s="77" t="s">
        <v>576</v>
      </c>
      <c r="R305" s="77">
        <v>0</v>
      </c>
      <c r="S305" s="77">
        <v>5</v>
      </c>
      <c r="T305" s="77">
        <v>0</v>
      </c>
      <c r="U305" s="77">
        <v>0</v>
      </c>
      <c r="V305" s="77">
        <v>80</v>
      </c>
      <c r="W305" s="81" t="s">
        <v>686</v>
      </c>
      <c r="X305" s="83" t="str">
        <f>HYPERLINK("https://bit.ly/47SnwWM")</f>
        <v>https://bit.ly/47SnwWM</v>
      </c>
      <c r="Y305" s="77" t="s">
        <v>740</v>
      </c>
      <c r="Z305" s="77" t="s">
        <v>774</v>
      </c>
      <c r="AA305" s="77"/>
      <c r="AB305" s="77"/>
      <c r="AC305" s="81" t="s">
        <v>853</v>
      </c>
      <c r="AD305" s="77" t="s">
        <v>859</v>
      </c>
      <c r="AE305" s="83" t="str">
        <f>HYPERLINK("https://twitter.com/mihkal/status/1695853109212282929")</f>
        <v>https://twitter.com/mihkal/status/1695853109212282929</v>
      </c>
      <c r="AF305" s="79">
        <v>45165.73452546296</v>
      </c>
      <c r="AG305" s="85">
        <v>45165</v>
      </c>
      <c r="AH305" s="81" t="s">
        <v>903</v>
      </c>
      <c r="AI305" s="77" t="b">
        <v>0</v>
      </c>
      <c r="AJ305" s="77"/>
      <c r="AK305" s="77"/>
      <c r="AL305" s="77"/>
      <c r="AM305" s="77"/>
      <c r="AN305" s="77"/>
      <c r="AO305" s="77"/>
      <c r="AP305" s="77"/>
      <c r="AQ305" s="77"/>
      <c r="AR305" s="77"/>
      <c r="AS305" s="77"/>
      <c r="AT305" s="77"/>
      <c r="AU305" s="77"/>
      <c r="AV305" s="83" t="str">
        <f>HYPERLINK("https://pbs.twimg.com/profile_images/1663227887837757440/XOjtFF4W_normal.jpg")</f>
        <v>https://pbs.twimg.com/profile_images/1663227887837757440/XOjtFF4W_normal.jpg</v>
      </c>
      <c r="AW305" s="81" t="s">
        <v>1058</v>
      </c>
      <c r="AX305" s="81" t="s">
        <v>1058</v>
      </c>
      <c r="AY305" s="77"/>
      <c r="AZ305" s="81" t="s">
        <v>1190</v>
      </c>
      <c r="BA305" s="81" t="s">
        <v>1190</v>
      </c>
      <c r="BB305" s="81" t="s">
        <v>1190</v>
      </c>
      <c r="BC305" s="81" t="s">
        <v>1058</v>
      </c>
      <c r="BD305" s="77">
        <v>24256031</v>
      </c>
      <c r="BE305" s="77"/>
      <c r="BF305" s="77"/>
      <c r="BG305" s="77"/>
      <c r="BH305" s="77"/>
      <c r="BI305" s="77"/>
      <c r="BJ305">
        <v>1</v>
      </c>
      <c r="BK305" s="76" t="str">
        <f>REPLACE(INDEX(GroupVertices[Group],MATCH(Edges[[#This Row],[Vertex 1]],GroupVertices[Vertex],0)),1,1,"")</f>
        <v>1</v>
      </c>
      <c r="BL305" s="76" t="str">
        <f>REPLACE(INDEX(GroupVertices[Group],MATCH(Edges[[#This Row],[Vertex 2]],GroupVertices[Vertex],0)),1,1,"")</f>
        <v>1</v>
      </c>
      <c r="BM305" s="45"/>
      <c r="BN305" s="46"/>
      <c r="BO305" s="45"/>
      <c r="BP305" s="46"/>
      <c r="BQ305" s="45"/>
      <c r="BR305" s="46"/>
      <c r="BS305" s="45"/>
      <c r="BT305" s="46"/>
      <c r="BU305" s="45"/>
    </row>
    <row r="306" spans="1:73" ht="15">
      <c r="A306" s="61" t="s">
        <v>229</v>
      </c>
      <c r="B306" s="61" t="s">
        <v>399</v>
      </c>
      <c r="C306" s="62" t="s">
        <v>11692</v>
      </c>
      <c r="D306" s="63">
        <v>3</v>
      </c>
      <c r="E306" s="64" t="s">
        <v>132</v>
      </c>
      <c r="F306" s="65">
        <v>32</v>
      </c>
      <c r="G306" s="62"/>
      <c r="H306" s="66"/>
      <c r="I306" s="67"/>
      <c r="J306" s="67"/>
      <c r="K306" s="31" t="s">
        <v>65</v>
      </c>
      <c r="L306" s="75">
        <v>306</v>
      </c>
      <c r="M306" s="75"/>
      <c r="N306" s="69"/>
      <c r="O306" s="77" t="s">
        <v>539</v>
      </c>
      <c r="P306" s="79">
        <v>45165.73452546296</v>
      </c>
      <c r="Q306" s="77" t="s">
        <v>576</v>
      </c>
      <c r="R306" s="77">
        <v>0</v>
      </c>
      <c r="S306" s="77">
        <v>5</v>
      </c>
      <c r="T306" s="77">
        <v>0</v>
      </c>
      <c r="U306" s="77">
        <v>0</v>
      </c>
      <c r="V306" s="77">
        <v>80</v>
      </c>
      <c r="W306" s="81" t="s">
        <v>686</v>
      </c>
      <c r="X306" s="83" t="str">
        <f>HYPERLINK("https://bit.ly/47SnwWM")</f>
        <v>https://bit.ly/47SnwWM</v>
      </c>
      <c r="Y306" s="77" t="s">
        <v>740</v>
      </c>
      <c r="Z306" s="77" t="s">
        <v>774</v>
      </c>
      <c r="AA306" s="77"/>
      <c r="AB306" s="77"/>
      <c r="AC306" s="81" t="s">
        <v>853</v>
      </c>
      <c r="AD306" s="77" t="s">
        <v>859</v>
      </c>
      <c r="AE306" s="83" t="str">
        <f>HYPERLINK("https://twitter.com/mihkal/status/1695853109212282929")</f>
        <v>https://twitter.com/mihkal/status/1695853109212282929</v>
      </c>
      <c r="AF306" s="79">
        <v>45165.73452546296</v>
      </c>
      <c r="AG306" s="85">
        <v>45165</v>
      </c>
      <c r="AH306" s="81" t="s">
        <v>903</v>
      </c>
      <c r="AI306" s="77" t="b">
        <v>0</v>
      </c>
      <c r="AJ306" s="77"/>
      <c r="AK306" s="77"/>
      <c r="AL306" s="77"/>
      <c r="AM306" s="77"/>
      <c r="AN306" s="77"/>
      <c r="AO306" s="77"/>
      <c r="AP306" s="77"/>
      <c r="AQ306" s="77"/>
      <c r="AR306" s="77"/>
      <c r="AS306" s="77"/>
      <c r="AT306" s="77"/>
      <c r="AU306" s="77"/>
      <c r="AV306" s="83" t="str">
        <f>HYPERLINK("https://pbs.twimg.com/profile_images/1663227887837757440/XOjtFF4W_normal.jpg")</f>
        <v>https://pbs.twimg.com/profile_images/1663227887837757440/XOjtFF4W_normal.jpg</v>
      </c>
      <c r="AW306" s="81" t="s">
        <v>1058</v>
      </c>
      <c r="AX306" s="81" t="s">
        <v>1058</v>
      </c>
      <c r="AY306" s="77"/>
      <c r="AZ306" s="81" t="s">
        <v>1190</v>
      </c>
      <c r="BA306" s="81" t="s">
        <v>1190</v>
      </c>
      <c r="BB306" s="81" t="s">
        <v>1190</v>
      </c>
      <c r="BC306" s="81" t="s">
        <v>1058</v>
      </c>
      <c r="BD306" s="77">
        <v>24256031</v>
      </c>
      <c r="BE306" s="77"/>
      <c r="BF306" s="77"/>
      <c r="BG306" s="77"/>
      <c r="BH306" s="77"/>
      <c r="BI306" s="77"/>
      <c r="BJ306">
        <v>1</v>
      </c>
      <c r="BK306" s="76" t="str">
        <f>REPLACE(INDEX(GroupVertices[Group],MATCH(Edges[[#This Row],[Vertex 1]],GroupVertices[Vertex],0)),1,1,"")</f>
        <v>1</v>
      </c>
      <c r="BL306" s="76" t="str">
        <f>REPLACE(INDEX(GroupVertices[Group],MATCH(Edges[[#This Row],[Vertex 2]],GroupVertices[Vertex],0)),1,1,"")</f>
        <v>1</v>
      </c>
      <c r="BM306" s="45"/>
      <c r="BN306" s="46"/>
      <c r="BO306" s="45"/>
      <c r="BP306" s="46"/>
      <c r="BQ306" s="45"/>
      <c r="BR306" s="46"/>
      <c r="BS306" s="45"/>
      <c r="BT306" s="46"/>
      <c r="BU306" s="45"/>
    </row>
    <row r="307" spans="1:73" ht="15">
      <c r="A307" s="61" t="s">
        <v>229</v>
      </c>
      <c r="B307" s="61" t="s">
        <v>400</v>
      </c>
      <c r="C307" s="62" t="s">
        <v>11692</v>
      </c>
      <c r="D307" s="63">
        <v>3</v>
      </c>
      <c r="E307" s="64" t="s">
        <v>132</v>
      </c>
      <c r="F307" s="65">
        <v>32</v>
      </c>
      <c r="G307" s="62"/>
      <c r="H307" s="66"/>
      <c r="I307" s="67"/>
      <c r="J307" s="67"/>
      <c r="K307" s="31" t="s">
        <v>65</v>
      </c>
      <c r="L307" s="75">
        <v>307</v>
      </c>
      <c r="M307" s="75"/>
      <c r="N307" s="69"/>
      <c r="O307" s="77" t="s">
        <v>539</v>
      </c>
      <c r="P307" s="79">
        <v>45165.73452546296</v>
      </c>
      <c r="Q307" s="77" t="s">
        <v>576</v>
      </c>
      <c r="R307" s="77">
        <v>0</v>
      </c>
      <c r="S307" s="77">
        <v>5</v>
      </c>
      <c r="T307" s="77">
        <v>0</v>
      </c>
      <c r="U307" s="77">
        <v>0</v>
      </c>
      <c r="V307" s="77">
        <v>80</v>
      </c>
      <c r="W307" s="81" t="s">
        <v>686</v>
      </c>
      <c r="X307" s="83" t="str">
        <f>HYPERLINK("https://bit.ly/47SnwWM")</f>
        <v>https://bit.ly/47SnwWM</v>
      </c>
      <c r="Y307" s="77" t="s">
        <v>740</v>
      </c>
      <c r="Z307" s="77" t="s">
        <v>774</v>
      </c>
      <c r="AA307" s="77"/>
      <c r="AB307" s="77"/>
      <c r="AC307" s="81" t="s">
        <v>853</v>
      </c>
      <c r="AD307" s="77" t="s">
        <v>859</v>
      </c>
      <c r="AE307" s="83" t="str">
        <f>HYPERLINK("https://twitter.com/mihkal/status/1695853109212282929")</f>
        <v>https://twitter.com/mihkal/status/1695853109212282929</v>
      </c>
      <c r="AF307" s="79">
        <v>45165.73452546296</v>
      </c>
      <c r="AG307" s="85">
        <v>45165</v>
      </c>
      <c r="AH307" s="81" t="s">
        <v>903</v>
      </c>
      <c r="AI307" s="77" t="b">
        <v>0</v>
      </c>
      <c r="AJ307" s="77"/>
      <c r="AK307" s="77"/>
      <c r="AL307" s="77"/>
      <c r="AM307" s="77"/>
      <c r="AN307" s="77"/>
      <c r="AO307" s="77"/>
      <c r="AP307" s="77"/>
      <c r="AQ307" s="77"/>
      <c r="AR307" s="77"/>
      <c r="AS307" s="77"/>
      <c r="AT307" s="77"/>
      <c r="AU307" s="77"/>
      <c r="AV307" s="83" t="str">
        <f>HYPERLINK("https://pbs.twimg.com/profile_images/1663227887837757440/XOjtFF4W_normal.jpg")</f>
        <v>https://pbs.twimg.com/profile_images/1663227887837757440/XOjtFF4W_normal.jpg</v>
      </c>
      <c r="AW307" s="81" t="s">
        <v>1058</v>
      </c>
      <c r="AX307" s="81" t="s">
        <v>1058</v>
      </c>
      <c r="AY307" s="77"/>
      <c r="AZ307" s="81" t="s">
        <v>1190</v>
      </c>
      <c r="BA307" s="81" t="s">
        <v>1190</v>
      </c>
      <c r="BB307" s="81" t="s">
        <v>1190</v>
      </c>
      <c r="BC307" s="81" t="s">
        <v>1058</v>
      </c>
      <c r="BD307" s="77">
        <v>24256031</v>
      </c>
      <c r="BE307" s="77"/>
      <c r="BF307" s="77"/>
      <c r="BG307" s="77"/>
      <c r="BH307" s="77"/>
      <c r="BI307" s="77"/>
      <c r="BJ307">
        <v>1</v>
      </c>
      <c r="BK307" s="76" t="str">
        <f>REPLACE(INDEX(GroupVertices[Group],MATCH(Edges[[#This Row],[Vertex 1]],GroupVertices[Vertex],0)),1,1,"")</f>
        <v>1</v>
      </c>
      <c r="BL307" s="76" t="str">
        <f>REPLACE(INDEX(GroupVertices[Group],MATCH(Edges[[#This Row],[Vertex 2]],GroupVertices[Vertex],0)),1,1,"")</f>
        <v>1</v>
      </c>
      <c r="BM307" s="45"/>
      <c r="BN307" s="46"/>
      <c r="BO307" s="45"/>
      <c r="BP307" s="46"/>
      <c r="BQ307" s="45"/>
      <c r="BR307" s="46"/>
      <c r="BS307" s="45"/>
      <c r="BT307" s="46"/>
      <c r="BU307" s="45"/>
    </row>
    <row r="308" spans="1:73" ht="15">
      <c r="A308" s="61" t="s">
        <v>229</v>
      </c>
      <c r="B308" s="61" t="s">
        <v>401</v>
      </c>
      <c r="C308" s="62" t="s">
        <v>11692</v>
      </c>
      <c r="D308" s="63">
        <v>3</v>
      </c>
      <c r="E308" s="64" t="s">
        <v>132</v>
      </c>
      <c r="F308" s="65">
        <v>32</v>
      </c>
      <c r="G308" s="62"/>
      <c r="H308" s="66"/>
      <c r="I308" s="67"/>
      <c r="J308" s="67"/>
      <c r="K308" s="31" t="s">
        <v>65</v>
      </c>
      <c r="L308" s="75">
        <v>308</v>
      </c>
      <c r="M308" s="75"/>
      <c r="N308" s="69"/>
      <c r="O308" s="77" t="s">
        <v>539</v>
      </c>
      <c r="P308" s="79">
        <v>45165.73452546296</v>
      </c>
      <c r="Q308" s="77" t="s">
        <v>576</v>
      </c>
      <c r="R308" s="77">
        <v>0</v>
      </c>
      <c r="S308" s="77">
        <v>5</v>
      </c>
      <c r="T308" s="77">
        <v>0</v>
      </c>
      <c r="U308" s="77">
        <v>0</v>
      </c>
      <c r="V308" s="77">
        <v>80</v>
      </c>
      <c r="W308" s="81" t="s">
        <v>686</v>
      </c>
      <c r="X308" s="83" t="str">
        <f>HYPERLINK("https://bit.ly/47SnwWM")</f>
        <v>https://bit.ly/47SnwWM</v>
      </c>
      <c r="Y308" s="77" t="s">
        <v>740</v>
      </c>
      <c r="Z308" s="77" t="s">
        <v>774</v>
      </c>
      <c r="AA308" s="77"/>
      <c r="AB308" s="77"/>
      <c r="AC308" s="81" t="s">
        <v>853</v>
      </c>
      <c r="AD308" s="77" t="s">
        <v>859</v>
      </c>
      <c r="AE308" s="83" t="str">
        <f>HYPERLINK("https://twitter.com/mihkal/status/1695853109212282929")</f>
        <v>https://twitter.com/mihkal/status/1695853109212282929</v>
      </c>
      <c r="AF308" s="79">
        <v>45165.73452546296</v>
      </c>
      <c r="AG308" s="85">
        <v>45165</v>
      </c>
      <c r="AH308" s="81" t="s">
        <v>903</v>
      </c>
      <c r="AI308" s="77" t="b">
        <v>0</v>
      </c>
      <c r="AJ308" s="77"/>
      <c r="AK308" s="77"/>
      <c r="AL308" s="77"/>
      <c r="AM308" s="77"/>
      <c r="AN308" s="77"/>
      <c r="AO308" s="77"/>
      <c r="AP308" s="77"/>
      <c r="AQ308" s="77"/>
      <c r="AR308" s="77"/>
      <c r="AS308" s="77"/>
      <c r="AT308" s="77"/>
      <c r="AU308" s="77"/>
      <c r="AV308" s="83" t="str">
        <f>HYPERLINK("https://pbs.twimg.com/profile_images/1663227887837757440/XOjtFF4W_normal.jpg")</f>
        <v>https://pbs.twimg.com/profile_images/1663227887837757440/XOjtFF4W_normal.jpg</v>
      </c>
      <c r="AW308" s="81" t="s">
        <v>1058</v>
      </c>
      <c r="AX308" s="81" t="s">
        <v>1058</v>
      </c>
      <c r="AY308" s="77"/>
      <c r="AZ308" s="81" t="s">
        <v>1190</v>
      </c>
      <c r="BA308" s="81" t="s">
        <v>1190</v>
      </c>
      <c r="BB308" s="81" t="s">
        <v>1190</v>
      </c>
      <c r="BC308" s="81" t="s">
        <v>1058</v>
      </c>
      <c r="BD308" s="77">
        <v>24256031</v>
      </c>
      <c r="BE308" s="77"/>
      <c r="BF308" s="77"/>
      <c r="BG308" s="77"/>
      <c r="BH308" s="77"/>
      <c r="BI308" s="77"/>
      <c r="BJ308">
        <v>1</v>
      </c>
      <c r="BK308" s="76" t="str">
        <f>REPLACE(INDEX(GroupVertices[Group],MATCH(Edges[[#This Row],[Vertex 1]],GroupVertices[Vertex],0)),1,1,"")</f>
        <v>1</v>
      </c>
      <c r="BL308" s="76" t="str">
        <f>REPLACE(INDEX(GroupVertices[Group],MATCH(Edges[[#This Row],[Vertex 2]],GroupVertices[Vertex],0)),1,1,"")</f>
        <v>1</v>
      </c>
      <c r="BM308" s="45"/>
      <c r="BN308" s="46"/>
      <c r="BO308" s="45"/>
      <c r="BP308" s="46"/>
      <c r="BQ308" s="45"/>
      <c r="BR308" s="46"/>
      <c r="BS308" s="45"/>
      <c r="BT308" s="46"/>
      <c r="BU308" s="45"/>
    </row>
    <row r="309" spans="1:73" ht="15">
      <c r="A309" s="61" t="s">
        <v>229</v>
      </c>
      <c r="B309" s="61" t="s">
        <v>402</v>
      </c>
      <c r="C309" s="62" t="s">
        <v>11692</v>
      </c>
      <c r="D309" s="63">
        <v>3</v>
      </c>
      <c r="E309" s="64" t="s">
        <v>132</v>
      </c>
      <c r="F309" s="65">
        <v>32</v>
      </c>
      <c r="G309" s="62"/>
      <c r="H309" s="66"/>
      <c r="I309" s="67"/>
      <c r="J309" s="67"/>
      <c r="K309" s="31" t="s">
        <v>65</v>
      </c>
      <c r="L309" s="75">
        <v>309</v>
      </c>
      <c r="M309" s="75"/>
      <c r="N309" s="69"/>
      <c r="O309" s="77" t="s">
        <v>539</v>
      </c>
      <c r="P309" s="79">
        <v>45166.26935185185</v>
      </c>
      <c r="Q309" s="77" t="s">
        <v>577</v>
      </c>
      <c r="R309" s="77">
        <v>0</v>
      </c>
      <c r="S309" s="77">
        <v>5</v>
      </c>
      <c r="T309" s="77">
        <v>0</v>
      </c>
      <c r="U309" s="77">
        <v>0</v>
      </c>
      <c r="V309" s="77">
        <v>70</v>
      </c>
      <c r="W309" s="81" t="s">
        <v>687</v>
      </c>
      <c r="X309" s="83" t="str">
        <f>HYPERLINK("https://bit.ly/3qQa1q2")</f>
        <v>https://bit.ly/3qQa1q2</v>
      </c>
      <c r="Y309" s="77" t="s">
        <v>740</v>
      </c>
      <c r="Z309" s="77" t="s">
        <v>775</v>
      </c>
      <c r="AA309" s="77"/>
      <c r="AB309" s="77"/>
      <c r="AC309" s="81" t="s">
        <v>853</v>
      </c>
      <c r="AD309" s="77" t="s">
        <v>859</v>
      </c>
      <c r="AE309" s="83" t="str">
        <f>HYPERLINK("https://twitter.com/mihkal/status/1696046926582403149")</f>
        <v>https://twitter.com/mihkal/status/1696046926582403149</v>
      </c>
      <c r="AF309" s="79">
        <v>45166.26935185185</v>
      </c>
      <c r="AG309" s="85">
        <v>45166</v>
      </c>
      <c r="AH309" s="81" t="s">
        <v>904</v>
      </c>
      <c r="AI309" s="77" t="b">
        <v>0</v>
      </c>
      <c r="AJ309" s="77"/>
      <c r="AK309" s="77"/>
      <c r="AL309" s="77"/>
      <c r="AM309" s="77"/>
      <c r="AN309" s="77"/>
      <c r="AO309" s="77"/>
      <c r="AP309" s="77"/>
      <c r="AQ309" s="77"/>
      <c r="AR309" s="77"/>
      <c r="AS309" s="77"/>
      <c r="AT309" s="77"/>
      <c r="AU309" s="77"/>
      <c r="AV309" s="83" t="str">
        <f>HYPERLINK("https://pbs.twimg.com/profile_images/1663227887837757440/XOjtFF4W_normal.jpg")</f>
        <v>https://pbs.twimg.com/profile_images/1663227887837757440/XOjtFF4W_normal.jpg</v>
      </c>
      <c r="AW309" s="81" t="s">
        <v>1059</v>
      </c>
      <c r="AX309" s="81" t="s">
        <v>1059</v>
      </c>
      <c r="AY309" s="77"/>
      <c r="AZ309" s="81" t="s">
        <v>1190</v>
      </c>
      <c r="BA309" s="81" t="s">
        <v>1190</v>
      </c>
      <c r="BB309" s="81" t="s">
        <v>1190</v>
      </c>
      <c r="BC309" s="81" t="s">
        <v>1059</v>
      </c>
      <c r="BD309" s="77">
        <v>24256031</v>
      </c>
      <c r="BE309" s="77"/>
      <c r="BF309" s="77"/>
      <c r="BG309" s="77"/>
      <c r="BH309" s="77"/>
      <c r="BI309" s="77"/>
      <c r="BJ309">
        <v>1</v>
      </c>
      <c r="BK309" s="76" t="str">
        <f>REPLACE(INDEX(GroupVertices[Group],MATCH(Edges[[#This Row],[Vertex 1]],GroupVertices[Vertex],0)),1,1,"")</f>
        <v>1</v>
      </c>
      <c r="BL309" s="76" t="str">
        <f>REPLACE(INDEX(GroupVertices[Group],MATCH(Edges[[#This Row],[Vertex 2]],GroupVertices[Vertex],0)),1,1,"")</f>
        <v>1</v>
      </c>
      <c r="BM309" s="45"/>
      <c r="BN309" s="46"/>
      <c r="BO309" s="45"/>
      <c r="BP309" s="46"/>
      <c r="BQ309" s="45"/>
      <c r="BR309" s="46"/>
      <c r="BS309" s="45"/>
      <c r="BT309" s="46"/>
      <c r="BU309" s="45"/>
    </row>
    <row r="310" spans="1:73" ht="15">
      <c r="A310" s="61" t="s">
        <v>229</v>
      </c>
      <c r="B310" s="61" t="s">
        <v>403</v>
      </c>
      <c r="C310" s="62" t="s">
        <v>11692</v>
      </c>
      <c r="D310" s="63">
        <v>3</v>
      </c>
      <c r="E310" s="64" t="s">
        <v>132</v>
      </c>
      <c r="F310" s="65">
        <v>32</v>
      </c>
      <c r="G310" s="62"/>
      <c r="H310" s="66"/>
      <c r="I310" s="67"/>
      <c r="J310" s="67"/>
      <c r="K310" s="31" t="s">
        <v>65</v>
      </c>
      <c r="L310" s="75">
        <v>310</v>
      </c>
      <c r="M310" s="75"/>
      <c r="N310" s="69"/>
      <c r="O310" s="77" t="s">
        <v>539</v>
      </c>
      <c r="P310" s="79">
        <v>45166.26935185185</v>
      </c>
      <c r="Q310" s="77" t="s">
        <v>577</v>
      </c>
      <c r="R310" s="77">
        <v>0</v>
      </c>
      <c r="S310" s="77">
        <v>5</v>
      </c>
      <c r="T310" s="77">
        <v>0</v>
      </c>
      <c r="U310" s="77">
        <v>0</v>
      </c>
      <c r="V310" s="77">
        <v>70</v>
      </c>
      <c r="W310" s="81" t="s">
        <v>687</v>
      </c>
      <c r="X310" s="83" t="str">
        <f>HYPERLINK("https://bit.ly/3qQa1q2")</f>
        <v>https://bit.ly/3qQa1q2</v>
      </c>
      <c r="Y310" s="77" t="s">
        <v>740</v>
      </c>
      <c r="Z310" s="77" t="s">
        <v>775</v>
      </c>
      <c r="AA310" s="77"/>
      <c r="AB310" s="77"/>
      <c r="AC310" s="81" t="s">
        <v>853</v>
      </c>
      <c r="AD310" s="77" t="s">
        <v>859</v>
      </c>
      <c r="AE310" s="83" t="str">
        <f>HYPERLINK("https://twitter.com/mihkal/status/1696046926582403149")</f>
        <v>https://twitter.com/mihkal/status/1696046926582403149</v>
      </c>
      <c r="AF310" s="79">
        <v>45166.26935185185</v>
      </c>
      <c r="AG310" s="85">
        <v>45166</v>
      </c>
      <c r="AH310" s="81" t="s">
        <v>904</v>
      </c>
      <c r="AI310" s="77" t="b">
        <v>0</v>
      </c>
      <c r="AJ310" s="77"/>
      <c r="AK310" s="77"/>
      <c r="AL310" s="77"/>
      <c r="AM310" s="77"/>
      <c r="AN310" s="77"/>
      <c r="AO310" s="77"/>
      <c r="AP310" s="77"/>
      <c r="AQ310" s="77"/>
      <c r="AR310" s="77"/>
      <c r="AS310" s="77"/>
      <c r="AT310" s="77"/>
      <c r="AU310" s="77"/>
      <c r="AV310" s="83" t="str">
        <f>HYPERLINK("https://pbs.twimg.com/profile_images/1663227887837757440/XOjtFF4W_normal.jpg")</f>
        <v>https://pbs.twimg.com/profile_images/1663227887837757440/XOjtFF4W_normal.jpg</v>
      </c>
      <c r="AW310" s="81" t="s">
        <v>1059</v>
      </c>
      <c r="AX310" s="81" t="s">
        <v>1059</v>
      </c>
      <c r="AY310" s="77"/>
      <c r="AZ310" s="81" t="s">
        <v>1190</v>
      </c>
      <c r="BA310" s="81" t="s">
        <v>1190</v>
      </c>
      <c r="BB310" s="81" t="s">
        <v>1190</v>
      </c>
      <c r="BC310" s="81" t="s">
        <v>1059</v>
      </c>
      <c r="BD310" s="77">
        <v>24256031</v>
      </c>
      <c r="BE310" s="77"/>
      <c r="BF310" s="77"/>
      <c r="BG310" s="77"/>
      <c r="BH310" s="77"/>
      <c r="BI310" s="77"/>
      <c r="BJ310">
        <v>1</v>
      </c>
      <c r="BK310" s="76" t="str">
        <f>REPLACE(INDEX(GroupVertices[Group],MATCH(Edges[[#This Row],[Vertex 1]],GroupVertices[Vertex],0)),1,1,"")</f>
        <v>1</v>
      </c>
      <c r="BL310" s="76" t="str">
        <f>REPLACE(INDEX(GroupVertices[Group],MATCH(Edges[[#This Row],[Vertex 2]],GroupVertices[Vertex],0)),1,1,"")</f>
        <v>1</v>
      </c>
      <c r="BM310" s="45"/>
      <c r="BN310" s="46"/>
      <c r="BO310" s="45"/>
      <c r="BP310" s="46"/>
      <c r="BQ310" s="45"/>
      <c r="BR310" s="46"/>
      <c r="BS310" s="45"/>
      <c r="BT310" s="46"/>
      <c r="BU310" s="45"/>
    </row>
    <row r="311" spans="1:73" ht="15">
      <c r="A311" s="61" t="s">
        <v>229</v>
      </c>
      <c r="B311" s="61" t="s">
        <v>404</v>
      </c>
      <c r="C311" s="62" t="s">
        <v>11692</v>
      </c>
      <c r="D311" s="63">
        <v>3</v>
      </c>
      <c r="E311" s="64" t="s">
        <v>132</v>
      </c>
      <c r="F311" s="65">
        <v>32</v>
      </c>
      <c r="G311" s="62"/>
      <c r="H311" s="66"/>
      <c r="I311" s="67"/>
      <c r="J311" s="67"/>
      <c r="K311" s="31" t="s">
        <v>65</v>
      </c>
      <c r="L311" s="75">
        <v>311</v>
      </c>
      <c r="M311" s="75"/>
      <c r="N311" s="69"/>
      <c r="O311" s="77" t="s">
        <v>539</v>
      </c>
      <c r="P311" s="79">
        <v>45166.26935185185</v>
      </c>
      <c r="Q311" s="77" t="s">
        <v>577</v>
      </c>
      <c r="R311" s="77">
        <v>0</v>
      </c>
      <c r="S311" s="77">
        <v>5</v>
      </c>
      <c r="T311" s="77">
        <v>0</v>
      </c>
      <c r="U311" s="77">
        <v>0</v>
      </c>
      <c r="V311" s="77">
        <v>70</v>
      </c>
      <c r="W311" s="81" t="s">
        <v>687</v>
      </c>
      <c r="X311" s="83" t="str">
        <f>HYPERLINK("https://bit.ly/3qQa1q2")</f>
        <v>https://bit.ly/3qQa1q2</v>
      </c>
      <c r="Y311" s="77" t="s">
        <v>740</v>
      </c>
      <c r="Z311" s="77" t="s">
        <v>775</v>
      </c>
      <c r="AA311" s="77"/>
      <c r="AB311" s="77"/>
      <c r="AC311" s="81" t="s">
        <v>853</v>
      </c>
      <c r="AD311" s="77" t="s">
        <v>859</v>
      </c>
      <c r="AE311" s="83" t="str">
        <f>HYPERLINK("https://twitter.com/mihkal/status/1696046926582403149")</f>
        <v>https://twitter.com/mihkal/status/1696046926582403149</v>
      </c>
      <c r="AF311" s="79">
        <v>45166.26935185185</v>
      </c>
      <c r="AG311" s="85">
        <v>45166</v>
      </c>
      <c r="AH311" s="81" t="s">
        <v>904</v>
      </c>
      <c r="AI311" s="77" t="b">
        <v>0</v>
      </c>
      <c r="AJ311" s="77"/>
      <c r="AK311" s="77"/>
      <c r="AL311" s="77"/>
      <c r="AM311" s="77"/>
      <c r="AN311" s="77"/>
      <c r="AO311" s="77"/>
      <c r="AP311" s="77"/>
      <c r="AQ311" s="77"/>
      <c r="AR311" s="77"/>
      <c r="AS311" s="77"/>
      <c r="AT311" s="77"/>
      <c r="AU311" s="77"/>
      <c r="AV311" s="83" t="str">
        <f>HYPERLINK("https://pbs.twimg.com/profile_images/1663227887837757440/XOjtFF4W_normal.jpg")</f>
        <v>https://pbs.twimg.com/profile_images/1663227887837757440/XOjtFF4W_normal.jpg</v>
      </c>
      <c r="AW311" s="81" t="s">
        <v>1059</v>
      </c>
      <c r="AX311" s="81" t="s">
        <v>1059</v>
      </c>
      <c r="AY311" s="77"/>
      <c r="AZ311" s="81" t="s">
        <v>1190</v>
      </c>
      <c r="BA311" s="81" t="s">
        <v>1190</v>
      </c>
      <c r="BB311" s="81" t="s">
        <v>1190</v>
      </c>
      <c r="BC311" s="81" t="s">
        <v>1059</v>
      </c>
      <c r="BD311" s="77">
        <v>24256031</v>
      </c>
      <c r="BE311" s="77"/>
      <c r="BF311" s="77"/>
      <c r="BG311" s="77"/>
      <c r="BH311" s="77"/>
      <c r="BI311" s="77"/>
      <c r="BJ311">
        <v>1</v>
      </c>
      <c r="BK311" s="76" t="str">
        <f>REPLACE(INDEX(GroupVertices[Group],MATCH(Edges[[#This Row],[Vertex 1]],GroupVertices[Vertex],0)),1,1,"")</f>
        <v>1</v>
      </c>
      <c r="BL311" s="76" t="str">
        <f>REPLACE(INDEX(GroupVertices[Group],MATCH(Edges[[#This Row],[Vertex 2]],GroupVertices[Vertex],0)),1,1,"")</f>
        <v>1</v>
      </c>
      <c r="BM311" s="45"/>
      <c r="BN311" s="46"/>
      <c r="BO311" s="45"/>
      <c r="BP311" s="46"/>
      <c r="BQ311" s="45"/>
      <c r="BR311" s="46"/>
      <c r="BS311" s="45"/>
      <c r="BT311" s="46"/>
      <c r="BU311" s="45"/>
    </row>
    <row r="312" spans="1:73" ht="15">
      <c r="A312" s="61" t="s">
        <v>229</v>
      </c>
      <c r="B312" s="61" t="s">
        <v>405</v>
      </c>
      <c r="C312" s="62" t="s">
        <v>11692</v>
      </c>
      <c r="D312" s="63">
        <v>3</v>
      </c>
      <c r="E312" s="64" t="s">
        <v>132</v>
      </c>
      <c r="F312" s="65">
        <v>32</v>
      </c>
      <c r="G312" s="62"/>
      <c r="H312" s="66"/>
      <c r="I312" s="67"/>
      <c r="J312" s="67"/>
      <c r="K312" s="31" t="s">
        <v>65</v>
      </c>
      <c r="L312" s="75">
        <v>312</v>
      </c>
      <c r="M312" s="75"/>
      <c r="N312" s="69"/>
      <c r="O312" s="77" t="s">
        <v>539</v>
      </c>
      <c r="P312" s="79">
        <v>45166.26935185185</v>
      </c>
      <c r="Q312" s="77" t="s">
        <v>577</v>
      </c>
      <c r="R312" s="77">
        <v>0</v>
      </c>
      <c r="S312" s="77">
        <v>5</v>
      </c>
      <c r="T312" s="77">
        <v>0</v>
      </c>
      <c r="U312" s="77">
        <v>0</v>
      </c>
      <c r="V312" s="77">
        <v>70</v>
      </c>
      <c r="W312" s="81" t="s">
        <v>687</v>
      </c>
      <c r="X312" s="83" t="str">
        <f>HYPERLINK("https://bit.ly/3qQa1q2")</f>
        <v>https://bit.ly/3qQa1q2</v>
      </c>
      <c r="Y312" s="77" t="s">
        <v>740</v>
      </c>
      <c r="Z312" s="77" t="s">
        <v>775</v>
      </c>
      <c r="AA312" s="77"/>
      <c r="AB312" s="77"/>
      <c r="AC312" s="81" t="s">
        <v>853</v>
      </c>
      <c r="AD312" s="77" t="s">
        <v>859</v>
      </c>
      <c r="AE312" s="83" t="str">
        <f>HYPERLINK("https://twitter.com/mihkal/status/1696046926582403149")</f>
        <v>https://twitter.com/mihkal/status/1696046926582403149</v>
      </c>
      <c r="AF312" s="79">
        <v>45166.26935185185</v>
      </c>
      <c r="AG312" s="85">
        <v>45166</v>
      </c>
      <c r="AH312" s="81" t="s">
        <v>904</v>
      </c>
      <c r="AI312" s="77" t="b">
        <v>0</v>
      </c>
      <c r="AJ312" s="77"/>
      <c r="AK312" s="77"/>
      <c r="AL312" s="77"/>
      <c r="AM312" s="77"/>
      <c r="AN312" s="77"/>
      <c r="AO312" s="77"/>
      <c r="AP312" s="77"/>
      <c r="AQ312" s="77"/>
      <c r="AR312" s="77"/>
      <c r="AS312" s="77"/>
      <c r="AT312" s="77"/>
      <c r="AU312" s="77"/>
      <c r="AV312" s="83" t="str">
        <f>HYPERLINK("https://pbs.twimg.com/profile_images/1663227887837757440/XOjtFF4W_normal.jpg")</f>
        <v>https://pbs.twimg.com/profile_images/1663227887837757440/XOjtFF4W_normal.jpg</v>
      </c>
      <c r="AW312" s="81" t="s">
        <v>1059</v>
      </c>
      <c r="AX312" s="81" t="s">
        <v>1059</v>
      </c>
      <c r="AY312" s="77"/>
      <c r="AZ312" s="81" t="s">
        <v>1190</v>
      </c>
      <c r="BA312" s="81" t="s">
        <v>1190</v>
      </c>
      <c r="BB312" s="81" t="s">
        <v>1190</v>
      </c>
      <c r="BC312" s="81" t="s">
        <v>1059</v>
      </c>
      <c r="BD312" s="77">
        <v>24256031</v>
      </c>
      <c r="BE312" s="77"/>
      <c r="BF312" s="77"/>
      <c r="BG312" s="77"/>
      <c r="BH312" s="77"/>
      <c r="BI312" s="77"/>
      <c r="BJ312">
        <v>1</v>
      </c>
      <c r="BK312" s="76" t="str">
        <f>REPLACE(INDEX(GroupVertices[Group],MATCH(Edges[[#This Row],[Vertex 1]],GroupVertices[Vertex],0)),1,1,"")</f>
        <v>1</v>
      </c>
      <c r="BL312" s="76" t="str">
        <f>REPLACE(INDEX(GroupVertices[Group],MATCH(Edges[[#This Row],[Vertex 2]],GroupVertices[Vertex],0)),1,1,"")</f>
        <v>1</v>
      </c>
      <c r="BM312" s="45"/>
      <c r="BN312" s="46"/>
      <c r="BO312" s="45"/>
      <c r="BP312" s="46"/>
      <c r="BQ312" s="45"/>
      <c r="BR312" s="46"/>
      <c r="BS312" s="45"/>
      <c r="BT312" s="46"/>
      <c r="BU312" s="45"/>
    </row>
    <row r="313" spans="1:73" ht="15">
      <c r="A313" s="61" t="s">
        <v>229</v>
      </c>
      <c r="B313" s="61" t="s">
        <v>406</v>
      </c>
      <c r="C313" s="62" t="s">
        <v>11692</v>
      </c>
      <c r="D313" s="63">
        <v>3</v>
      </c>
      <c r="E313" s="64" t="s">
        <v>132</v>
      </c>
      <c r="F313" s="65">
        <v>32</v>
      </c>
      <c r="G313" s="62"/>
      <c r="H313" s="66"/>
      <c r="I313" s="67"/>
      <c r="J313" s="67"/>
      <c r="K313" s="31" t="s">
        <v>65</v>
      </c>
      <c r="L313" s="75">
        <v>313</v>
      </c>
      <c r="M313" s="75"/>
      <c r="N313" s="69"/>
      <c r="O313" s="77" t="s">
        <v>539</v>
      </c>
      <c r="P313" s="79">
        <v>45166.26935185185</v>
      </c>
      <c r="Q313" s="77" t="s">
        <v>577</v>
      </c>
      <c r="R313" s="77">
        <v>0</v>
      </c>
      <c r="S313" s="77">
        <v>5</v>
      </c>
      <c r="T313" s="77">
        <v>0</v>
      </c>
      <c r="U313" s="77">
        <v>0</v>
      </c>
      <c r="V313" s="77">
        <v>70</v>
      </c>
      <c r="W313" s="81" t="s">
        <v>687</v>
      </c>
      <c r="X313" s="83" t="str">
        <f>HYPERLINK("https://bit.ly/3qQa1q2")</f>
        <v>https://bit.ly/3qQa1q2</v>
      </c>
      <c r="Y313" s="77" t="s">
        <v>740</v>
      </c>
      <c r="Z313" s="77" t="s">
        <v>775</v>
      </c>
      <c r="AA313" s="77"/>
      <c r="AB313" s="77"/>
      <c r="AC313" s="81" t="s">
        <v>853</v>
      </c>
      <c r="AD313" s="77" t="s">
        <v>859</v>
      </c>
      <c r="AE313" s="83" t="str">
        <f>HYPERLINK("https://twitter.com/mihkal/status/1696046926582403149")</f>
        <v>https://twitter.com/mihkal/status/1696046926582403149</v>
      </c>
      <c r="AF313" s="79">
        <v>45166.26935185185</v>
      </c>
      <c r="AG313" s="85">
        <v>45166</v>
      </c>
      <c r="AH313" s="81" t="s">
        <v>904</v>
      </c>
      <c r="AI313" s="77" t="b">
        <v>0</v>
      </c>
      <c r="AJ313" s="77"/>
      <c r="AK313" s="77"/>
      <c r="AL313" s="77"/>
      <c r="AM313" s="77"/>
      <c r="AN313" s="77"/>
      <c r="AO313" s="77"/>
      <c r="AP313" s="77"/>
      <c r="AQ313" s="77"/>
      <c r="AR313" s="77"/>
      <c r="AS313" s="77"/>
      <c r="AT313" s="77"/>
      <c r="AU313" s="77"/>
      <c r="AV313" s="83" t="str">
        <f>HYPERLINK("https://pbs.twimg.com/profile_images/1663227887837757440/XOjtFF4W_normal.jpg")</f>
        <v>https://pbs.twimg.com/profile_images/1663227887837757440/XOjtFF4W_normal.jpg</v>
      </c>
      <c r="AW313" s="81" t="s">
        <v>1059</v>
      </c>
      <c r="AX313" s="81" t="s">
        <v>1059</v>
      </c>
      <c r="AY313" s="77"/>
      <c r="AZ313" s="81" t="s">
        <v>1190</v>
      </c>
      <c r="BA313" s="81" t="s">
        <v>1190</v>
      </c>
      <c r="BB313" s="81" t="s">
        <v>1190</v>
      </c>
      <c r="BC313" s="81" t="s">
        <v>1059</v>
      </c>
      <c r="BD313" s="77">
        <v>24256031</v>
      </c>
      <c r="BE313" s="77"/>
      <c r="BF313" s="77"/>
      <c r="BG313" s="77"/>
      <c r="BH313" s="77"/>
      <c r="BI313" s="77"/>
      <c r="BJ313">
        <v>1</v>
      </c>
      <c r="BK313" s="76" t="str">
        <f>REPLACE(INDEX(GroupVertices[Group],MATCH(Edges[[#This Row],[Vertex 1]],GroupVertices[Vertex],0)),1,1,"")</f>
        <v>1</v>
      </c>
      <c r="BL313" s="76" t="str">
        <f>REPLACE(INDEX(GroupVertices[Group],MATCH(Edges[[#This Row],[Vertex 2]],GroupVertices[Vertex],0)),1,1,"")</f>
        <v>1</v>
      </c>
      <c r="BM313" s="45"/>
      <c r="BN313" s="46"/>
      <c r="BO313" s="45"/>
      <c r="BP313" s="46"/>
      <c r="BQ313" s="45"/>
      <c r="BR313" s="46"/>
      <c r="BS313" s="45"/>
      <c r="BT313" s="46"/>
      <c r="BU313" s="45"/>
    </row>
    <row r="314" spans="1:73" ht="15">
      <c r="A314" s="61" t="s">
        <v>229</v>
      </c>
      <c r="B314" s="61" t="s">
        <v>303</v>
      </c>
      <c r="C314" s="62" t="s">
        <v>11692</v>
      </c>
      <c r="D314" s="63">
        <v>3</v>
      </c>
      <c r="E314" s="64" t="s">
        <v>132</v>
      </c>
      <c r="F314" s="65">
        <v>32</v>
      </c>
      <c r="G314" s="62"/>
      <c r="H314" s="66"/>
      <c r="I314" s="67"/>
      <c r="J314" s="67"/>
      <c r="K314" s="31" t="s">
        <v>65</v>
      </c>
      <c r="L314" s="75">
        <v>314</v>
      </c>
      <c r="M314" s="75"/>
      <c r="N314" s="69"/>
      <c r="O314" s="77" t="s">
        <v>539</v>
      </c>
      <c r="P314" s="79">
        <v>45166.26935185185</v>
      </c>
      <c r="Q314" s="77" t="s">
        <v>577</v>
      </c>
      <c r="R314" s="77">
        <v>0</v>
      </c>
      <c r="S314" s="77">
        <v>5</v>
      </c>
      <c r="T314" s="77">
        <v>0</v>
      </c>
      <c r="U314" s="77">
        <v>0</v>
      </c>
      <c r="V314" s="77">
        <v>70</v>
      </c>
      <c r="W314" s="81" t="s">
        <v>687</v>
      </c>
      <c r="X314" s="83" t="str">
        <f>HYPERLINK("https://bit.ly/3qQa1q2")</f>
        <v>https://bit.ly/3qQa1q2</v>
      </c>
      <c r="Y314" s="77" t="s">
        <v>740</v>
      </c>
      <c r="Z314" s="77" t="s">
        <v>775</v>
      </c>
      <c r="AA314" s="77"/>
      <c r="AB314" s="77"/>
      <c r="AC314" s="81" t="s">
        <v>853</v>
      </c>
      <c r="AD314" s="77" t="s">
        <v>859</v>
      </c>
      <c r="AE314" s="83" t="str">
        <f>HYPERLINK("https://twitter.com/mihkal/status/1696046926582403149")</f>
        <v>https://twitter.com/mihkal/status/1696046926582403149</v>
      </c>
      <c r="AF314" s="79">
        <v>45166.26935185185</v>
      </c>
      <c r="AG314" s="85">
        <v>45166</v>
      </c>
      <c r="AH314" s="81" t="s">
        <v>904</v>
      </c>
      <c r="AI314" s="77" t="b">
        <v>0</v>
      </c>
      <c r="AJ314" s="77"/>
      <c r="AK314" s="77"/>
      <c r="AL314" s="77"/>
      <c r="AM314" s="77"/>
      <c r="AN314" s="77"/>
      <c r="AO314" s="77"/>
      <c r="AP314" s="77"/>
      <c r="AQ314" s="77"/>
      <c r="AR314" s="77"/>
      <c r="AS314" s="77"/>
      <c r="AT314" s="77"/>
      <c r="AU314" s="77"/>
      <c r="AV314" s="83" t="str">
        <f>HYPERLINK("https://pbs.twimg.com/profile_images/1663227887837757440/XOjtFF4W_normal.jpg")</f>
        <v>https://pbs.twimg.com/profile_images/1663227887837757440/XOjtFF4W_normal.jpg</v>
      </c>
      <c r="AW314" s="81" t="s">
        <v>1059</v>
      </c>
      <c r="AX314" s="81" t="s">
        <v>1059</v>
      </c>
      <c r="AY314" s="77"/>
      <c r="AZ314" s="81" t="s">
        <v>1190</v>
      </c>
      <c r="BA314" s="81" t="s">
        <v>1190</v>
      </c>
      <c r="BB314" s="81" t="s">
        <v>1190</v>
      </c>
      <c r="BC314" s="81" t="s">
        <v>1059</v>
      </c>
      <c r="BD314" s="77">
        <v>24256031</v>
      </c>
      <c r="BE314" s="77"/>
      <c r="BF314" s="77"/>
      <c r="BG314" s="77"/>
      <c r="BH314" s="77"/>
      <c r="BI314" s="77"/>
      <c r="BJ314">
        <v>1</v>
      </c>
      <c r="BK314" s="76" t="str">
        <f>REPLACE(INDEX(GroupVertices[Group],MATCH(Edges[[#This Row],[Vertex 1]],GroupVertices[Vertex],0)),1,1,"")</f>
        <v>1</v>
      </c>
      <c r="BL314" s="76" t="str">
        <f>REPLACE(INDEX(GroupVertices[Group],MATCH(Edges[[#This Row],[Vertex 2]],GroupVertices[Vertex],0)),1,1,"")</f>
        <v>4</v>
      </c>
      <c r="BM314" s="45"/>
      <c r="BN314" s="46"/>
      <c r="BO314" s="45"/>
      <c r="BP314" s="46"/>
      <c r="BQ314" s="45"/>
      <c r="BR314" s="46"/>
      <c r="BS314" s="45"/>
      <c r="BT314" s="46"/>
      <c r="BU314" s="45"/>
    </row>
    <row r="315" spans="1:73" ht="15">
      <c r="A315" s="61" t="s">
        <v>229</v>
      </c>
      <c r="B315" s="61" t="s">
        <v>407</v>
      </c>
      <c r="C315" s="62" t="s">
        <v>11692</v>
      </c>
      <c r="D315" s="63">
        <v>3</v>
      </c>
      <c r="E315" s="64" t="s">
        <v>132</v>
      </c>
      <c r="F315" s="65">
        <v>32</v>
      </c>
      <c r="G315" s="62"/>
      <c r="H315" s="66"/>
      <c r="I315" s="67"/>
      <c r="J315" s="67"/>
      <c r="K315" s="31" t="s">
        <v>65</v>
      </c>
      <c r="L315" s="75">
        <v>315</v>
      </c>
      <c r="M315" s="75"/>
      <c r="N315" s="69"/>
      <c r="O315" s="77" t="s">
        <v>539</v>
      </c>
      <c r="P315" s="79">
        <v>45166.26935185185</v>
      </c>
      <c r="Q315" s="77" t="s">
        <v>577</v>
      </c>
      <c r="R315" s="77">
        <v>0</v>
      </c>
      <c r="S315" s="77">
        <v>5</v>
      </c>
      <c r="T315" s="77">
        <v>0</v>
      </c>
      <c r="U315" s="77">
        <v>0</v>
      </c>
      <c r="V315" s="77">
        <v>70</v>
      </c>
      <c r="W315" s="81" t="s">
        <v>687</v>
      </c>
      <c r="X315" s="83" t="str">
        <f>HYPERLINK("https://bit.ly/3qQa1q2")</f>
        <v>https://bit.ly/3qQa1q2</v>
      </c>
      <c r="Y315" s="77" t="s">
        <v>740</v>
      </c>
      <c r="Z315" s="77" t="s">
        <v>775</v>
      </c>
      <c r="AA315" s="77"/>
      <c r="AB315" s="77"/>
      <c r="AC315" s="81" t="s">
        <v>853</v>
      </c>
      <c r="AD315" s="77" t="s">
        <v>859</v>
      </c>
      <c r="AE315" s="83" t="str">
        <f>HYPERLINK("https://twitter.com/mihkal/status/1696046926582403149")</f>
        <v>https://twitter.com/mihkal/status/1696046926582403149</v>
      </c>
      <c r="AF315" s="79">
        <v>45166.26935185185</v>
      </c>
      <c r="AG315" s="85">
        <v>45166</v>
      </c>
      <c r="AH315" s="81" t="s">
        <v>904</v>
      </c>
      <c r="AI315" s="77" t="b">
        <v>0</v>
      </c>
      <c r="AJ315" s="77"/>
      <c r="AK315" s="77"/>
      <c r="AL315" s="77"/>
      <c r="AM315" s="77"/>
      <c r="AN315" s="77"/>
      <c r="AO315" s="77"/>
      <c r="AP315" s="77"/>
      <c r="AQ315" s="77"/>
      <c r="AR315" s="77"/>
      <c r="AS315" s="77"/>
      <c r="AT315" s="77"/>
      <c r="AU315" s="77"/>
      <c r="AV315" s="83" t="str">
        <f>HYPERLINK("https://pbs.twimg.com/profile_images/1663227887837757440/XOjtFF4W_normal.jpg")</f>
        <v>https://pbs.twimg.com/profile_images/1663227887837757440/XOjtFF4W_normal.jpg</v>
      </c>
      <c r="AW315" s="81" t="s">
        <v>1059</v>
      </c>
      <c r="AX315" s="81" t="s">
        <v>1059</v>
      </c>
      <c r="AY315" s="77"/>
      <c r="AZ315" s="81" t="s">
        <v>1190</v>
      </c>
      <c r="BA315" s="81" t="s">
        <v>1190</v>
      </c>
      <c r="BB315" s="81" t="s">
        <v>1190</v>
      </c>
      <c r="BC315" s="81" t="s">
        <v>1059</v>
      </c>
      <c r="BD315" s="77">
        <v>24256031</v>
      </c>
      <c r="BE315" s="77"/>
      <c r="BF315" s="77"/>
      <c r="BG315" s="77"/>
      <c r="BH315" s="77"/>
      <c r="BI315" s="77"/>
      <c r="BJ315">
        <v>1</v>
      </c>
      <c r="BK315" s="76" t="str">
        <f>REPLACE(INDEX(GroupVertices[Group],MATCH(Edges[[#This Row],[Vertex 1]],GroupVertices[Vertex],0)),1,1,"")</f>
        <v>1</v>
      </c>
      <c r="BL315" s="76" t="str">
        <f>REPLACE(INDEX(GroupVertices[Group],MATCH(Edges[[#This Row],[Vertex 2]],GroupVertices[Vertex],0)),1,1,"")</f>
        <v>1</v>
      </c>
      <c r="BM315" s="45"/>
      <c r="BN315" s="46"/>
      <c r="BO315" s="45"/>
      <c r="BP315" s="46"/>
      <c r="BQ315" s="45"/>
      <c r="BR315" s="46"/>
      <c r="BS315" s="45"/>
      <c r="BT315" s="46"/>
      <c r="BU315" s="45"/>
    </row>
    <row r="316" spans="1:73" ht="15">
      <c r="A316" s="61" t="s">
        <v>229</v>
      </c>
      <c r="B316" s="61" t="s">
        <v>408</v>
      </c>
      <c r="C316" s="62" t="s">
        <v>11692</v>
      </c>
      <c r="D316" s="63">
        <v>3</v>
      </c>
      <c r="E316" s="64" t="s">
        <v>132</v>
      </c>
      <c r="F316" s="65">
        <v>32</v>
      </c>
      <c r="G316" s="62"/>
      <c r="H316" s="66"/>
      <c r="I316" s="67"/>
      <c r="J316" s="67"/>
      <c r="K316" s="31" t="s">
        <v>65</v>
      </c>
      <c r="L316" s="75">
        <v>316</v>
      </c>
      <c r="M316" s="75"/>
      <c r="N316" s="69"/>
      <c r="O316" s="77" t="s">
        <v>539</v>
      </c>
      <c r="P316" s="79">
        <v>45166.26935185185</v>
      </c>
      <c r="Q316" s="77" t="s">
        <v>577</v>
      </c>
      <c r="R316" s="77">
        <v>0</v>
      </c>
      <c r="S316" s="77">
        <v>5</v>
      </c>
      <c r="T316" s="77">
        <v>0</v>
      </c>
      <c r="U316" s="77">
        <v>0</v>
      </c>
      <c r="V316" s="77">
        <v>70</v>
      </c>
      <c r="W316" s="81" t="s">
        <v>687</v>
      </c>
      <c r="X316" s="83" t="str">
        <f>HYPERLINK("https://bit.ly/3qQa1q2")</f>
        <v>https://bit.ly/3qQa1q2</v>
      </c>
      <c r="Y316" s="77" t="s">
        <v>740</v>
      </c>
      <c r="Z316" s="77" t="s">
        <v>775</v>
      </c>
      <c r="AA316" s="77"/>
      <c r="AB316" s="77"/>
      <c r="AC316" s="81" t="s">
        <v>853</v>
      </c>
      <c r="AD316" s="77" t="s">
        <v>859</v>
      </c>
      <c r="AE316" s="83" t="str">
        <f>HYPERLINK("https://twitter.com/mihkal/status/1696046926582403149")</f>
        <v>https://twitter.com/mihkal/status/1696046926582403149</v>
      </c>
      <c r="AF316" s="79">
        <v>45166.26935185185</v>
      </c>
      <c r="AG316" s="85">
        <v>45166</v>
      </c>
      <c r="AH316" s="81" t="s">
        <v>904</v>
      </c>
      <c r="AI316" s="77" t="b">
        <v>0</v>
      </c>
      <c r="AJ316" s="77"/>
      <c r="AK316" s="77"/>
      <c r="AL316" s="77"/>
      <c r="AM316" s="77"/>
      <c r="AN316" s="77"/>
      <c r="AO316" s="77"/>
      <c r="AP316" s="77"/>
      <c r="AQ316" s="77"/>
      <c r="AR316" s="77"/>
      <c r="AS316" s="77"/>
      <c r="AT316" s="77"/>
      <c r="AU316" s="77"/>
      <c r="AV316" s="83" t="str">
        <f>HYPERLINK("https://pbs.twimg.com/profile_images/1663227887837757440/XOjtFF4W_normal.jpg")</f>
        <v>https://pbs.twimg.com/profile_images/1663227887837757440/XOjtFF4W_normal.jpg</v>
      </c>
      <c r="AW316" s="81" t="s">
        <v>1059</v>
      </c>
      <c r="AX316" s="81" t="s">
        <v>1059</v>
      </c>
      <c r="AY316" s="77"/>
      <c r="AZ316" s="81" t="s">
        <v>1190</v>
      </c>
      <c r="BA316" s="81" t="s">
        <v>1190</v>
      </c>
      <c r="BB316" s="81" t="s">
        <v>1190</v>
      </c>
      <c r="BC316" s="81" t="s">
        <v>1059</v>
      </c>
      <c r="BD316" s="77">
        <v>24256031</v>
      </c>
      <c r="BE316" s="77"/>
      <c r="BF316" s="77"/>
      <c r="BG316" s="77"/>
      <c r="BH316" s="77"/>
      <c r="BI316" s="77"/>
      <c r="BJ316">
        <v>1</v>
      </c>
      <c r="BK316" s="76" t="str">
        <f>REPLACE(INDEX(GroupVertices[Group],MATCH(Edges[[#This Row],[Vertex 1]],GroupVertices[Vertex],0)),1,1,"")</f>
        <v>1</v>
      </c>
      <c r="BL316" s="76" t="str">
        <f>REPLACE(INDEX(GroupVertices[Group],MATCH(Edges[[#This Row],[Vertex 2]],GroupVertices[Vertex],0)),1,1,"")</f>
        <v>1</v>
      </c>
      <c r="BM316" s="45"/>
      <c r="BN316" s="46"/>
      <c r="BO316" s="45"/>
      <c r="BP316" s="46"/>
      <c r="BQ316" s="45"/>
      <c r="BR316" s="46"/>
      <c r="BS316" s="45"/>
      <c r="BT316" s="46"/>
      <c r="BU316" s="45"/>
    </row>
    <row r="317" spans="1:73" ht="15">
      <c r="A317" s="61" t="s">
        <v>229</v>
      </c>
      <c r="B317" s="61" t="s">
        <v>409</v>
      </c>
      <c r="C317" s="62" t="s">
        <v>11692</v>
      </c>
      <c r="D317" s="63">
        <v>3</v>
      </c>
      <c r="E317" s="64" t="s">
        <v>132</v>
      </c>
      <c r="F317" s="65">
        <v>32</v>
      </c>
      <c r="G317" s="62"/>
      <c r="H317" s="66"/>
      <c r="I317" s="67"/>
      <c r="J317" s="67"/>
      <c r="K317" s="31" t="s">
        <v>65</v>
      </c>
      <c r="L317" s="75">
        <v>317</v>
      </c>
      <c r="M317" s="75"/>
      <c r="N317" s="69"/>
      <c r="O317" s="77" t="s">
        <v>539</v>
      </c>
      <c r="P317" s="79">
        <v>45166.26935185185</v>
      </c>
      <c r="Q317" s="77" t="s">
        <v>577</v>
      </c>
      <c r="R317" s="77">
        <v>0</v>
      </c>
      <c r="S317" s="77">
        <v>5</v>
      </c>
      <c r="T317" s="77">
        <v>0</v>
      </c>
      <c r="U317" s="77">
        <v>0</v>
      </c>
      <c r="V317" s="77">
        <v>70</v>
      </c>
      <c r="W317" s="81" t="s">
        <v>687</v>
      </c>
      <c r="X317" s="83" t="str">
        <f>HYPERLINK("https://bit.ly/3qQa1q2")</f>
        <v>https://bit.ly/3qQa1q2</v>
      </c>
      <c r="Y317" s="77" t="s">
        <v>740</v>
      </c>
      <c r="Z317" s="77" t="s">
        <v>775</v>
      </c>
      <c r="AA317" s="77"/>
      <c r="AB317" s="77"/>
      <c r="AC317" s="81" t="s">
        <v>853</v>
      </c>
      <c r="AD317" s="77" t="s">
        <v>859</v>
      </c>
      <c r="AE317" s="83" t="str">
        <f>HYPERLINK("https://twitter.com/mihkal/status/1696046926582403149")</f>
        <v>https://twitter.com/mihkal/status/1696046926582403149</v>
      </c>
      <c r="AF317" s="79">
        <v>45166.26935185185</v>
      </c>
      <c r="AG317" s="85">
        <v>45166</v>
      </c>
      <c r="AH317" s="81" t="s">
        <v>904</v>
      </c>
      <c r="AI317" s="77" t="b">
        <v>0</v>
      </c>
      <c r="AJ317" s="77"/>
      <c r="AK317" s="77"/>
      <c r="AL317" s="77"/>
      <c r="AM317" s="77"/>
      <c r="AN317" s="77"/>
      <c r="AO317" s="77"/>
      <c r="AP317" s="77"/>
      <c r="AQ317" s="77"/>
      <c r="AR317" s="77"/>
      <c r="AS317" s="77"/>
      <c r="AT317" s="77"/>
      <c r="AU317" s="77"/>
      <c r="AV317" s="83" t="str">
        <f>HYPERLINK("https://pbs.twimg.com/profile_images/1663227887837757440/XOjtFF4W_normal.jpg")</f>
        <v>https://pbs.twimg.com/profile_images/1663227887837757440/XOjtFF4W_normal.jpg</v>
      </c>
      <c r="AW317" s="81" t="s">
        <v>1059</v>
      </c>
      <c r="AX317" s="81" t="s">
        <v>1059</v>
      </c>
      <c r="AY317" s="77"/>
      <c r="AZ317" s="81" t="s">
        <v>1190</v>
      </c>
      <c r="BA317" s="81" t="s">
        <v>1190</v>
      </c>
      <c r="BB317" s="81" t="s">
        <v>1190</v>
      </c>
      <c r="BC317" s="81" t="s">
        <v>1059</v>
      </c>
      <c r="BD317" s="77">
        <v>24256031</v>
      </c>
      <c r="BE317" s="77"/>
      <c r="BF317" s="77"/>
      <c r="BG317" s="77"/>
      <c r="BH317" s="77"/>
      <c r="BI317" s="77"/>
      <c r="BJ317">
        <v>1</v>
      </c>
      <c r="BK317" s="76" t="str">
        <f>REPLACE(INDEX(GroupVertices[Group],MATCH(Edges[[#This Row],[Vertex 1]],GroupVertices[Vertex],0)),1,1,"")</f>
        <v>1</v>
      </c>
      <c r="BL317" s="76" t="str">
        <f>REPLACE(INDEX(GroupVertices[Group],MATCH(Edges[[#This Row],[Vertex 2]],GroupVertices[Vertex],0)),1,1,"")</f>
        <v>1</v>
      </c>
      <c r="BM317" s="45"/>
      <c r="BN317" s="46"/>
      <c r="BO317" s="45"/>
      <c r="BP317" s="46"/>
      <c r="BQ317" s="45"/>
      <c r="BR317" s="46"/>
      <c r="BS317" s="45"/>
      <c r="BT317" s="46"/>
      <c r="BU317" s="45"/>
    </row>
    <row r="318" spans="1:73" ht="15">
      <c r="A318" s="61" t="s">
        <v>229</v>
      </c>
      <c r="B318" s="61" t="s">
        <v>410</v>
      </c>
      <c r="C318" s="62" t="s">
        <v>11692</v>
      </c>
      <c r="D318" s="63">
        <v>3</v>
      </c>
      <c r="E318" s="64" t="s">
        <v>132</v>
      </c>
      <c r="F318" s="65">
        <v>32</v>
      </c>
      <c r="G318" s="62"/>
      <c r="H318" s="66"/>
      <c r="I318" s="67"/>
      <c r="J318" s="67"/>
      <c r="K318" s="31" t="s">
        <v>65</v>
      </c>
      <c r="L318" s="75">
        <v>318</v>
      </c>
      <c r="M318" s="75"/>
      <c r="N318" s="69"/>
      <c r="O318" s="77" t="s">
        <v>539</v>
      </c>
      <c r="P318" s="79">
        <v>45166.26935185185</v>
      </c>
      <c r="Q318" s="77" t="s">
        <v>577</v>
      </c>
      <c r="R318" s="77">
        <v>0</v>
      </c>
      <c r="S318" s="77">
        <v>5</v>
      </c>
      <c r="T318" s="77">
        <v>0</v>
      </c>
      <c r="U318" s="77">
        <v>0</v>
      </c>
      <c r="V318" s="77">
        <v>70</v>
      </c>
      <c r="W318" s="81" t="s">
        <v>687</v>
      </c>
      <c r="X318" s="83" t="str">
        <f>HYPERLINK("https://bit.ly/3qQa1q2")</f>
        <v>https://bit.ly/3qQa1q2</v>
      </c>
      <c r="Y318" s="77" t="s">
        <v>740</v>
      </c>
      <c r="Z318" s="77" t="s">
        <v>775</v>
      </c>
      <c r="AA318" s="77"/>
      <c r="AB318" s="77"/>
      <c r="AC318" s="81" t="s">
        <v>853</v>
      </c>
      <c r="AD318" s="77" t="s">
        <v>859</v>
      </c>
      <c r="AE318" s="83" t="str">
        <f>HYPERLINK("https://twitter.com/mihkal/status/1696046926582403149")</f>
        <v>https://twitter.com/mihkal/status/1696046926582403149</v>
      </c>
      <c r="AF318" s="79">
        <v>45166.26935185185</v>
      </c>
      <c r="AG318" s="85">
        <v>45166</v>
      </c>
      <c r="AH318" s="81" t="s">
        <v>904</v>
      </c>
      <c r="AI318" s="77" t="b">
        <v>0</v>
      </c>
      <c r="AJ318" s="77"/>
      <c r="AK318" s="77"/>
      <c r="AL318" s="77"/>
      <c r="AM318" s="77"/>
      <c r="AN318" s="77"/>
      <c r="AO318" s="77"/>
      <c r="AP318" s="77"/>
      <c r="AQ318" s="77"/>
      <c r="AR318" s="77"/>
      <c r="AS318" s="77"/>
      <c r="AT318" s="77"/>
      <c r="AU318" s="77"/>
      <c r="AV318" s="83" t="str">
        <f>HYPERLINK("https://pbs.twimg.com/profile_images/1663227887837757440/XOjtFF4W_normal.jpg")</f>
        <v>https://pbs.twimg.com/profile_images/1663227887837757440/XOjtFF4W_normal.jpg</v>
      </c>
      <c r="AW318" s="81" t="s">
        <v>1059</v>
      </c>
      <c r="AX318" s="81" t="s">
        <v>1059</v>
      </c>
      <c r="AY318" s="77"/>
      <c r="AZ318" s="81" t="s">
        <v>1190</v>
      </c>
      <c r="BA318" s="81" t="s">
        <v>1190</v>
      </c>
      <c r="BB318" s="81" t="s">
        <v>1190</v>
      </c>
      <c r="BC318" s="81" t="s">
        <v>1059</v>
      </c>
      <c r="BD318" s="77">
        <v>24256031</v>
      </c>
      <c r="BE318" s="77"/>
      <c r="BF318" s="77"/>
      <c r="BG318" s="77"/>
      <c r="BH318" s="77"/>
      <c r="BI318" s="77"/>
      <c r="BJ318">
        <v>1</v>
      </c>
      <c r="BK318" s="76" t="str">
        <f>REPLACE(INDEX(GroupVertices[Group],MATCH(Edges[[#This Row],[Vertex 1]],GroupVertices[Vertex],0)),1,1,"")</f>
        <v>1</v>
      </c>
      <c r="BL318" s="76" t="str">
        <f>REPLACE(INDEX(GroupVertices[Group],MATCH(Edges[[#This Row],[Vertex 2]],GroupVertices[Vertex],0)),1,1,"")</f>
        <v>1</v>
      </c>
      <c r="BM318" s="45">
        <v>1</v>
      </c>
      <c r="BN318" s="46">
        <v>4.761904761904762</v>
      </c>
      <c r="BO318" s="45">
        <v>0</v>
      </c>
      <c r="BP318" s="46">
        <v>0</v>
      </c>
      <c r="BQ318" s="45">
        <v>0</v>
      </c>
      <c r="BR318" s="46">
        <v>0</v>
      </c>
      <c r="BS318" s="45">
        <v>19</v>
      </c>
      <c r="BT318" s="46">
        <v>90.47619047619048</v>
      </c>
      <c r="BU318" s="45">
        <v>21</v>
      </c>
    </row>
    <row r="319" spans="1:73" ht="15">
      <c r="A319" s="61" t="s">
        <v>229</v>
      </c>
      <c r="B319" s="61" t="s">
        <v>411</v>
      </c>
      <c r="C319" s="62" t="s">
        <v>11692</v>
      </c>
      <c r="D319" s="63">
        <v>3</v>
      </c>
      <c r="E319" s="64" t="s">
        <v>132</v>
      </c>
      <c r="F319" s="65">
        <v>32</v>
      </c>
      <c r="G319" s="62"/>
      <c r="H319" s="66"/>
      <c r="I319" s="67"/>
      <c r="J319" s="67"/>
      <c r="K319" s="31" t="s">
        <v>65</v>
      </c>
      <c r="L319" s="75">
        <v>319</v>
      </c>
      <c r="M319" s="75"/>
      <c r="N319" s="69"/>
      <c r="O319" s="77" t="s">
        <v>539</v>
      </c>
      <c r="P319" s="79">
        <v>45169.19766203704</v>
      </c>
      <c r="Q319" s="77" t="s">
        <v>578</v>
      </c>
      <c r="R319" s="77">
        <v>0</v>
      </c>
      <c r="S319" s="77">
        <v>6</v>
      </c>
      <c r="T319" s="77">
        <v>0</v>
      </c>
      <c r="U319" s="77">
        <v>1</v>
      </c>
      <c r="V319" s="77">
        <v>253</v>
      </c>
      <c r="W319" s="81" t="s">
        <v>688</v>
      </c>
      <c r="X319" s="83" t="str">
        <f>HYPERLINK("https://bit.ly/3KYA05C")</f>
        <v>https://bit.ly/3KYA05C</v>
      </c>
      <c r="Y319" s="77" t="s">
        <v>740</v>
      </c>
      <c r="Z319" s="77" t="s">
        <v>776</v>
      </c>
      <c r="AA319" s="77"/>
      <c r="AB319" s="77"/>
      <c r="AC319" s="81" t="s">
        <v>853</v>
      </c>
      <c r="AD319" s="77" t="s">
        <v>867</v>
      </c>
      <c r="AE319" s="83" t="str">
        <f>HYPERLINK("https://twitter.com/mihkal/status/1697108109326524807")</f>
        <v>https://twitter.com/mihkal/status/1697108109326524807</v>
      </c>
      <c r="AF319" s="79">
        <v>45169.19766203704</v>
      </c>
      <c r="AG319" s="85">
        <v>45169</v>
      </c>
      <c r="AH319" s="81" t="s">
        <v>905</v>
      </c>
      <c r="AI319" s="77" t="b">
        <v>0</v>
      </c>
      <c r="AJ319" s="77"/>
      <c r="AK319" s="77"/>
      <c r="AL319" s="77"/>
      <c r="AM319" s="77"/>
      <c r="AN319" s="77"/>
      <c r="AO319" s="77"/>
      <c r="AP319" s="77"/>
      <c r="AQ319" s="77"/>
      <c r="AR319" s="77"/>
      <c r="AS319" s="77"/>
      <c r="AT319" s="77"/>
      <c r="AU319" s="77"/>
      <c r="AV319" s="83" t="str">
        <f>HYPERLINK("https://pbs.twimg.com/profile_images/1663227887837757440/XOjtFF4W_normal.jpg")</f>
        <v>https://pbs.twimg.com/profile_images/1663227887837757440/XOjtFF4W_normal.jpg</v>
      </c>
      <c r="AW319" s="81" t="s">
        <v>1060</v>
      </c>
      <c r="AX319" s="81" t="s">
        <v>1060</v>
      </c>
      <c r="AY319" s="77"/>
      <c r="AZ319" s="81" t="s">
        <v>1190</v>
      </c>
      <c r="BA319" s="81" t="s">
        <v>1190</v>
      </c>
      <c r="BB319" s="81" t="s">
        <v>1190</v>
      </c>
      <c r="BC319" s="81" t="s">
        <v>1060</v>
      </c>
      <c r="BD319" s="77">
        <v>24256031</v>
      </c>
      <c r="BE319" s="77"/>
      <c r="BF319" s="77"/>
      <c r="BG319" s="77"/>
      <c r="BH319" s="77"/>
      <c r="BI319" s="77"/>
      <c r="BJ319">
        <v>1</v>
      </c>
      <c r="BK319" s="76" t="str">
        <f>REPLACE(INDEX(GroupVertices[Group],MATCH(Edges[[#This Row],[Vertex 1]],GroupVertices[Vertex],0)),1,1,"")</f>
        <v>1</v>
      </c>
      <c r="BL319" s="76" t="str">
        <f>REPLACE(INDEX(GroupVertices[Group],MATCH(Edges[[#This Row],[Vertex 2]],GroupVertices[Vertex],0)),1,1,"")</f>
        <v>1</v>
      </c>
      <c r="BM319" s="45"/>
      <c r="BN319" s="46"/>
      <c r="BO319" s="45"/>
      <c r="BP319" s="46"/>
      <c r="BQ319" s="45"/>
      <c r="BR319" s="46"/>
      <c r="BS319" s="45"/>
      <c r="BT319" s="46"/>
      <c r="BU319" s="45"/>
    </row>
    <row r="320" spans="1:73" ht="15">
      <c r="A320" s="61" t="s">
        <v>229</v>
      </c>
      <c r="B320" s="61" t="s">
        <v>412</v>
      </c>
      <c r="C320" s="62" t="s">
        <v>11692</v>
      </c>
      <c r="D320" s="63">
        <v>3</v>
      </c>
      <c r="E320" s="64" t="s">
        <v>132</v>
      </c>
      <c r="F320" s="65">
        <v>32</v>
      </c>
      <c r="G320" s="62"/>
      <c r="H320" s="66"/>
      <c r="I320" s="67"/>
      <c r="J320" s="67"/>
      <c r="K320" s="31" t="s">
        <v>65</v>
      </c>
      <c r="L320" s="75">
        <v>320</v>
      </c>
      <c r="M320" s="75"/>
      <c r="N320" s="69"/>
      <c r="O320" s="77" t="s">
        <v>539</v>
      </c>
      <c r="P320" s="79">
        <v>45169.19766203704</v>
      </c>
      <c r="Q320" s="77" t="s">
        <v>578</v>
      </c>
      <c r="R320" s="77">
        <v>0</v>
      </c>
      <c r="S320" s="77">
        <v>6</v>
      </c>
      <c r="T320" s="77">
        <v>0</v>
      </c>
      <c r="U320" s="77">
        <v>1</v>
      </c>
      <c r="V320" s="77">
        <v>253</v>
      </c>
      <c r="W320" s="81" t="s">
        <v>688</v>
      </c>
      <c r="X320" s="83" t="str">
        <f>HYPERLINK("https://bit.ly/3KYA05C")</f>
        <v>https://bit.ly/3KYA05C</v>
      </c>
      <c r="Y320" s="77" t="s">
        <v>740</v>
      </c>
      <c r="Z320" s="77" t="s">
        <v>776</v>
      </c>
      <c r="AA320" s="77"/>
      <c r="AB320" s="77"/>
      <c r="AC320" s="81" t="s">
        <v>853</v>
      </c>
      <c r="AD320" s="77" t="s">
        <v>867</v>
      </c>
      <c r="AE320" s="83" t="str">
        <f>HYPERLINK("https://twitter.com/mihkal/status/1697108109326524807")</f>
        <v>https://twitter.com/mihkal/status/1697108109326524807</v>
      </c>
      <c r="AF320" s="79">
        <v>45169.19766203704</v>
      </c>
      <c r="AG320" s="85">
        <v>45169</v>
      </c>
      <c r="AH320" s="81" t="s">
        <v>905</v>
      </c>
      <c r="AI320" s="77" t="b">
        <v>0</v>
      </c>
      <c r="AJ320" s="77"/>
      <c r="AK320" s="77"/>
      <c r="AL320" s="77"/>
      <c r="AM320" s="77"/>
      <c r="AN320" s="77"/>
      <c r="AO320" s="77"/>
      <c r="AP320" s="77"/>
      <c r="AQ320" s="77"/>
      <c r="AR320" s="77"/>
      <c r="AS320" s="77"/>
      <c r="AT320" s="77"/>
      <c r="AU320" s="77"/>
      <c r="AV320" s="83" t="str">
        <f>HYPERLINK("https://pbs.twimg.com/profile_images/1663227887837757440/XOjtFF4W_normal.jpg")</f>
        <v>https://pbs.twimg.com/profile_images/1663227887837757440/XOjtFF4W_normal.jpg</v>
      </c>
      <c r="AW320" s="81" t="s">
        <v>1060</v>
      </c>
      <c r="AX320" s="81" t="s">
        <v>1060</v>
      </c>
      <c r="AY320" s="77"/>
      <c r="AZ320" s="81" t="s">
        <v>1190</v>
      </c>
      <c r="BA320" s="81" t="s">
        <v>1190</v>
      </c>
      <c r="BB320" s="81" t="s">
        <v>1190</v>
      </c>
      <c r="BC320" s="81" t="s">
        <v>1060</v>
      </c>
      <c r="BD320" s="77">
        <v>24256031</v>
      </c>
      <c r="BE320" s="77"/>
      <c r="BF320" s="77"/>
      <c r="BG320" s="77"/>
      <c r="BH320" s="77"/>
      <c r="BI320" s="77"/>
      <c r="BJ320">
        <v>1</v>
      </c>
      <c r="BK320" s="76" t="str">
        <f>REPLACE(INDEX(GroupVertices[Group],MATCH(Edges[[#This Row],[Vertex 1]],GroupVertices[Vertex],0)),1,1,"")</f>
        <v>1</v>
      </c>
      <c r="BL320" s="76" t="str">
        <f>REPLACE(INDEX(GroupVertices[Group],MATCH(Edges[[#This Row],[Vertex 2]],GroupVertices[Vertex],0)),1,1,"")</f>
        <v>1</v>
      </c>
      <c r="BM320" s="45"/>
      <c r="BN320" s="46"/>
      <c r="BO320" s="45"/>
      <c r="BP320" s="46"/>
      <c r="BQ320" s="45"/>
      <c r="BR320" s="46"/>
      <c r="BS320" s="45"/>
      <c r="BT320" s="46"/>
      <c r="BU320" s="45"/>
    </row>
    <row r="321" spans="1:73" ht="15">
      <c r="A321" s="61" t="s">
        <v>229</v>
      </c>
      <c r="B321" s="61" t="s">
        <v>413</v>
      </c>
      <c r="C321" s="62" t="s">
        <v>11692</v>
      </c>
      <c r="D321" s="63">
        <v>3</v>
      </c>
      <c r="E321" s="64" t="s">
        <v>132</v>
      </c>
      <c r="F321" s="65">
        <v>32</v>
      </c>
      <c r="G321" s="62"/>
      <c r="H321" s="66"/>
      <c r="I321" s="67"/>
      <c r="J321" s="67"/>
      <c r="K321" s="31" t="s">
        <v>65</v>
      </c>
      <c r="L321" s="75">
        <v>321</v>
      </c>
      <c r="M321" s="75"/>
      <c r="N321" s="69"/>
      <c r="O321" s="77" t="s">
        <v>539</v>
      </c>
      <c r="P321" s="79">
        <v>45169.19766203704</v>
      </c>
      <c r="Q321" s="77" t="s">
        <v>578</v>
      </c>
      <c r="R321" s="77">
        <v>0</v>
      </c>
      <c r="S321" s="77">
        <v>6</v>
      </c>
      <c r="T321" s="77">
        <v>0</v>
      </c>
      <c r="U321" s="77">
        <v>1</v>
      </c>
      <c r="V321" s="77">
        <v>253</v>
      </c>
      <c r="W321" s="81" t="s">
        <v>688</v>
      </c>
      <c r="X321" s="83" t="str">
        <f>HYPERLINK("https://bit.ly/3KYA05C")</f>
        <v>https://bit.ly/3KYA05C</v>
      </c>
      <c r="Y321" s="77" t="s">
        <v>740</v>
      </c>
      <c r="Z321" s="77" t="s">
        <v>776</v>
      </c>
      <c r="AA321" s="77"/>
      <c r="AB321" s="77"/>
      <c r="AC321" s="81" t="s">
        <v>853</v>
      </c>
      <c r="AD321" s="77" t="s">
        <v>867</v>
      </c>
      <c r="AE321" s="83" t="str">
        <f>HYPERLINK("https://twitter.com/mihkal/status/1697108109326524807")</f>
        <v>https://twitter.com/mihkal/status/1697108109326524807</v>
      </c>
      <c r="AF321" s="79">
        <v>45169.19766203704</v>
      </c>
      <c r="AG321" s="85">
        <v>45169</v>
      </c>
      <c r="AH321" s="81" t="s">
        <v>905</v>
      </c>
      <c r="AI321" s="77" t="b">
        <v>0</v>
      </c>
      <c r="AJ321" s="77"/>
      <c r="AK321" s="77"/>
      <c r="AL321" s="77"/>
      <c r="AM321" s="77"/>
      <c r="AN321" s="77"/>
      <c r="AO321" s="77"/>
      <c r="AP321" s="77"/>
      <c r="AQ321" s="77"/>
      <c r="AR321" s="77"/>
      <c r="AS321" s="77"/>
      <c r="AT321" s="77"/>
      <c r="AU321" s="77"/>
      <c r="AV321" s="83" t="str">
        <f>HYPERLINK("https://pbs.twimg.com/profile_images/1663227887837757440/XOjtFF4W_normal.jpg")</f>
        <v>https://pbs.twimg.com/profile_images/1663227887837757440/XOjtFF4W_normal.jpg</v>
      </c>
      <c r="AW321" s="81" t="s">
        <v>1060</v>
      </c>
      <c r="AX321" s="81" t="s">
        <v>1060</v>
      </c>
      <c r="AY321" s="77"/>
      <c r="AZ321" s="81" t="s">
        <v>1190</v>
      </c>
      <c r="BA321" s="81" t="s">
        <v>1190</v>
      </c>
      <c r="BB321" s="81" t="s">
        <v>1190</v>
      </c>
      <c r="BC321" s="81" t="s">
        <v>1060</v>
      </c>
      <c r="BD321" s="77">
        <v>24256031</v>
      </c>
      <c r="BE321" s="77"/>
      <c r="BF321" s="77"/>
      <c r="BG321" s="77"/>
      <c r="BH321" s="77"/>
      <c r="BI321" s="77"/>
      <c r="BJ321">
        <v>1</v>
      </c>
      <c r="BK321" s="76" t="str">
        <f>REPLACE(INDEX(GroupVertices[Group],MATCH(Edges[[#This Row],[Vertex 1]],GroupVertices[Vertex],0)),1,1,"")</f>
        <v>1</v>
      </c>
      <c r="BL321" s="76" t="str">
        <f>REPLACE(INDEX(GroupVertices[Group],MATCH(Edges[[#This Row],[Vertex 2]],GroupVertices[Vertex],0)),1,1,"")</f>
        <v>1</v>
      </c>
      <c r="BM321" s="45"/>
      <c r="BN321" s="46"/>
      <c r="BO321" s="45"/>
      <c r="BP321" s="46"/>
      <c r="BQ321" s="45"/>
      <c r="BR321" s="46"/>
      <c r="BS321" s="45"/>
      <c r="BT321" s="46"/>
      <c r="BU321" s="45"/>
    </row>
    <row r="322" spans="1:73" ht="15">
      <c r="A322" s="61" t="s">
        <v>229</v>
      </c>
      <c r="B322" s="61" t="s">
        <v>414</v>
      </c>
      <c r="C322" s="62" t="s">
        <v>11697</v>
      </c>
      <c r="D322" s="63">
        <v>10</v>
      </c>
      <c r="E322" s="64" t="s">
        <v>136</v>
      </c>
      <c r="F322" s="65">
        <v>10</v>
      </c>
      <c r="G322" s="62"/>
      <c r="H322" s="66"/>
      <c r="I322" s="67"/>
      <c r="J322" s="67"/>
      <c r="K322" s="31" t="s">
        <v>65</v>
      </c>
      <c r="L322" s="75">
        <v>322</v>
      </c>
      <c r="M322" s="75"/>
      <c r="N322" s="69"/>
      <c r="O322" s="77" t="s">
        <v>539</v>
      </c>
      <c r="P322" s="79">
        <v>45153.73174768518</v>
      </c>
      <c r="Q322" s="77" t="s">
        <v>568</v>
      </c>
      <c r="R322" s="77">
        <v>0</v>
      </c>
      <c r="S322" s="77">
        <v>5</v>
      </c>
      <c r="T322" s="77">
        <v>0</v>
      </c>
      <c r="U322" s="77">
        <v>0</v>
      </c>
      <c r="V322" s="77">
        <v>309</v>
      </c>
      <c r="W322" s="81" t="s">
        <v>681</v>
      </c>
      <c r="X322" s="83" t="str">
        <f>HYPERLINK("https://bit.ly/3OSFbpT")</f>
        <v>https://bit.ly/3OSFbpT</v>
      </c>
      <c r="Y322" s="77" t="s">
        <v>740</v>
      </c>
      <c r="Z322" s="77" t="s">
        <v>766</v>
      </c>
      <c r="AA322" s="77"/>
      <c r="AB322" s="77"/>
      <c r="AC322" s="81" t="s">
        <v>853</v>
      </c>
      <c r="AD322" s="77" t="s">
        <v>859</v>
      </c>
      <c r="AE322" s="83" t="str">
        <f>HYPERLINK("https://twitter.com/mihkal/status/1691503450989666304")</f>
        <v>https://twitter.com/mihkal/status/1691503450989666304</v>
      </c>
      <c r="AF322" s="79">
        <v>45153.73174768518</v>
      </c>
      <c r="AG322" s="85">
        <v>45153</v>
      </c>
      <c r="AH322" s="81" t="s">
        <v>895</v>
      </c>
      <c r="AI322" s="77" t="b">
        <v>0</v>
      </c>
      <c r="AJ322" s="77"/>
      <c r="AK322" s="77"/>
      <c r="AL322" s="77"/>
      <c r="AM322" s="77"/>
      <c r="AN322" s="77"/>
      <c r="AO322" s="77"/>
      <c r="AP322" s="77"/>
      <c r="AQ322" s="77"/>
      <c r="AR322" s="77"/>
      <c r="AS322" s="77"/>
      <c r="AT322" s="77"/>
      <c r="AU322" s="77"/>
      <c r="AV322" s="83" t="str">
        <f>HYPERLINK("https://pbs.twimg.com/profile_images/1663227887837757440/XOjtFF4W_normal.jpg")</f>
        <v>https://pbs.twimg.com/profile_images/1663227887837757440/XOjtFF4W_normal.jpg</v>
      </c>
      <c r="AW322" s="81" t="s">
        <v>1050</v>
      </c>
      <c r="AX322" s="81" t="s">
        <v>1050</v>
      </c>
      <c r="AY322" s="77"/>
      <c r="AZ322" s="81" t="s">
        <v>1190</v>
      </c>
      <c r="BA322" s="81" t="s">
        <v>1190</v>
      </c>
      <c r="BB322" s="81" t="s">
        <v>1190</v>
      </c>
      <c r="BC322" s="81" t="s">
        <v>1050</v>
      </c>
      <c r="BD322" s="77">
        <v>24256031</v>
      </c>
      <c r="BE322" s="77"/>
      <c r="BF322" s="77"/>
      <c r="BG322" s="77"/>
      <c r="BH322" s="77"/>
      <c r="BI322" s="77"/>
      <c r="BJ322">
        <v>6</v>
      </c>
      <c r="BK322" s="76" t="str">
        <f>REPLACE(INDEX(GroupVertices[Group],MATCH(Edges[[#This Row],[Vertex 1]],GroupVertices[Vertex],0)),1,1,"")</f>
        <v>1</v>
      </c>
      <c r="BL322" s="76" t="str">
        <f>REPLACE(INDEX(GroupVertices[Group],MATCH(Edges[[#This Row],[Vertex 2]],GroupVertices[Vertex],0)),1,1,"")</f>
        <v>1</v>
      </c>
      <c r="BM322" s="45"/>
      <c r="BN322" s="46"/>
      <c r="BO322" s="45"/>
      <c r="BP322" s="46"/>
      <c r="BQ322" s="45"/>
      <c r="BR322" s="46"/>
      <c r="BS322" s="45"/>
      <c r="BT322" s="46"/>
      <c r="BU322" s="45"/>
    </row>
    <row r="323" spans="1:73" ht="15">
      <c r="A323" s="61" t="s">
        <v>229</v>
      </c>
      <c r="B323" s="61" t="s">
        <v>414</v>
      </c>
      <c r="C323" s="62" t="s">
        <v>11697</v>
      </c>
      <c r="D323" s="63">
        <v>10</v>
      </c>
      <c r="E323" s="64" t="s">
        <v>136</v>
      </c>
      <c r="F323" s="65">
        <v>10</v>
      </c>
      <c r="G323" s="62"/>
      <c r="H323" s="66"/>
      <c r="I323" s="67"/>
      <c r="J323" s="67"/>
      <c r="K323" s="31" t="s">
        <v>65</v>
      </c>
      <c r="L323" s="75">
        <v>323</v>
      </c>
      <c r="M323" s="75"/>
      <c r="N323" s="69"/>
      <c r="O323" s="77" t="s">
        <v>539</v>
      </c>
      <c r="P323" s="79">
        <v>45153.61119212963</v>
      </c>
      <c r="Q323" s="77" t="s">
        <v>569</v>
      </c>
      <c r="R323" s="77">
        <v>0</v>
      </c>
      <c r="S323" s="77">
        <v>4</v>
      </c>
      <c r="T323" s="77">
        <v>0</v>
      </c>
      <c r="U323" s="77">
        <v>0</v>
      </c>
      <c r="V323" s="77">
        <v>21</v>
      </c>
      <c r="W323" s="81" t="s">
        <v>682</v>
      </c>
      <c r="X323" s="83" t="str">
        <f>HYPERLINK("https://bit.ly/457scqc")</f>
        <v>https://bit.ly/457scqc</v>
      </c>
      <c r="Y323" s="77" t="s">
        <v>740</v>
      </c>
      <c r="Z323" s="77" t="s">
        <v>767</v>
      </c>
      <c r="AA323" s="77"/>
      <c r="AB323" s="77"/>
      <c r="AC323" s="81" t="s">
        <v>853</v>
      </c>
      <c r="AD323" s="77" t="s">
        <v>859</v>
      </c>
      <c r="AE323" s="83" t="str">
        <f>HYPERLINK("https://twitter.com/mihkal/status/1691459761919995904")</f>
        <v>https://twitter.com/mihkal/status/1691459761919995904</v>
      </c>
      <c r="AF323" s="79">
        <v>45153.61119212963</v>
      </c>
      <c r="AG323" s="85">
        <v>45153</v>
      </c>
      <c r="AH323" s="81" t="s">
        <v>896</v>
      </c>
      <c r="AI323" s="77" t="b">
        <v>0</v>
      </c>
      <c r="AJ323" s="77"/>
      <c r="AK323" s="77"/>
      <c r="AL323" s="77"/>
      <c r="AM323" s="77"/>
      <c r="AN323" s="77"/>
      <c r="AO323" s="77"/>
      <c r="AP323" s="77"/>
      <c r="AQ323" s="77"/>
      <c r="AR323" s="77"/>
      <c r="AS323" s="77"/>
      <c r="AT323" s="77"/>
      <c r="AU323" s="77"/>
      <c r="AV323" s="83" t="str">
        <f>HYPERLINK("https://pbs.twimg.com/profile_images/1663227887837757440/XOjtFF4W_normal.jpg")</f>
        <v>https://pbs.twimg.com/profile_images/1663227887837757440/XOjtFF4W_normal.jpg</v>
      </c>
      <c r="AW323" s="81" t="s">
        <v>1051</v>
      </c>
      <c r="AX323" s="81" t="s">
        <v>1051</v>
      </c>
      <c r="AY323" s="81" t="s">
        <v>1175</v>
      </c>
      <c r="AZ323" s="81" t="s">
        <v>1190</v>
      </c>
      <c r="BA323" s="81" t="s">
        <v>1190</v>
      </c>
      <c r="BB323" s="81" t="s">
        <v>1190</v>
      </c>
      <c r="BC323" s="81" t="s">
        <v>1051</v>
      </c>
      <c r="BD323" s="77">
        <v>24256031</v>
      </c>
      <c r="BE323" s="77"/>
      <c r="BF323" s="77"/>
      <c r="BG323" s="77"/>
      <c r="BH323" s="77"/>
      <c r="BI323" s="77"/>
      <c r="BJ323">
        <v>6</v>
      </c>
      <c r="BK323" s="76" t="str">
        <f>REPLACE(INDEX(GroupVertices[Group],MATCH(Edges[[#This Row],[Vertex 1]],GroupVertices[Vertex],0)),1,1,"")</f>
        <v>1</v>
      </c>
      <c r="BL323" s="76" t="str">
        <f>REPLACE(INDEX(GroupVertices[Group],MATCH(Edges[[#This Row],[Vertex 2]],GroupVertices[Vertex],0)),1,1,"")</f>
        <v>1</v>
      </c>
      <c r="BM323" s="45">
        <v>1</v>
      </c>
      <c r="BN323" s="46">
        <v>4.3478260869565215</v>
      </c>
      <c r="BO323" s="45">
        <v>0</v>
      </c>
      <c r="BP323" s="46">
        <v>0</v>
      </c>
      <c r="BQ323" s="45">
        <v>0</v>
      </c>
      <c r="BR323" s="46">
        <v>0</v>
      </c>
      <c r="BS323" s="45">
        <v>21</v>
      </c>
      <c r="BT323" s="46">
        <v>91.30434782608695</v>
      </c>
      <c r="BU323" s="45">
        <v>23</v>
      </c>
    </row>
    <row r="324" spans="1:73" ht="15">
      <c r="A324" s="61" t="s">
        <v>229</v>
      </c>
      <c r="B324" s="61" t="s">
        <v>414</v>
      </c>
      <c r="C324" s="62" t="s">
        <v>11697</v>
      </c>
      <c r="D324" s="63">
        <v>10</v>
      </c>
      <c r="E324" s="64" t="s">
        <v>136</v>
      </c>
      <c r="F324" s="65">
        <v>10</v>
      </c>
      <c r="G324" s="62"/>
      <c r="H324" s="66"/>
      <c r="I324" s="67"/>
      <c r="J324" s="67"/>
      <c r="K324" s="31" t="s">
        <v>65</v>
      </c>
      <c r="L324" s="75">
        <v>324</v>
      </c>
      <c r="M324" s="75"/>
      <c r="N324" s="69"/>
      <c r="O324" s="77" t="s">
        <v>539</v>
      </c>
      <c r="P324" s="79">
        <v>45162.27140046296</v>
      </c>
      <c r="Q324" s="77" t="s">
        <v>574</v>
      </c>
      <c r="R324" s="77">
        <v>0</v>
      </c>
      <c r="S324" s="77">
        <v>5</v>
      </c>
      <c r="T324" s="77">
        <v>0</v>
      </c>
      <c r="U324" s="77">
        <v>0</v>
      </c>
      <c r="V324" s="77">
        <v>74</v>
      </c>
      <c r="W324" s="81" t="s">
        <v>684</v>
      </c>
      <c r="X324" s="83" t="str">
        <f>HYPERLINK("https://bit.ly/3QQBRgg")</f>
        <v>https://bit.ly/3QQBRgg</v>
      </c>
      <c r="Y324" s="77" t="s">
        <v>740</v>
      </c>
      <c r="Z324" s="77" t="s">
        <v>772</v>
      </c>
      <c r="AA324" s="77"/>
      <c r="AB324" s="77"/>
      <c r="AC324" s="81" t="s">
        <v>853</v>
      </c>
      <c r="AD324" s="77" t="s">
        <v>866</v>
      </c>
      <c r="AE324" s="83" t="str">
        <f>HYPERLINK("https://twitter.com/mihkal/status/1694598113590161716")</f>
        <v>https://twitter.com/mihkal/status/1694598113590161716</v>
      </c>
      <c r="AF324" s="79">
        <v>45162.27140046296</v>
      </c>
      <c r="AG324" s="85">
        <v>45162</v>
      </c>
      <c r="AH324" s="81" t="s">
        <v>901</v>
      </c>
      <c r="AI324" s="77" t="b">
        <v>0</v>
      </c>
      <c r="AJ324" s="77"/>
      <c r="AK324" s="77"/>
      <c r="AL324" s="77"/>
      <c r="AM324" s="77"/>
      <c r="AN324" s="77"/>
      <c r="AO324" s="77"/>
      <c r="AP324" s="77"/>
      <c r="AQ324" s="77"/>
      <c r="AR324" s="77"/>
      <c r="AS324" s="77"/>
      <c r="AT324" s="77"/>
      <c r="AU324" s="77"/>
      <c r="AV324" s="83" t="str">
        <f>HYPERLINK("https://pbs.twimg.com/profile_images/1663227887837757440/XOjtFF4W_normal.jpg")</f>
        <v>https://pbs.twimg.com/profile_images/1663227887837757440/XOjtFF4W_normal.jpg</v>
      </c>
      <c r="AW324" s="81" t="s">
        <v>1056</v>
      </c>
      <c r="AX324" s="81" t="s">
        <v>1056</v>
      </c>
      <c r="AY324" s="77"/>
      <c r="AZ324" s="81" t="s">
        <v>1190</v>
      </c>
      <c r="BA324" s="81" t="s">
        <v>1190</v>
      </c>
      <c r="BB324" s="81" t="s">
        <v>1190</v>
      </c>
      <c r="BC324" s="81" t="s">
        <v>1056</v>
      </c>
      <c r="BD324" s="77">
        <v>24256031</v>
      </c>
      <c r="BE324" s="77"/>
      <c r="BF324" s="77"/>
      <c r="BG324" s="77"/>
      <c r="BH324" s="77"/>
      <c r="BI324" s="77"/>
      <c r="BJ324">
        <v>6</v>
      </c>
      <c r="BK324" s="76" t="str">
        <f>REPLACE(INDEX(GroupVertices[Group],MATCH(Edges[[#This Row],[Vertex 1]],GroupVertices[Vertex],0)),1,1,"")</f>
        <v>1</v>
      </c>
      <c r="BL324" s="76" t="str">
        <f>REPLACE(INDEX(GroupVertices[Group],MATCH(Edges[[#This Row],[Vertex 2]],GroupVertices[Vertex],0)),1,1,"")</f>
        <v>1</v>
      </c>
      <c r="BM324" s="45"/>
      <c r="BN324" s="46"/>
      <c r="BO324" s="45"/>
      <c r="BP324" s="46"/>
      <c r="BQ324" s="45"/>
      <c r="BR324" s="46"/>
      <c r="BS324" s="45"/>
      <c r="BT324" s="46"/>
      <c r="BU324" s="45"/>
    </row>
    <row r="325" spans="1:73" ht="15">
      <c r="A325" s="61" t="s">
        <v>229</v>
      </c>
      <c r="B325" s="61" t="s">
        <v>414</v>
      </c>
      <c r="C325" s="62" t="s">
        <v>11697</v>
      </c>
      <c r="D325" s="63">
        <v>10</v>
      </c>
      <c r="E325" s="64" t="s">
        <v>136</v>
      </c>
      <c r="F325" s="65">
        <v>10</v>
      </c>
      <c r="G325" s="62"/>
      <c r="H325" s="66"/>
      <c r="I325" s="67"/>
      <c r="J325" s="67"/>
      <c r="K325" s="31" t="s">
        <v>65</v>
      </c>
      <c r="L325" s="75">
        <v>325</v>
      </c>
      <c r="M325" s="75"/>
      <c r="N325" s="69"/>
      <c r="O325" s="77" t="s">
        <v>539</v>
      </c>
      <c r="P325" s="79">
        <v>45165.7343287037</v>
      </c>
      <c r="Q325" s="77" t="s">
        <v>575</v>
      </c>
      <c r="R325" s="77">
        <v>0</v>
      </c>
      <c r="S325" s="77">
        <v>5</v>
      </c>
      <c r="T325" s="77">
        <v>0</v>
      </c>
      <c r="U325" s="77">
        <v>0</v>
      </c>
      <c r="V325" s="77">
        <v>157</v>
      </c>
      <c r="W325" s="81" t="s">
        <v>685</v>
      </c>
      <c r="X325" s="83" t="str">
        <f>HYPERLINK("https://bit.ly/3PdAVBo")</f>
        <v>https://bit.ly/3PdAVBo</v>
      </c>
      <c r="Y325" s="77" t="s">
        <v>740</v>
      </c>
      <c r="Z325" s="77" t="s">
        <v>773</v>
      </c>
      <c r="AA325" s="77"/>
      <c r="AB325" s="77"/>
      <c r="AC325" s="81" t="s">
        <v>853</v>
      </c>
      <c r="AD325" s="77" t="s">
        <v>859</v>
      </c>
      <c r="AE325" s="83" t="str">
        <f>HYPERLINK("https://twitter.com/mihkal/status/1695853038546620819")</f>
        <v>https://twitter.com/mihkal/status/1695853038546620819</v>
      </c>
      <c r="AF325" s="79">
        <v>45165.7343287037</v>
      </c>
      <c r="AG325" s="85">
        <v>45165</v>
      </c>
      <c r="AH325" s="81" t="s">
        <v>902</v>
      </c>
      <c r="AI325" s="77" t="b">
        <v>0</v>
      </c>
      <c r="AJ325" s="77"/>
      <c r="AK325" s="77"/>
      <c r="AL325" s="77"/>
      <c r="AM325" s="77"/>
      <c r="AN325" s="77"/>
      <c r="AO325" s="77"/>
      <c r="AP325" s="77"/>
      <c r="AQ325" s="77"/>
      <c r="AR325" s="77"/>
      <c r="AS325" s="77"/>
      <c r="AT325" s="77"/>
      <c r="AU325" s="77"/>
      <c r="AV325" s="83" t="str">
        <f>HYPERLINK("https://pbs.twimg.com/profile_images/1663227887837757440/XOjtFF4W_normal.jpg")</f>
        <v>https://pbs.twimg.com/profile_images/1663227887837757440/XOjtFF4W_normal.jpg</v>
      </c>
      <c r="AW325" s="81" t="s">
        <v>1057</v>
      </c>
      <c r="AX325" s="81" t="s">
        <v>1057</v>
      </c>
      <c r="AY325" s="77"/>
      <c r="AZ325" s="81" t="s">
        <v>1190</v>
      </c>
      <c r="BA325" s="81" t="s">
        <v>1190</v>
      </c>
      <c r="BB325" s="81" t="s">
        <v>1190</v>
      </c>
      <c r="BC325" s="81" t="s">
        <v>1057</v>
      </c>
      <c r="BD325" s="77">
        <v>24256031</v>
      </c>
      <c r="BE325" s="77"/>
      <c r="BF325" s="77"/>
      <c r="BG325" s="77"/>
      <c r="BH325" s="77"/>
      <c r="BI325" s="77"/>
      <c r="BJ325">
        <v>6</v>
      </c>
      <c r="BK325" s="76" t="str">
        <f>REPLACE(INDEX(GroupVertices[Group],MATCH(Edges[[#This Row],[Vertex 1]],GroupVertices[Vertex],0)),1,1,"")</f>
        <v>1</v>
      </c>
      <c r="BL325" s="76" t="str">
        <f>REPLACE(INDEX(GroupVertices[Group],MATCH(Edges[[#This Row],[Vertex 2]],GroupVertices[Vertex],0)),1,1,"")</f>
        <v>1</v>
      </c>
      <c r="BM325" s="45">
        <v>1</v>
      </c>
      <c r="BN325" s="46">
        <v>4.545454545454546</v>
      </c>
      <c r="BO325" s="45">
        <v>0</v>
      </c>
      <c r="BP325" s="46">
        <v>0</v>
      </c>
      <c r="BQ325" s="45">
        <v>0</v>
      </c>
      <c r="BR325" s="46">
        <v>0</v>
      </c>
      <c r="BS325" s="45">
        <v>19</v>
      </c>
      <c r="BT325" s="46">
        <v>86.36363636363636</v>
      </c>
      <c r="BU325" s="45">
        <v>22</v>
      </c>
    </row>
    <row r="326" spans="1:73" ht="15">
      <c r="A326" s="61" t="s">
        <v>229</v>
      </c>
      <c r="B326" s="61" t="s">
        <v>414</v>
      </c>
      <c r="C326" s="62" t="s">
        <v>11697</v>
      </c>
      <c r="D326" s="63">
        <v>10</v>
      </c>
      <c r="E326" s="64" t="s">
        <v>136</v>
      </c>
      <c r="F326" s="65">
        <v>10</v>
      </c>
      <c r="G326" s="62"/>
      <c r="H326" s="66"/>
      <c r="I326" s="67"/>
      <c r="J326" s="67"/>
      <c r="K326" s="31" t="s">
        <v>65</v>
      </c>
      <c r="L326" s="75">
        <v>326</v>
      </c>
      <c r="M326" s="75"/>
      <c r="N326" s="69"/>
      <c r="O326" s="77" t="s">
        <v>539</v>
      </c>
      <c r="P326" s="79">
        <v>45165.73452546296</v>
      </c>
      <c r="Q326" s="77" t="s">
        <v>576</v>
      </c>
      <c r="R326" s="77">
        <v>0</v>
      </c>
      <c r="S326" s="77">
        <v>5</v>
      </c>
      <c r="T326" s="77">
        <v>0</v>
      </c>
      <c r="U326" s="77">
        <v>0</v>
      </c>
      <c r="V326" s="77">
        <v>80</v>
      </c>
      <c r="W326" s="81" t="s">
        <v>686</v>
      </c>
      <c r="X326" s="83" t="str">
        <f>HYPERLINK("https://bit.ly/47SnwWM")</f>
        <v>https://bit.ly/47SnwWM</v>
      </c>
      <c r="Y326" s="77" t="s">
        <v>740</v>
      </c>
      <c r="Z326" s="77" t="s">
        <v>774</v>
      </c>
      <c r="AA326" s="77"/>
      <c r="AB326" s="77"/>
      <c r="AC326" s="81" t="s">
        <v>853</v>
      </c>
      <c r="AD326" s="77" t="s">
        <v>859</v>
      </c>
      <c r="AE326" s="83" t="str">
        <f>HYPERLINK("https://twitter.com/mihkal/status/1695853109212282929")</f>
        <v>https://twitter.com/mihkal/status/1695853109212282929</v>
      </c>
      <c r="AF326" s="79">
        <v>45165.73452546296</v>
      </c>
      <c r="AG326" s="85">
        <v>45165</v>
      </c>
      <c r="AH326" s="81" t="s">
        <v>903</v>
      </c>
      <c r="AI326" s="77" t="b">
        <v>0</v>
      </c>
      <c r="AJ326" s="77"/>
      <c r="AK326" s="77"/>
      <c r="AL326" s="77"/>
      <c r="AM326" s="77"/>
      <c r="AN326" s="77"/>
      <c r="AO326" s="77"/>
      <c r="AP326" s="77"/>
      <c r="AQ326" s="77"/>
      <c r="AR326" s="77"/>
      <c r="AS326" s="77"/>
      <c r="AT326" s="77"/>
      <c r="AU326" s="77"/>
      <c r="AV326" s="83" t="str">
        <f>HYPERLINK("https://pbs.twimg.com/profile_images/1663227887837757440/XOjtFF4W_normal.jpg")</f>
        <v>https://pbs.twimg.com/profile_images/1663227887837757440/XOjtFF4W_normal.jpg</v>
      </c>
      <c r="AW326" s="81" t="s">
        <v>1058</v>
      </c>
      <c r="AX326" s="81" t="s">
        <v>1058</v>
      </c>
      <c r="AY326" s="77"/>
      <c r="AZ326" s="81" t="s">
        <v>1190</v>
      </c>
      <c r="BA326" s="81" t="s">
        <v>1190</v>
      </c>
      <c r="BB326" s="81" t="s">
        <v>1190</v>
      </c>
      <c r="BC326" s="81" t="s">
        <v>1058</v>
      </c>
      <c r="BD326" s="77">
        <v>24256031</v>
      </c>
      <c r="BE326" s="77"/>
      <c r="BF326" s="77"/>
      <c r="BG326" s="77"/>
      <c r="BH326" s="77"/>
      <c r="BI326" s="77"/>
      <c r="BJ326">
        <v>6</v>
      </c>
      <c r="BK326" s="76" t="str">
        <f>REPLACE(INDEX(GroupVertices[Group],MATCH(Edges[[#This Row],[Vertex 1]],GroupVertices[Vertex],0)),1,1,"")</f>
        <v>1</v>
      </c>
      <c r="BL326" s="76" t="str">
        <f>REPLACE(INDEX(GroupVertices[Group],MATCH(Edges[[#This Row],[Vertex 2]],GroupVertices[Vertex],0)),1,1,"")</f>
        <v>1</v>
      </c>
      <c r="BM326" s="45"/>
      <c r="BN326" s="46"/>
      <c r="BO326" s="45"/>
      <c r="BP326" s="46"/>
      <c r="BQ326" s="45"/>
      <c r="BR326" s="46"/>
      <c r="BS326" s="45"/>
      <c r="BT326" s="46"/>
      <c r="BU326" s="45"/>
    </row>
    <row r="327" spans="1:73" ht="15">
      <c r="A327" s="61" t="s">
        <v>229</v>
      </c>
      <c r="B327" s="61" t="s">
        <v>414</v>
      </c>
      <c r="C327" s="62" t="s">
        <v>11697</v>
      </c>
      <c r="D327" s="63">
        <v>10</v>
      </c>
      <c r="E327" s="64" t="s">
        <v>136</v>
      </c>
      <c r="F327" s="65">
        <v>10</v>
      </c>
      <c r="G327" s="62"/>
      <c r="H327" s="66"/>
      <c r="I327" s="67"/>
      <c r="J327" s="67"/>
      <c r="K327" s="31" t="s">
        <v>65</v>
      </c>
      <c r="L327" s="75">
        <v>327</v>
      </c>
      <c r="M327" s="75"/>
      <c r="N327" s="69"/>
      <c r="O327" s="77" t="s">
        <v>539</v>
      </c>
      <c r="P327" s="79">
        <v>45169.19766203704</v>
      </c>
      <c r="Q327" s="77" t="s">
        <v>578</v>
      </c>
      <c r="R327" s="77">
        <v>0</v>
      </c>
      <c r="S327" s="77">
        <v>6</v>
      </c>
      <c r="T327" s="77">
        <v>0</v>
      </c>
      <c r="U327" s="77">
        <v>1</v>
      </c>
      <c r="V327" s="77">
        <v>253</v>
      </c>
      <c r="W327" s="81" t="s">
        <v>688</v>
      </c>
      <c r="X327" s="83" t="str">
        <f>HYPERLINK("https://bit.ly/3KYA05C")</f>
        <v>https://bit.ly/3KYA05C</v>
      </c>
      <c r="Y327" s="77" t="s">
        <v>740</v>
      </c>
      <c r="Z327" s="77" t="s">
        <v>776</v>
      </c>
      <c r="AA327" s="77"/>
      <c r="AB327" s="77"/>
      <c r="AC327" s="81" t="s">
        <v>853</v>
      </c>
      <c r="AD327" s="77" t="s">
        <v>867</v>
      </c>
      <c r="AE327" s="83" t="str">
        <f>HYPERLINK("https://twitter.com/mihkal/status/1697108109326524807")</f>
        <v>https://twitter.com/mihkal/status/1697108109326524807</v>
      </c>
      <c r="AF327" s="79">
        <v>45169.19766203704</v>
      </c>
      <c r="AG327" s="85">
        <v>45169</v>
      </c>
      <c r="AH327" s="81" t="s">
        <v>905</v>
      </c>
      <c r="AI327" s="77" t="b">
        <v>0</v>
      </c>
      <c r="AJ327" s="77"/>
      <c r="AK327" s="77"/>
      <c r="AL327" s="77"/>
      <c r="AM327" s="77"/>
      <c r="AN327" s="77"/>
      <c r="AO327" s="77"/>
      <c r="AP327" s="77"/>
      <c r="AQ327" s="77"/>
      <c r="AR327" s="77"/>
      <c r="AS327" s="77"/>
      <c r="AT327" s="77"/>
      <c r="AU327" s="77"/>
      <c r="AV327" s="83" t="str">
        <f>HYPERLINK("https://pbs.twimg.com/profile_images/1663227887837757440/XOjtFF4W_normal.jpg")</f>
        <v>https://pbs.twimg.com/profile_images/1663227887837757440/XOjtFF4W_normal.jpg</v>
      </c>
      <c r="AW327" s="81" t="s">
        <v>1060</v>
      </c>
      <c r="AX327" s="81" t="s">
        <v>1060</v>
      </c>
      <c r="AY327" s="77"/>
      <c r="AZ327" s="81" t="s">
        <v>1190</v>
      </c>
      <c r="BA327" s="81" t="s">
        <v>1190</v>
      </c>
      <c r="BB327" s="81" t="s">
        <v>1190</v>
      </c>
      <c r="BC327" s="81" t="s">
        <v>1060</v>
      </c>
      <c r="BD327" s="77">
        <v>24256031</v>
      </c>
      <c r="BE327" s="77"/>
      <c r="BF327" s="77"/>
      <c r="BG327" s="77"/>
      <c r="BH327" s="77"/>
      <c r="BI327" s="77"/>
      <c r="BJ327">
        <v>6</v>
      </c>
      <c r="BK327" s="76" t="str">
        <f>REPLACE(INDEX(GroupVertices[Group],MATCH(Edges[[#This Row],[Vertex 1]],GroupVertices[Vertex],0)),1,1,"")</f>
        <v>1</v>
      </c>
      <c r="BL327" s="76" t="str">
        <f>REPLACE(INDEX(GroupVertices[Group],MATCH(Edges[[#This Row],[Vertex 2]],GroupVertices[Vertex],0)),1,1,"")</f>
        <v>1</v>
      </c>
      <c r="BM327" s="45"/>
      <c r="BN327" s="46"/>
      <c r="BO327" s="45"/>
      <c r="BP327" s="46"/>
      <c r="BQ327" s="45"/>
      <c r="BR327" s="46"/>
      <c r="BS327" s="45"/>
      <c r="BT327" s="46"/>
      <c r="BU327" s="45"/>
    </row>
    <row r="328" spans="1:73" ht="15">
      <c r="A328" s="61" t="s">
        <v>229</v>
      </c>
      <c r="B328" s="61" t="s">
        <v>415</v>
      </c>
      <c r="C328" s="62" t="s">
        <v>11692</v>
      </c>
      <c r="D328" s="63">
        <v>3</v>
      </c>
      <c r="E328" s="64" t="s">
        <v>132</v>
      </c>
      <c r="F328" s="65">
        <v>32</v>
      </c>
      <c r="G328" s="62"/>
      <c r="H328" s="66"/>
      <c r="I328" s="67"/>
      <c r="J328" s="67"/>
      <c r="K328" s="31" t="s">
        <v>65</v>
      </c>
      <c r="L328" s="75">
        <v>328</v>
      </c>
      <c r="M328" s="75"/>
      <c r="N328" s="69"/>
      <c r="O328" s="77" t="s">
        <v>539</v>
      </c>
      <c r="P328" s="79">
        <v>45169.19766203704</v>
      </c>
      <c r="Q328" s="77" t="s">
        <v>578</v>
      </c>
      <c r="R328" s="77">
        <v>0</v>
      </c>
      <c r="S328" s="77">
        <v>6</v>
      </c>
      <c r="T328" s="77">
        <v>0</v>
      </c>
      <c r="U328" s="77">
        <v>1</v>
      </c>
      <c r="V328" s="77">
        <v>253</v>
      </c>
      <c r="W328" s="81" t="s">
        <v>688</v>
      </c>
      <c r="X328" s="83" t="str">
        <f>HYPERLINK("https://bit.ly/3KYA05C")</f>
        <v>https://bit.ly/3KYA05C</v>
      </c>
      <c r="Y328" s="77" t="s">
        <v>740</v>
      </c>
      <c r="Z328" s="77" t="s">
        <v>776</v>
      </c>
      <c r="AA328" s="77"/>
      <c r="AB328" s="77"/>
      <c r="AC328" s="81" t="s">
        <v>853</v>
      </c>
      <c r="AD328" s="77" t="s">
        <v>867</v>
      </c>
      <c r="AE328" s="83" t="str">
        <f>HYPERLINK("https://twitter.com/mihkal/status/1697108109326524807")</f>
        <v>https://twitter.com/mihkal/status/1697108109326524807</v>
      </c>
      <c r="AF328" s="79">
        <v>45169.19766203704</v>
      </c>
      <c r="AG328" s="85">
        <v>45169</v>
      </c>
      <c r="AH328" s="81" t="s">
        <v>905</v>
      </c>
      <c r="AI328" s="77" t="b">
        <v>0</v>
      </c>
      <c r="AJ328" s="77"/>
      <c r="AK328" s="77"/>
      <c r="AL328" s="77"/>
      <c r="AM328" s="77"/>
      <c r="AN328" s="77"/>
      <c r="AO328" s="77"/>
      <c r="AP328" s="77"/>
      <c r="AQ328" s="77"/>
      <c r="AR328" s="77"/>
      <c r="AS328" s="77"/>
      <c r="AT328" s="77"/>
      <c r="AU328" s="77"/>
      <c r="AV328" s="83" t="str">
        <f>HYPERLINK("https://pbs.twimg.com/profile_images/1663227887837757440/XOjtFF4W_normal.jpg")</f>
        <v>https://pbs.twimg.com/profile_images/1663227887837757440/XOjtFF4W_normal.jpg</v>
      </c>
      <c r="AW328" s="81" t="s">
        <v>1060</v>
      </c>
      <c r="AX328" s="81" t="s">
        <v>1060</v>
      </c>
      <c r="AY328" s="77"/>
      <c r="AZ328" s="81" t="s">
        <v>1190</v>
      </c>
      <c r="BA328" s="81" t="s">
        <v>1190</v>
      </c>
      <c r="BB328" s="81" t="s">
        <v>1190</v>
      </c>
      <c r="BC328" s="81" t="s">
        <v>1060</v>
      </c>
      <c r="BD328" s="77">
        <v>24256031</v>
      </c>
      <c r="BE328" s="77"/>
      <c r="BF328" s="77"/>
      <c r="BG328" s="77"/>
      <c r="BH328" s="77"/>
      <c r="BI328" s="77"/>
      <c r="BJ328">
        <v>1</v>
      </c>
      <c r="BK328" s="76" t="str">
        <f>REPLACE(INDEX(GroupVertices[Group],MATCH(Edges[[#This Row],[Vertex 1]],GroupVertices[Vertex],0)),1,1,"")</f>
        <v>1</v>
      </c>
      <c r="BL328" s="76" t="str">
        <f>REPLACE(INDEX(GroupVertices[Group],MATCH(Edges[[#This Row],[Vertex 2]],GroupVertices[Vertex],0)),1,1,"")</f>
        <v>1</v>
      </c>
      <c r="BM328" s="45"/>
      <c r="BN328" s="46"/>
      <c r="BO328" s="45"/>
      <c r="BP328" s="46"/>
      <c r="BQ328" s="45"/>
      <c r="BR328" s="46"/>
      <c r="BS328" s="45"/>
      <c r="BT328" s="46"/>
      <c r="BU328" s="45"/>
    </row>
    <row r="329" spans="1:73" ht="15">
      <c r="A329" s="61" t="s">
        <v>229</v>
      </c>
      <c r="B329" s="61" t="s">
        <v>416</v>
      </c>
      <c r="C329" s="62" t="s">
        <v>11693</v>
      </c>
      <c r="D329" s="63">
        <v>4.4</v>
      </c>
      <c r="E329" s="64" t="s">
        <v>132</v>
      </c>
      <c r="F329" s="65">
        <v>27.6</v>
      </c>
      <c r="G329" s="62"/>
      <c r="H329" s="66"/>
      <c r="I329" s="67"/>
      <c r="J329" s="67"/>
      <c r="K329" s="31" t="s">
        <v>65</v>
      </c>
      <c r="L329" s="75">
        <v>329</v>
      </c>
      <c r="M329" s="75"/>
      <c r="N329" s="69"/>
      <c r="O329" s="77" t="s">
        <v>539</v>
      </c>
      <c r="P329" s="79">
        <v>45153.73174768518</v>
      </c>
      <c r="Q329" s="77" t="s">
        <v>568</v>
      </c>
      <c r="R329" s="77">
        <v>0</v>
      </c>
      <c r="S329" s="77">
        <v>5</v>
      </c>
      <c r="T329" s="77">
        <v>0</v>
      </c>
      <c r="U329" s="77">
        <v>0</v>
      </c>
      <c r="V329" s="77">
        <v>309</v>
      </c>
      <c r="W329" s="81" t="s">
        <v>681</v>
      </c>
      <c r="X329" s="83" t="str">
        <f>HYPERLINK("https://bit.ly/3OSFbpT")</f>
        <v>https://bit.ly/3OSFbpT</v>
      </c>
      <c r="Y329" s="77" t="s">
        <v>740</v>
      </c>
      <c r="Z329" s="77" t="s">
        <v>766</v>
      </c>
      <c r="AA329" s="77"/>
      <c r="AB329" s="77"/>
      <c r="AC329" s="81" t="s">
        <v>853</v>
      </c>
      <c r="AD329" s="77" t="s">
        <v>859</v>
      </c>
      <c r="AE329" s="83" t="str">
        <f>HYPERLINK("https://twitter.com/mihkal/status/1691503450989666304")</f>
        <v>https://twitter.com/mihkal/status/1691503450989666304</v>
      </c>
      <c r="AF329" s="79">
        <v>45153.73174768518</v>
      </c>
      <c r="AG329" s="85">
        <v>45153</v>
      </c>
      <c r="AH329" s="81" t="s">
        <v>895</v>
      </c>
      <c r="AI329" s="77" t="b">
        <v>0</v>
      </c>
      <c r="AJ329" s="77"/>
      <c r="AK329" s="77"/>
      <c r="AL329" s="77"/>
      <c r="AM329" s="77"/>
      <c r="AN329" s="77"/>
      <c r="AO329" s="77"/>
      <c r="AP329" s="77"/>
      <c r="AQ329" s="77"/>
      <c r="AR329" s="77"/>
      <c r="AS329" s="77"/>
      <c r="AT329" s="77"/>
      <c r="AU329" s="77"/>
      <c r="AV329" s="83" t="str">
        <f>HYPERLINK("https://pbs.twimg.com/profile_images/1663227887837757440/XOjtFF4W_normal.jpg")</f>
        <v>https://pbs.twimg.com/profile_images/1663227887837757440/XOjtFF4W_normal.jpg</v>
      </c>
      <c r="AW329" s="81" t="s">
        <v>1050</v>
      </c>
      <c r="AX329" s="81" t="s">
        <v>1050</v>
      </c>
      <c r="AY329" s="77"/>
      <c r="AZ329" s="81" t="s">
        <v>1190</v>
      </c>
      <c r="BA329" s="81" t="s">
        <v>1190</v>
      </c>
      <c r="BB329" s="81" t="s">
        <v>1190</v>
      </c>
      <c r="BC329" s="81" t="s">
        <v>1050</v>
      </c>
      <c r="BD329" s="77">
        <v>24256031</v>
      </c>
      <c r="BE329" s="77"/>
      <c r="BF329" s="77"/>
      <c r="BG329" s="77"/>
      <c r="BH329" s="77"/>
      <c r="BI329" s="77"/>
      <c r="BJ329">
        <v>2</v>
      </c>
      <c r="BK329" s="76" t="str">
        <f>REPLACE(INDEX(GroupVertices[Group],MATCH(Edges[[#This Row],[Vertex 1]],GroupVertices[Vertex],0)),1,1,"")</f>
        <v>1</v>
      </c>
      <c r="BL329" s="76" t="str">
        <f>REPLACE(INDEX(GroupVertices[Group],MATCH(Edges[[#This Row],[Vertex 2]],GroupVertices[Vertex],0)),1,1,"")</f>
        <v>1</v>
      </c>
      <c r="BM329" s="45"/>
      <c r="BN329" s="46"/>
      <c r="BO329" s="45"/>
      <c r="BP329" s="46"/>
      <c r="BQ329" s="45"/>
      <c r="BR329" s="46"/>
      <c r="BS329" s="45"/>
      <c r="BT329" s="46"/>
      <c r="BU329" s="45"/>
    </row>
    <row r="330" spans="1:73" ht="15">
      <c r="A330" s="61" t="s">
        <v>229</v>
      </c>
      <c r="B330" s="61" t="s">
        <v>416</v>
      </c>
      <c r="C330" s="62" t="s">
        <v>11693</v>
      </c>
      <c r="D330" s="63">
        <v>4.4</v>
      </c>
      <c r="E330" s="64" t="s">
        <v>132</v>
      </c>
      <c r="F330" s="65">
        <v>27.6</v>
      </c>
      <c r="G330" s="62"/>
      <c r="H330" s="66"/>
      <c r="I330" s="67"/>
      <c r="J330" s="67"/>
      <c r="K330" s="31" t="s">
        <v>65</v>
      </c>
      <c r="L330" s="75">
        <v>330</v>
      </c>
      <c r="M330" s="75"/>
      <c r="N330" s="69"/>
      <c r="O330" s="77" t="s">
        <v>539</v>
      </c>
      <c r="P330" s="79">
        <v>45169.19766203704</v>
      </c>
      <c r="Q330" s="77" t="s">
        <v>578</v>
      </c>
      <c r="R330" s="77">
        <v>0</v>
      </c>
      <c r="S330" s="77">
        <v>6</v>
      </c>
      <c r="T330" s="77">
        <v>0</v>
      </c>
      <c r="U330" s="77">
        <v>1</v>
      </c>
      <c r="V330" s="77">
        <v>253</v>
      </c>
      <c r="W330" s="81" t="s">
        <v>688</v>
      </c>
      <c r="X330" s="83" t="str">
        <f>HYPERLINK("https://bit.ly/3KYA05C")</f>
        <v>https://bit.ly/3KYA05C</v>
      </c>
      <c r="Y330" s="77" t="s">
        <v>740</v>
      </c>
      <c r="Z330" s="77" t="s">
        <v>776</v>
      </c>
      <c r="AA330" s="77"/>
      <c r="AB330" s="77"/>
      <c r="AC330" s="81" t="s">
        <v>853</v>
      </c>
      <c r="AD330" s="77" t="s">
        <v>867</v>
      </c>
      <c r="AE330" s="83" t="str">
        <f>HYPERLINK("https://twitter.com/mihkal/status/1697108109326524807")</f>
        <v>https://twitter.com/mihkal/status/1697108109326524807</v>
      </c>
      <c r="AF330" s="79">
        <v>45169.19766203704</v>
      </c>
      <c r="AG330" s="85">
        <v>45169</v>
      </c>
      <c r="AH330" s="81" t="s">
        <v>905</v>
      </c>
      <c r="AI330" s="77" t="b">
        <v>0</v>
      </c>
      <c r="AJ330" s="77"/>
      <c r="AK330" s="77"/>
      <c r="AL330" s="77"/>
      <c r="AM330" s="77"/>
      <c r="AN330" s="77"/>
      <c r="AO330" s="77"/>
      <c r="AP330" s="77"/>
      <c r="AQ330" s="77"/>
      <c r="AR330" s="77"/>
      <c r="AS330" s="77"/>
      <c r="AT330" s="77"/>
      <c r="AU330" s="77"/>
      <c r="AV330" s="83" t="str">
        <f>HYPERLINK("https://pbs.twimg.com/profile_images/1663227887837757440/XOjtFF4W_normal.jpg")</f>
        <v>https://pbs.twimg.com/profile_images/1663227887837757440/XOjtFF4W_normal.jpg</v>
      </c>
      <c r="AW330" s="81" t="s">
        <v>1060</v>
      </c>
      <c r="AX330" s="81" t="s">
        <v>1060</v>
      </c>
      <c r="AY330" s="77"/>
      <c r="AZ330" s="81" t="s">
        <v>1190</v>
      </c>
      <c r="BA330" s="81" t="s">
        <v>1190</v>
      </c>
      <c r="BB330" s="81" t="s">
        <v>1190</v>
      </c>
      <c r="BC330" s="81" t="s">
        <v>1060</v>
      </c>
      <c r="BD330" s="77">
        <v>24256031</v>
      </c>
      <c r="BE330" s="77"/>
      <c r="BF330" s="77"/>
      <c r="BG330" s="77"/>
      <c r="BH330" s="77"/>
      <c r="BI330" s="77"/>
      <c r="BJ330">
        <v>2</v>
      </c>
      <c r="BK330" s="76" t="str">
        <f>REPLACE(INDEX(GroupVertices[Group],MATCH(Edges[[#This Row],[Vertex 1]],GroupVertices[Vertex],0)),1,1,"")</f>
        <v>1</v>
      </c>
      <c r="BL330" s="76" t="str">
        <f>REPLACE(INDEX(GroupVertices[Group],MATCH(Edges[[#This Row],[Vertex 2]],GroupVertices[Vertex],0)),1,1,"")</f>
        <v>1</v>
      </c>
      <c r="BM330" s="45"/>
      <c r="BN330" s="46"/>
      <c r="BO330" s="45"/>
      <c r="BP330" s="46"/>
      <c r="BQ330" s="45"/>
      <c r="BR330" s="46"/>
      <c r="BS330" s="45"/>
      <c r="BT330" s="46"/>
      <c r="BU330" s="45"/>
    </row>
    <row r="331" spans="1:73" ht="15">
      <c r="A331" s="61" t="s">
        <v>229</v>
      </c>
      <c r="B331" s="61" t="s">
        <v>417</v>
      </c>
      <c r="C331" s="62" t="s">
        <v>11695</v>
      </c>
      <c r="D331" s="63">
        <v>7.2</v>
      </c>
      <c r="E331" s="64" t="s">
        <v>132</v>
      </c>
      <c r="F331" s="65">
        <v>18.8</v>
      </c>
      <c r="G331" s="62"/>
      <c r="H331" s="66"/>
      <c r="I331" s="67"/>
      <c r="J331" s="67"/>
      <c r="K331" s="31" t="s">
        <v>65</v>
      </c>
      <c r="L331" s="75">
        <v>331</v>
      </c>
      <c r="M331" s="75"/>
      <c r="N331" s="69"/>
      <c r="O331" s="77" t="s">
        <v>539</v>
      </c>
      <c r="P331" s="79">
        <v>45153.73174768518</v>
      </c>
      <c r="Q331" s="77" t="s">
        <v>568</v>
      </c>
      <c r="R331" s="77">
        <v>0</v>
      </c>
      <c r="S331" s="77">
        <v>5</v>
      </c>
      <c r="T331" s="77">
        <v>0</v>
      </c>
      <c r="U331" s="77">
        <v>0</v>
      </c>
      <c r="V331" s="77">
        <v>309</v>
      </c>
      <c r="W331" s="81" t="s">
        <v>681</v>
      </c>
      <c r="X331" s="83" t="str">
        <f>HYPERLINK("https://bit.ly/3OSFbpT")</f>
        <v>https://bit.ly/3OSFbpT</v>
      </c>
      <c r="Y331" s="77" t="s">
        <v>740</v>
      </c>
      <c r="Z331" s="77" t="s">
        <v>766</v>
      </c>
      <c r="AA331" s="77"/>
      <c r="AB331" s="77"/>
      <c r="AC331" s="81" t="s">
        <v>853</v>
      </c>
      <c r="AD331" s="77" t="s">
        <v>859</v>
      </c>
      <c r="AE331" s="83" t="str">
        <f>HYPERLINK("https://twitter.com/mihkal/status/1691503450989666304")</f>
        <v>https://twitter.com/mihkal/status/1691503450989666304</v>
      </c>
      <c r="AF331" s="79">
        <v>45153.73174768518</v>
      </c>
      <c r="AG331" s="85">
        <v>45153</v>
      </c>
      <c r="AH331" s="81" t="s">
        <v>895</v>
      </c>
      <c r="AI331" s="77" t="b">
        <v>0</v>
      </c>
      <c r="AJ331" s="77"/>
      <c r="AK331" s="77"/>
      <c r="AL331" s="77"/>
      <c r="AM331" s="77"/>
      <c r="AN331" s="77"/>
      <c r="AO331" s="77"/>
      <c r="AP331" s="77"/>
      <c r="AQ331" s="77"/>
      <c r="AR331" s="77"/>
      <c r="AS331" s="77"/>
      <c r="AT331" s="77"/>
      <c r="AU331" s="77"/>
      <c r="AV331" s="83" t="str">
        <f>HYPERLINK("https://pbs.twimg.com/profile_images/1663227887837757440/XOjtFF4W_normal.jpg")</f>
        <v>https://pbs.twimg.com/profile_images/1663227887837757440/XOjtFF4W_normal.jpg</v>
      </c>
      <c r="AW331" s="81" t="s">
        <v>1050</v>
      </c>
      <c r="AX331" s="81" t="s">
        <v>1050</v>
      </c>
      <c r="AY331" s="77"/>
      <c r="AZ331" s="81" t="s">
        <v>1190</v>
      </c>
      <c r="BA331" s="81" t="s">
        <v>1190</v>
      </c>
      <c r="BB331" s="81" t="s">
        <v>1190</v>
      </c>
      <c r="BC331" s="81" t="s">
        <v>1050</v>
      </c>
      <c r="BD331" s="77">
        <v>24256031</v>
      </c>
      <c r="BE331" s="77"/>
      <c r="BF331" s="77"/>
      <c r="BG331" s="77"/>
      <c r="BH331" s="77"/>
      <c r="BI331" s="77"/>
      <c r="BJ331">
        <v>4</v>
      </c>
      <c r="BK331" s="76" t="str">
        <f>REPLACE(INDEX(GroupVertices[Group],MATCH(Edges[[#This Row],[Vertex 1]],GroupVertices[Vertex],0)),1,1,"")</f>
        <v>1</v>
      </c>
      <c r="BL331" s="76" t="str">
        <f>REPLACE(INDEX(GroupVertices[Group],MATCH(Edges[[#This Row],[Vertex 2]],GroupVertices[Vertex],0)),1,1,"")</f>
        <v>1</v>
      </c>
      <c r="BM331" s="45">
        <v>1</v>
      </c>
      <c r="BN331" s="46">
        <v>4.166666666666667</v>
      </c>
      <c r="BO331" s="45">
        <v>0</v>
      </c>
      <c r="BP331" s="46">
        <v>0</v>
      </c>
      <c r="BQ331" s="45">
        <v>0</v>
      </c>
      <c r="BR331" s="46">
        <v>0</v>
      </c>
      <c r="BS331" s="45">
        <v>22</v>
      </c>
      <c r="BT331" s="46">
        <v>91.66666666666667</v>
      </c>
      <c r="BU331" s="45">
        <v>24</v>
      </c>
    </row>
    <row r="332" spans="1:73" ht="15">
      <c r="A332" s="61" t="s">
        <v>229</v>
      </c>
      <c r="B332" s="61" t="s">
        <v>417</v>
      </c>
      <c r="C332" s="62" t="s">
        <v>11695</v>
      </c>
      <c r="D332" s="63">
        <v>7.2</v>
      </c>
      <c r="E332" s="64" t="s">
        <v>132</v>
      </c>
      <c r="F332" s="65">
        <v>18.8</v>
      </c>
      <c r="G332" s="62"/>
      <c r="H332" s="66"/>
      <c r="I332" s="67"/>
      <c r="J332" s="67"/>
      <c r="K332" s="31" t="s">
        <v>65</v>
      </c>
      <c r="L332" s="75">
        <v>332</v>
      </c>
      <c r="M332" s="75"/>
      <c r="N332" s="69"/>
      <c r="O332" s="77" t="s">
        <v>539</v>
      </c>
      <c r="P332" s="79">
        <v>45162.27140046296</v>
      </c>
      <c r="Q332" s="77" t="s">
        <v>574</v>
      </c>
      <c r="R332" s="77">
        <v>0</v>
      </c>
      <c r="S332" s="77">
        <v>5</v>
      </c>
      <c r="T332" s="77">
        <v>0</v>
      </c>
      <c r="U332" s="77">
        <v>0</v>
      </c>
      <c r="V332" s="77">
        <v>74</v>
      </c>
      <c r="W332" s="81" t="s">
        <v>684</v>
      </c>
      <c r="X332" s="83" t="str">
        <f>HYPERLINK("https://bit.ly/3QQBRgg")</f>
        <v>https://bit.ly/3QQBRgg</v>
      </c>
      <c r="Y332" s="77" t="s">
        <v>740</v>
      </c>
      <c r="Z332" s="77" t="s">
        <v>772</v>
      </c>
      <c r="AA332" s="77"/>
      <c r="AB332" s="77"/>
      <c r="AC332" s="81" t="s">
        <v>853</v>
      </c>
      <c r="AD332" s="77" t="s">
        <v>866</v>
      </c>
      <c r="AE332" s="83" t="str">
        <f>HYPERLINK("https://twitter.com/mihkal/status/1694598113590161716")</f>
        <v>https://twitter.com/mihkal/status/1694598113590161716</v>
      </c>
      <c r="AF332" s="79">
        <v>45162.27140046296</v>
      </c>
      <c r="AG332" s="85">
        <v>45162</v>
      </c>
      <c r="AH332" s="81" t="s">
        <v>901</v>
      </c>
      <c r="AI332" s="77" t="b">
        <v>0</v>
      </c>
      <c r="AJ332" s="77"/>
      <c r="AK332" s="77"/>
      <c r="AL332" s="77"/>
      <c r="AM332" s="77"/>
      <c r="AN332" s="77"/>
      <c r="AO332" s="77"/>
      <c r="AP332" s="77"/>
      <c r="AQ332" s="77"/>
      <c r="AR332" s="77"/>
      <c r="AS332" s="77"/>
      <c r="AT332" s="77"/>
      <c r="AU332" s="77"/>
      <c r="AV332" s="83" t="str">
        <f>HYPERLINK("https://pbs.twimg.com/profile_images/1663227887837757440/XOjtFF4W_normal.jpg")</f>
        <v>https://pbs.twimg.com/profile_images/1663227887837757440/XOjtFF4W_normal.jpg</v>
      </c>
      <c r="AW332" s="81" t="s">
        <v>1056</v>
      </c>
      <c r="AX332" s="81" t="s">
        <v>1056</v>
      </c>
      <c r="AY332" s="77"/>
      <c r="AZ332" s="81" t="s">
        <v>1190</v>
      </c>
      <c r="BA332" s="81" t="s">
        <v>1190</v>
      </c>
      <c r="BB332" s="81" t="s">
        <v>1190</v>
      </c>
      <c r="BC332" s="81" t="s">
        <v>1056</v>
      </c>
      <c r="BD332" s="77">
        <v>24256031</v>
      </c>
      <c r="BE332" s="77"/>
      <c r="BF332" s="77"/>
      <c r="BG332" s="77"/>
      <c r="BH332" s="77"/>
      <c r="BI332" s="77"/>
      <c r="BJ332">
        <v>4</v>
      </c>
      <c r="BK332" s="76" t="str">
        <f>REPLACE(INDEX(GroupVertices[Group],MATCH(Edges[[#This Row],[Vertex 1]],GroupVertices[Vertex],0)),1,1,"")</f>
        <v>1</v>
      </c>
      <c r="BL332" s="76" t="str">
        <f>REPLACE(INDEX(GroupVertices[Group],MATCH(Edges[[#This Row],[Vertex 2]],GroupVertices[Vertex],0)),1,1,"")</f>
        <v>1</v>
      </c>
      <c r="BM332" s="45">
        <v>1</v>
      </c>
      <c r="BN332" s="46">
        <v>4.3478260869565215</v>
      </c>
      <c r="BO332" s="45">
        <v>0</v>
      </c>
      <c r="BP332" s="46">
        <v>0</v>
      </c>
      <c r="BQ332" s="45">
        <v>0</v>
      </c>
      <c r="BR332" s="46">
        <v>0</v>
      </c>
      <c r="BS332" s="45">
        <v>21</v>
      </c>
      <c r="BT332" s="46">
        <v>91.30434782608695</v>
      </c>
      <c r="BU332" s="45">
        <v>23</v>
      </c>
    </row>
    <row r="333" spans="1:73" ht="15">
      <c r="A333" s="61" t="s">
        <v>229</v>
      </c>
      <c r="B333" s="61" t="s">
        <v>417</v>
      </c>
      <c r="C333" s="62" t="s">
        <v>11695</v>
      </c>
      <c r="D333" s="63">
        <v>7.2</v>
      </c>
      <c r="E333" s="64" t="s">
        <v>132</v>
      </c>
      <c r="F333" s="65">
        <v>18.8</v>
      </c>
      <c r="G333" s="62"/>
      <c r="H333" s="66"/>
      <c r="I333" s="67"/>
      <c r="J333" s="67"/>
      <c r="K333" s="31" t="s">
        <v>65</v>
      </c>
      <c r="L333" s="75">
        <v>333</v>
      </c>
      <c r="M333" s="75"/>
      <c r="N333" s="69"/>
      <c r="O333" s="77" t="s">
        <v>539</v>
      </c>
      <c r="P333" s="79">
        <v>45165.73452546296</v>
      </c>
      <c r="Q333" s="77" t="s">
        <v>576</v>
      </c>
      <c r="R333" s="77">
        <v>0</v>
      </c>
      <c r="S333" s="77">
        <v>5</v>
      </c>
      <c r="T333" s="77">
        <v>0</v>
      </c>
      <c r="U333" s="77">
        <v>0</v>
      </c>
      <c r="V333" s="77">
        <v>80</v>
      </c>
      <c r="W333" s="81" t="s">
        <v>686</v>
      </c>
      <c r="X333" s="83" t="str">
        <f>HYPERLINK("https://bit.ly/47SnwWM")</f>
        <v>https://bit.ly/47SnwWM</v>
      </c>
      <c r="Y333" s="77" t="s">
        <v>740</v>
      </c>
      <c r="Z333" s="77" t="s">
        <v>774</v>
      </c>
      <c r="AA333" s="77"/>
      <c r="AB333" s="77"/>
      <c r="AC333" s="81" t="s">
        <v>853</v>
      </c>
      <c r="AD333" s="77" t="s">
        <v>859</v>
      </c>
      <c r="AE333" s="83" t="str">
        <f>HYPERLINK("https://twitter.com/mihkal/status/1695853109212282929")</f>
        <v>https://twitter.com/mihkal/status/1695853109212282929</v>
      </c>
      <c r="AF333" s="79">
        <v>45165.73452546296</v>
      </c>
      <c r="AG333" s="85">
        <v>45165</v>
      </c>
      <c r="AH333" s="81" t="s">
        <v>903</v>
      </c>
      <c r="AI333" s="77" t="b">
        <v>0</v>
      </c>
      <c r="AJ333" s="77"/>
      <c r="AK333" s="77"/>
      <c r="AL333" s="77"/>
      <c r="AM333" s="77"/>
      <c r="AN333" s="77"/>
      <c r="AO333" s="77"/>
      <c r="AP333" s="77"/>
      <c r="AQ333" s="77"/>
      <c r="AR333" s="77"/>
      <c r="AS333" s="77"/>
      <c r="AT333" s="77"/>
      <c r="AU333" s="77"/>
      <c r="AV333" s="83" t="str">
        <f>HYPERLINK("https://pbs.twimg.com/profile_images/1663227887837757440/XOjtFF4W_normal.jpg")</f>
        <v>https://pbs.twimg.com/profile_images/1663227887837757440/XOjtFF4W_normal.jpg</v>
      </c>
      <c r="AW333" s="81" t="s">
        <v>1058</v>
      </c>
      <c r="AX333" s="81" t="s">
        <v>1058</v>
      </c>
      <c r="AY333" s="77"/>
      <c r="AZ333" s="81" t="s">
        <v>1190</v>
      </c>
      <c r="BA333" s="81" t="s">
        <v>1190</v>
      </c>
      <c r="BB333" s="81" t="s">
        <v>1190</v>
      </c>
      <c r="BC333" s="81" t="s">
        <v>1058</v>
      </c>
      <c r="BD333" s="77">
        <v>24256031</v>
      </c>
      <c r="BE333" s="77"/>
      <c r="BF333" s="77"/>
      <c r="BG333" s="77"/>
      <c r="BH333" s="77"/>
      <c r="BI333" s="77"/>
      <c r="BJ333">
        <v>4</v>
      </c>
      <c r="BK333" s="76" t="str">
        <f>REPLACE(INDEX(GroupVertices[Group],MATCH(Edges[[#This Row],[Vertex 1]],GroupVertices[Vertex],0)),1,1,"")</f>
        <v>1</v>
      </c>
      <c r="BL333" s="76" t="str">
        <f>REPLACE(INDEX(GroupVertices[Group],MATCH(Edges[[#This Row],[Vertex 2]],GroupVertices[Vertex],0)),1,1,"")</f>
        <v>1</v>
      </c>
      <c r="BM333" s="45">
        <v>1</v>
      </c>
      <c r="BN333" s="46">
        <v>4.3478260869565215</v>
      </c>
      <c r="BO333" s="45">
        <v>0</v>
      </c>
      <c r="BP333" s="46">
        <v>0</v>
      </c>
      <c r="BQ333" s="45">
        <v>0</v>
      </c>
      <c r="BR333" s="46">
        <v>0</v>
      </c>
      <c r="BS333" s="45">
        <v>21</v>
      </c>
      <c r="BT333" s="46">
        <v>91.30434782608695</v>
      </c>
      <c r="BU333" s="45">
        <v>23</v>
      </c>
    </row>
    <row r="334" spans="1:73" ht="15">
      <c r="A334" s="61" t="s">
        <v>229</v>
      </c>
      <c r="B334" s="61" t="s">
        <v>417</v>
      </c>
      <c r="C334" s="62" t="s">
        <v>11695</v>
      </c>
      <c r="D334" s="63">
        <v>7.2</v>
      </c>
      <c r="E334" s="64" t="s">
        <v>132</v>
      </c>
      <c r="F334" s="65">
        <v>18.8</v>
      </c>
      <c r="G334" s="62"/>
      <c r="H334" s="66"/>
      <c r="I334" s="67"/>
      <c r="J334" s="67"/>
      <c r="K334" s="31" t="s">
        <v>65</v>
      </c>
      <c r="L334" s="75">
        <v>334</v>
      </c>
      <c r="M334" s="75"/>
      <c r="N334" s="69"/>
      <c r="O334" s="77" t="s">
        <v>539</v>
      </c>
      <c r="P334" s="79">
        <v>45169.19766203704</v>
      </c>
      <c r="Q334" s="77" t="s">
        <v>578</v>
      </c>
      <c r="R334" s="77">
        <v>0</v>
      </c>
      <c r="S334" s="77">
        <v>6</v>
      </c>
      <c r="T334" s="77">
        <v>0</v>
      </c>
      <c r="U334" s="77">
        <v>1</v>
      </c>
      <c r="V334" s="77">
        <v>253</v>
      </c>
      <c r="W334" s="81" t="s">
        <v>688</v>
      </c>
      <c r="X334" s="83" t="str">
        <f>HYPERLINK("https://bit.ly/3KYA05C")</f>
        <v>https://bit.ly/3KYA05C</v>
      </c>
      <c r="Y334" s="77" t="s">
        <v>740</v>
      </c>
      <c r="Z334" s="77" t="s">
        <v>776</v>
      </c>
      <c r="AA334" s="77"/>
      <c r="AB334" s="77"/>
      <c r="AC334" s="81" t="s">
        <v>853</v>
      </c>
      <c r="AD334" s="77" t="s">
        <v>867</v>
      </c>
      <c r="AE334" s="83" t="str">
        <f>HYPERLINK("https://twitter.com/mihkal/status/1697108109326524807")</f>
        <v>https://twitter.com/mihkal/status/1697108109326524807</v>
      </c>
      <c r="AF334" s="79">
        <v>45169.19766203704</v>
      </c>
      <c r="AG334" s="85">
        <v>45169</v>
      </c>
      <c r="AH334" s="81" t="s">
        <v>905</v>
      </c>
      <c r="AI334" s="77" t="b">
        <v>0</v>
      </c>
      <c r="AJ334" s="77"/>
      <c r="AK334" s="77"/>
      <c r="AL334" s="77"/>
      <c r="AM334" s="77"/>
      <c r="AN334" s="77"/>
      <c r="AO334" s="77"/>
      <c r="AP334" s="77"/>
      <c r="AQ334" s="77"/>
      <c r="AR334" s="77"/>
      <c r="AS334" s="77"/>
      <c r="AT334" s="77"/>
      <c r="AU334" s="77"/>
      <c r="AV334" s="83" t="str">
        <f>HYPERLINK("https://pbs.twimg.com/profile_images/1663227887837757440/XOjtFF4W_normal.jpg")</f>
        <v>https://pbs.twimg.com/profile_images/1663227887837757440/XOjtFF4W_normal.jpg</v>
      </c>
      <c r="AW334" s="81" t="s">
        <v>1060</v>
      </c>
      <c r="AX334" s="81" t="s">
        <v>1060</v>
      </c>
      <c r="AY334" s="77"/>
      <c r="AZ334" s="81" t="s">
        <v>1190</v>
      </c>
      <c r="BA334" s="81" t="s">
        <v>1190</v>
      </c>
      <c r="BB334" s="81" t="s">
        <v>1190</v>
      </c>
      <c r="BC334" s="81" t="s">
        <v>1060</v>
      </c>
      <c r="BD334" s="77">
        <v>24256031</v>
      </c>
      <c r="BE334" s="77"/>
      <c r="BF334" s="77"/>
      <c r="BG334" s="77"/>
      <c r="BH334" s="77"/>
      <c r="BI334" s="77"/>
      <c r="BJ334">
        <v>4</v>
      </c>
      <c r="BK334" s="76" t="str">
        <f>REPLACE(INDEX(GroupVertices[Group],MATCH(Edges[[#This Row],[Vertex 1]],GroupVertices[Vertex],0)),1,1,"")</f>
        <v>1</v>
      </c>
      <c r="BL334" s="76" t="str">
        <f>REPLACE(INDEX(GroupVertices[Group],MATCH(Edges[[#This Row],[Vertex 2]],GroupVertices[Vertex],0)),1,1,"")</f>
        <v>1</v>
      </c>
      <c r="BM334" s="45"/>
      <c r="BN334" s="46"/>
      <c r="BO334" s="45"/>
      <c r="BP334" s="46"/>
      <c r="BQ334" s="45"/>
      <c r="BR334" s="46"/>
      <c r="BS334" s="45"/>
      <c r="BT334" s="46"/>
      <c r="BU334" s="45"/>
    </row>
    <row r="335" spans="1:73" ht="15">
      <c r="A335" s="61" t="s">
        <v>229</v>
      </c>
      <c r="B335" s="61" t="s">
        <v>418</v>
      </c>
      <c r="C335" s="62" t="s">
        <v>11692</v>
      </c>
      <c r="D335" s="63">
        <v>3</v>
      </c>
      <c r="E335" s="64" t="s">
        <v>132</v>
      </c>
      <c r="F335" s="65">
        <v>32</v>
      </c>
      <c r="G335" s="62"/>
      <c r="H335" s="66"/>
      <c r="I335" s="67"/>
      <c r="J335" s="67"/>
      <c r="K335" s="31" t="s">
        <v>65</v>
      </c>
      <c r="L335" s="75">
        <v>335</v>
      </c>
      <c r="M335" s="75"/>
      <c r="N335" s="69"/>
      <c r="O335" s="77" t="s">
        <v>539</v>
      </c>
      <c r="P335" s="79">
        <v>45169.19766203704</v>
      </c>
      <c r="Q335" s="77" t="s">
        <v>578</v>
      </c>
      <c r="R335" s="77">
        <v>0</v>
      </c>
      <c r="S335" s="77">
        <v>6</v>
      </c>
      <c r="T335" s="77">
        <v>0</v>
      </c>
      <c r="U335" s="77">
        <v>1</v>
      </c>
      <c r="V335" s="77">
        <v>253</v>
      </c>
      <c r="W335" s="81" t="s">
        <v>688</v>
      </c>
      <c r="X335" s="83" t="str">
        <f>HYPERLINK("https://bit.ly/3KYA05C")</f>
        <v>https://bit.ly/3KYA05C</v>
      </c>
      <c r="Y335" s="77" t="s">
        <v>740</v>
      </c>
      <c r="Z335" s="77" t="s">
        <v>776</v>
      </c>
      <c r="AA335" s="77"/>
      <c r="AB335" s="77"/>
      <c r="AC335" s="81" t="s">
        <v>853</v>
      </c>
      <c r="AD335" s="77" t="s">
        <v>867</v>
      </c>
      <c r="AE335" s="83" t="str">
        <f>HYPERLINK("https://twitter.com/mihkal/status/1697108109326524807")</f>
        <v>https://twitter.com/mihkal/status/1697108109326524807</v>
      </c>
      <c r="AF335" s="79">
        <v>45169.19766203704</v>
      </c>
      <c r="AG335" s="85">
        <v>45169</v>
      </c>
      <c r="AH335" s="81" t="s">
        <v>905</v>
      </c>
      <c r="AI335" s="77" t="b">
        <v>0</v>
      </c>
      <c r="AJ335" s="77"/>
      <c r="AK335" s="77"/>
      <c r="AL335" s="77"/>
      <c r="AM335" s="77"/>
      <c r="AN335" s="77"/>
      <c r="AO335" s="77"/>
      <c r="AP335" s="77"/>
      <c r="AQ335" s="77"/>
      <c r="AR335" s="77"/>
      <c r="AS335" s="77"/>
      <c r="AT335" s="77"/>
      <c r="AU335" s="77"/>
      <c r="AV335" s="83" t="str">
        <f>HYPERLINK("https://pbs.twimg.com/profile_images/1663227887837757440/XOjtFF4W_normal.jpg")</f>
        <v>https://pbs.twimg.com/profile_images/1663227887837757440/XOjtFF4W_normal.jpg</v>
      </c>
      <c r="AW335" s="81" t="s">
        <v>1060</v>
      </c>
      <c r="AX335" s="81" t="s">
        <v>1060</v>
      </c>
      <c r="AY335" s="77"/>
      <c r="AZ335" s="81" t="s">
        <v>1190</v>
      </c>
      <c r="BA335" s="81" t="s">
        <v>1190</v>
      </c>
      <c r="BB335" s="81" t="s">
        <v>1190</v>
      </c>
      <c r="BC335" s="81" t="s">
        <v>1060</v>
      </c>
      <c r="BD335" s="77">
        <v>24256031</v>
      </c>
      <c r="BE335" s="77"/>
      <c r="BF335" s="77"/>
      <c r="BG335" s="77"/>
      <c r="BH335" s="77"/>
      <c r="BI335" s="77"/>
      <c r="BJ335">
        <v>1</v>
      </c>
      <c r="BK335" s="76" t="str">
        <f>REPLACE(INDEX(GroupVertices[Group],MATCH(Edges[[#This Row],[Vertex 1]],GroupVertices[Vertex],0)),1,1,"")</f>
        <v>1</v>
      </c>
      <c r="BL335" s="76" t="str">
        <f>REPLACE(INDEX(GroupVertices[Group],MATCH(Edges[[#This Row],[Vertex 2]],GroupVertices[Vertex],0)),1,1,"")</f>
        <v>1</v>
      </c>
      <c r="BM335" s="45"/>
      <c r="BN335" s="46"/>
      <c r="BO335" s="45"/>
      <c r="BP335" s="46"/>
      <c r="BQ335" s="45"/>
      <c r="BR335" s="46"/>
      <c r="BS335" s="45"/>
      <c r="BT335" s="46"/>
      <c r="BU335" s="45"/>
    </row>
    <row r="336" spans="1:73" ht="15">
      <c r="A336" s="61" t="s">
        <v>229</v>
      </c>
      <c r="B336" s="61" t="s">
        <v>419</v>
      </c>
      <c r="C336" s="62" t="s">
        <v>11692</v>
      </c>
      <c r="D336" s="63">
        <v>3</v>
      </c>
      <c r="E336" s="64" t="s">
        <v>132</v>
      </c>
      <c r="F336" s="65">
        <v>32</v>
      </c>
      <c r="G336" s="62"/>
      <c r="H336" s="66"/>
      <c r="I336" s="67"/>
      <c r="J336" s="67"/>
      <c r="K336" s="31" t="s">
        <v>65</v>
      </c>
      <c r="L336" s="75">
        <v>336</v>
      </c>
      <c r="M336" s="75"/>
      <c r="N336" s="69"/>
      <c r="O336" s="77" t="s">
        <v>539</v>
      </c>
      <c r="P336" s="79">
        <v>45169.19766203704</v>
      </c>
      <c r="Q336" s="77" t="s">
        <v>578</v>
      </c>
      <c r="R336" s="77">
        <v>0</v>
      </c>
      <c r="S336" s="77">
        <v>6</v>
      </c>
      <c r="T336" s="77">
        <v>0</v>
      </c>
      <c r="U336" s="77">
        <v>1</v>
      </c>
      <c r="V336" s="77">
        <v>253</v>
      </c>
      <c r="W336" s="81" t="s">
        <v>688</v>
      </c>
      <c r="X336" s="83" t="str">
        <f>HYPERLINK("https://bit.ly/3KYA05C")</f>
        <v>https://bit.ly/3KYA05C</v>
      </c>
      <c r="Y336" s="77" t="s">
        <v>740</v>
      </c>
      <c r="Z336" s="77" t="s">
        <v>776</v>
      </c>
      <c r="AA336" s="77"/>
      <c r="AB336" s="77"/>
      <c r="AC336" s="81" t="s">
        <v>853</v>
      </c>
      <c r="AD336" s="77" t="s">
        <v>867</v>
      </c>
      <c r="AE336" s="83" t="str">
        <f>HYPERLINK("https://twitter.com/mihkal/status/1697108109326524807")</f>
        <v>https://twitter.com/mihkal/status/1697108109326524807</v>
      </c>
      <c r="AF336" s="79">
        <v>45169.19766203704</v>
      </c>
      <c r="AG336" s="85">
        <v>45169</v>
      </c>
      <c r="AH336" s="81" t="s">
        <v>905</v>
      </c>
      <c r="AI336" s="77" t="b">
        <v>0</v>
      </c>
      <c r="AJ336" s="77"/>
      <c r="AK336" s="77"/>
      <c r="AL336" s="77"/>
      <c r="AM336" s="77"/>
      <c r="AN336" s="77"/>
      <c r="AO336" s="77"/>
      <c r="AP336" s="77"/>
      <c r="AQ336" s="77"/>
      <c r="AR336" s="77"/>
      <c r="AS336" s="77"/>
      <c r="AT336" s="77"/>
      <c r="AU336" s="77"/>
      <c r="AV336" s="83" t="str">
        <f>HYPERLINK("https://pbs.twimg.com/profile_images/1663227887837757440/XOjtFF4W_normal.jpg")</f>
        <v>https://pbs.twimg.com/profile_images/1663227887837757440/XOjtFF4W_normal.jpg</v>
      </c>
      <c r="AW336" s="81" t="s">
        <v>1060</v>
      </c>
      <c r="AX336" s="81" t="s">
        <v>1060</v>
      </c>
      <c r="AY336" s="77"/>
      <c r="AZ336" s="81" t="s">
        <v>1190</v>
      </c>
      <c r="BA336" s="81" t="s">
        <v>1190</v>
      </c>
      <c r="BB336" s="81" t="s">
        <v>1190</v>
      </c>
      <c r="BC336" s="81" t="s">
        <v>1060</v>
      </c>
      <c r="BD336" s="77">
        <v>24256031</v>
      </c>
      <c r="BE336" s="77"/>
      <c r="BF336" s="77"/>
      <c r="BG336" s="77"/>
      <c r="BH336" s="77"/>
      <c r="BI336" s="77"/>
      <c r="BJ336">
        <v>1</v>
      </c>
      <c r="BK336" s="76" t="str">
        <f>REPLACE(INDEX(GroupVertices[Group],MATCH(Edges[[#This Row],[Vertex 1]],GroupVertices[Vertex],0)),1,1,"")</f>
        <v>1</v>
      </c>
      <c r="BL336" s="76" t="str">
        <f>REPLACE(INDEX(GroupVertices[Group],MATCH(Edges[[#This Row],[Vertex 2]],GroupVertices[Vertex],0)),1,1,"")</f>
        <v>1</v>
      </c>
      <c r="BM336" s="45">
        <v>1</v>
      </c>
      <c r="BN336" s="46">
        <v>4.545454545454546</v>
      </c>
      <c r="BO336" s="45">
        <v>0</v>
      </c>
      <c r="BP336" s="46">
        <v>0</v>
      </c>
      <c r="BQ336" s="45">
        <v>0</v>
      </c>
      <c r="BR336" s="46">
        <v>0</v>
      </c>
      <c r="BS336" s="45">
        <v>20</v>
      </c>
      <c r="BT336" s="46">
        <v>90.9090909090909</v>
      </c>
      <c r="BU336" s="45">
        <v>22</v>
      </c>
    </row>
    <row r="337" spans="1:73" ht="15">
      <c r="A337" s="61" t="s">
        <v>231</v>
      </c>
      <c r="B337" s="61" t="s">
        <v>231</v>
      </c>
      <c r="C337" s="62" t="s">
        <v>11692</v>
      </c>
      <c r="D337" s="63">
        <v>3</v>
      </c>
      <c r="E337" s="64" t="s">
        <v>132</v>
      </c>
      <c r="F337" s="65">
        <v>32</v>
      </c>
      <c r="G337" s="62"/>
      <c r="H337" s="66"/>
      <c r="I337" s="67"/>
      <c r="J337" s="67"/>
      <c r="K337" s="31" t="s">
        <v>65</v>
      </c>
      <c r="L337" s="75">
        <v>337</v>
      </c>
      <c r="M337" s="75"/>
      <c r="N337" s="69"/>
      <c r="O337" s="77" t="s">
        <v>178</v>
      </c>
      <c r="P337" s="79">
        <v>45163.5815625</v>
      </c>
      <c r="Q337" s="77" t="s">
        <v>579</v>
      </c>
      <c r="R337" s="77">
        <v>4</v>
      </c>
      <c r="S337" s="77">
        <v>7</v>
      </c>
      <c r="T337" s="77">
        <v>0</v>
      </c>
      <c r="U337" s="77">
        <v>0</v>
      </c>
      <c r="V337" s="77">
        <v>478</v>
      </c>
      <c r="W337" s="81" t="s">
        <v>689</v>
      </c>
      <c r="X337" s="77"/>
      <c r="Y337" s="77"/>
      <c r="Z337" s="77"/>
      <c r="AA337" s="77" t="s">
        <v>827</v>
      </c>
      <c r="AB337" s="77" t="s">
        <v>848</v>
      </c>
      <c r="AC337" s="81" t="s">
        <v>857</v>
      </c>
      <c r="AD337" s="77" t="s">
        <v>859</v>
      </c>
      <c r="AE337" s="83" t="str">
        <f>HYPERLINK("https://twitter.com/smart_lab_ru/status/1695072900808614369")</f>
        <v>https://twitter.com/smart_lab_ru/status/1695072900808614369</v>
      </c>
      <c r="AF337" s="79">
        <v>45163.5815625</v>
      </c>
      <c r="AG337" s="85">
        <v>45163</v>
      </c>
      <c r="AH337" s="81" t="s">
        <v>906</v>
      </c>
      <c r="AI337" s="77" t="b">
        <v>0</v>
      </c>
      <c r="AJ337" s="77"/>
      <c r="AK337" s="77"/>
      <c r="AL337" s="77"/>
      <c r="AM337" s="77"/>
      <c r="AN337" s="77"/>
      <c r="AO337" s="77"/>
      <c r="AP337" s="77"/>
      <c r="AQ337" s="77" t="s">
        <v>1006</v>
      </c>
      <c r="AR337" s="77"/>
      <c r="AS337" s="77"/>
      <c r="AT337" s="77"/>
      <c r="AU337" s="77"/>
      <c r="AV337" s="83" t="str">
        <f>HYPERLINK("https://pbs.twimg.com/media/F4Yb0TZWMAEjyhV.jpg")</f>
        <v>https://pbs.twimg.com/media/F4Yb0TZWMAEjyhV.jpg</v>
      </c>
      <c r="AW337" s="81" t="s">
        <v>1061</v>
      </c>
      <c r="AX337" s="81" t="s">
        <v>1061</v>
      </c>
      <c r="AY337" s="77"/>
      <c r="AZ337" s="81" t="s">
        <v>1190</v>
      </c>
      <c r="BA337" s="81" t="s">
        <v>1190</v>
      </c>
      <c r="BB337" s="81" t="s">
        <v>1190</v>
      </c>
      <c r="BC337" s="81" t="s">
        <v>1061</v>
      </c>
      <c r="BD337" s="81" t="s">
        <v>1202</v>
      </c>
      <c r="BE337" s="77"/>
      <c r="BF337" s="77"/>
      <c r="BG337" s="77"/>
      <c r="BH337" s="77"/>
      <c r="BI337" s="77"/>
      <c r="BJ337">
        <v>1</v>
      </c>
      <c r="BK337" s="76" t="str">
        <f>REPLACE(INDEX(GroupVertices[Group],MATCH(Edges[[#This Row],[Vertex 1]],GroupVertices[Vertex],0)),1,1,"")</f>
        <v>11</v>
      </c>
      <c r="BL337" s="76" t="str">
        <f>REPLACE(INDEX(GroupVertices[Group],MATCH(Edges[[#This Row],[Vertex 2]],GroupVertices[Vertex],0)),1,1,"")</f>
        <v>11</v>
      </c>
      <c r="BM337" s="45">
        <v>5</v>
      </c>
      <c r="BN337" s="46">
        <v>14.285714285714286</v>
      </c>
      <c r="BO337" s="45">
        <v>0</v>
      </c>
      <c r="BP337" s="46">
        <v>0</v>
      </c>
      <c r="BQ337" s="45">
        <v>0</v>
      </c>
      <c r="BR337" s="46">
        <v>0</v>
      </c>
      <c r="BS337" s="45">
        <v>18</v>
      </c>
      <c r="BT337" s="46">
        <v>51.42857142857143</v>
      </c>
      <c r="BU337" s="45">
        <v>35</v>
      </c>
    </row>
    <row r="338" spans="1:73" ht="15">
      <c r="A338" s="61" t="s">
        <v>232</v>
      </c>
      <c r="B338" s="61" t="s">
        <v>232</v>
      </c>
      <c r="C338" s="62" t="s">
        <v>11693</v>
      </c>
      <c r="D338" s="63">
        <v>4.4</v>
      </c>
      <c r="E338" s="64" t="s">
        <v>132</v>
      </c>
      <c r="F338" s="65">
        <v>27.6</v>
      </c>
      <c r="G338" s="62"/>
      <c r="H338" s="66"/>
      <c r="I338" s="67"/>
      <c r="J338" s="67"/>
      <c r="K338" s="31" t="s">
        <v>65</v>
      </c>
      <c r="L338" s="75">
        <v>338</v>
      </c>
      <c r="M338" s="75"/>
      <c r="N338" s="69"/>
      <c r="O338" s="77" t="s">
        <v>178</v>
      </c>
      <c r="P338" s="79">
        <v>45154.40883101852</v>
      </c>
      <c r="Q338" s="77" t="s">
        <v>580</v>
      </c>
      <c r="R338" s="77">
        <v>0</v>
      </c>
      <c r="S338" s="77">
        <v>5</v>
      </c>
      <c r="T338" s="77">
        <v>0</v>
      </c>
      <c r="U338" s="77">
        <v>0</v>
      </c>
      <c r="V338" s="77">
        <v>38</v>
      </c>
      <c r="W338" s="77"/>
      <c r="X338" s="83" t="str">
        <f>HYPERLINK("http://bit.ly/GetNodeXL")</f>
        <v>http://bit.ly/GetNodeXL</v>
      </c>
      <c r="Y338" s="77" t="s">
        <v>740</v>
      </c>
      <c r="Z338" s="77"/>
      <c r="AA338" s="77"/>
      <c r="AB338" s="77"/>
      <c r="AC338" s="81" t="s">
        <v>853</v>
      </c>
      <c r="AD338" s="77" t="s">
        <v>859</v>
      </c>
      <c r="AE338" s="83" t="str">
        <f>HYPERLINK("https://twitter.com/diiityaardhi/status/1691748817165791735")</f>
        <v>https://twitter.com/diiityaardhi/status/1691748817165791735</v>
      </c>
      <c r="AF338" s="79">
        <v>45154.40883101852</v>
      </c>
      <c r="AG338" s="85">
        <v>45154</v>
      </c>
      <c r="AH338" s="81" t="s">
        <v>907</v>
      </c>
      <c r="AI338" s="77" t="b">
        <v>0</v>
      </c>
      <c r="AJ338" s="77"/>
      <c r="AK338" s="77"/>
      <c r="AL338" s="77"/>
      <c r="AM338" s="77"/>
      <c r="AN338" s="77"/>
      <c r="AO338" s="77"/>
      <c r="AP338" s="77"/>
      <c r="AQ338" s="77"/>
      <c r="AR338" s="77"/>
      <c r="AS338" s="77"/>
      <c r="AT338" s="77"/>
      <c r="AU338" s="77"/>
      <c r="AV338" s="83" t="str">
        <f>HYPERLINK("https://pbs.twimg.com/profile_images/1301942070395822081/QKDCqbif_normal.jpg")</f>
        <v>https://pbs.twimg.com/profile_images/1301942070395822081/QKDCqbif_normal.jpg</v>
      </c>
      <c r="AW338" s="81" t="s">
        <v>1062</v>
      </c>
      <c r="AX338" s="81" t="s">
        <v>1062</v>
      </c>
      <c r="AY338" s="77"/>
      <c r="AZ338" s="81" t="s">
        <v>1190</v>
      </c>
      <c r="BA338" s="81" t="s">
        <v>1190</v>
      </c>
      <c r="BB338" s="81" t="s">
        <v>1190</v>
      </c>
      <c r="BC338" s="81" t="s">
        <v>1062</v>
      </c>
      <c r="BD338" s="77">
        <v>390149103</v>
      </c>
      <c r="BE338" s="77"/>
      <c r="BF338" s="77"/>
      <c r="BG338" s="77"/>
      <c r="BH338" s="77"/>
      <c r="BI338" s="77"/>
      <c r="BJ338">
        <v>2</v>
      </c>
      <c r="BK338" s="76" t="str">
        <f>REPLACE(INDEX(GroupVertices[Group],MATCH(Edges[[#This Row],[Vertex 1]],GroupVertices[Vertex],0)),1,1,"")</f>
        <v>11</v>
      </c>
      <c r="BL338" s="76" t="str">
        <f>REPLACE(INDEX(GroupVertices[Group],MATCH(Edges[[#This Row],[Vertex 2]],GroupVertices[Vertex],0)),1,1,"")</f>
        <v>11</v>
      </c>
      <c r="BM338" s="45">
        <v>0</v>
      </c>
      <c r="BN338" s="46">
        <v>0</v>
      </c>
      <c r="BO338" s="45">
        <v>0</v>
      </c>
      <c r="BP338" s="46">
        <v>0</v>
      </c>
      <c r="BQ338" s="45">
        <v>0</v>
      </c>
      <c r="BR338" s="46">
        <v>0</v>
      </c>
      <c r="BS338" s="45">
        <v>4</v>
      </c>
      <c r="BT338" s="46">
        <v>33.333333333333336</v>
      </c>
      <c r="BU338" s="45">
        <v>12</v>
      </c>
    </row>
    <row r="339" spans="1:73" ht="15">
      <c r="A339" s="61" t="s">
        <v>232</v>
      </c>
      <c r="B339" s="61" t="s">
        <v>232</v>
      </c>
      <c r="C339" s="62" t="s">
        <v>11693</v>
      </c>
      <c r="D339" s="63">
        <v>4.4</v>
      </c>
      <c r="E339" s="64" t="s">
        <v>132</v>
      </c>
      <c r="F339" s="65">
        <v>27.6</v>
      </c>
      <c r="G339" s="62"/>
      <c r="H339" s="66"/>
      <c r="I339" s="67"/>
      <c r="J339" s="67"/>
      <c r="K339" s="31" t="s">
        <v>65</v>
      </c>
      <c r="L339" s="75">
        <v>339</v>
      </c>
      <c r="M339" s="75"/>
      <c r="N339" s="69"/>
      <c r="O339" s="77" t="s">
        <v>178</v>
      </c>
      <c r="P339" s="79">
        <v>45168.182662037034</v>
      </c>
      <c r="Q339" s="77" t="s">
        <v>580</v>
      </c>
      <c r="R339" s="77">
        <v>0</v>
      </c>
      <c r="S339" s="77">
        <v>5</v>
      </c>
      <c r="T339" s="77">
        <v>0</v>
      </c>
      <c r="U339" s="77">
        <v>0</v>
      </c>
      <c r="V339" s="77">
        <v>21</v>
      </c>
      <c r="W339" s="77"/>
      <c r="X339" s="83" t="str">
        <f>HYPERLINK("http://bit.ly/GetNodeXL")</f>
        <v>http://bit.ly/GetNodeXL</v>
      </c>
      <c r="Y339" s="77" t="s">
        <v>740</v>
      </c>
      <c r="Z339" s="77"/>
      <c r="AA339" s="77"/>
      <c r="AB339" s="77"/>
      <c r="AC339" s="81" t="s">
        <v>853</v>
      </c>
      <c r="AD339" s="77" t="s">
        <v>859</v>
      </c>
      <c r="AE339" s="83" t="str">
        <f>HYPERLINK("https://twitter.com/diiityaardhi/status/1696740283348828427")</f>
        <v>https://twitter.com/diiityaardhi/status/1696740283348828427</v>
      </c>
      <c r="AF339" s="79">
        <v>45168.182662037034</v>
      </c>
      <c r="AG339" s="85">
        <v>45168</v>
      </c>
      <c r="AH339" s="81" t="s">
        <v>908</v>
      </c>
      <c r="AI339" s="77" t="b">
        <v>0</v>
      </c>
      <c r="AJ339" s="77"/>
      <c r="AK339" s="77"/>
      <c r="AL339" s="77"/>
      <c r="AM339" s="77"/>
      <c r="AN339" s="77"/>
      <c r="AO339" s="77"/>
      <c r="AP339" s="77"/>
      <c r="AQ339" s="77"/>
      <c r="AR339" s="77"/>
      <c r="AS339" s="77"/>
      <c r="AT339" s="77"/>
      <c r="AU339" s="77"/>
      <c r="AV339" s="83" t="str">
        <f>HYPERLINK("https://pbs.twimg.com/profile_images/1301942070395822081/QKDCqbif_normal.jpg")</f>
        <v>https://pbs.twimg.com/profile_images/1301942070395822081/QKDCqbif_normal.jpg</v>
      </c>
      <c r="AW339" s="81" t="s">
        <v>1063</v>
      </c>
      <c r="AX339" s="81" t="s">
        <v>1063</v>
      </c>
      <c r="AY339" s="77"/>
      <c r="AZ339" s="81" t="s">
        <v>1190</v>
      </c>
      <c r="BA339" s="81" t="s">
        <v>1190</v>
      </c>
      <c r="BB339" s="81" t="s">
        <v>1190</v>
      </c>
      <c r="BC339" s="81" t="s">
        <v>1063</v>
      </c>
      <c r="BD339" s="77">
        <v>390149103</v>
      </c>
      <c r="BE339" s="77"/>
      <c r="BF339" s="77"/>
      <c r="BG339" s="77"/>
      <c r="BH339" s="77"/>
      <c r="BI339" s="77"/>
      <c r="BJ339">
        <v>2</v>
      </c>
      <c r="BK339" s="76" t="str">
        <f>REPLACE(INDEX(GroupVertices[Group],MATCH(Edges[[#This Row],[Vertex 1]],GroupVertices[Vertex],0)),1,1,"")</f>
        <v>11</v>
      </c>
      <c r="BL339" s="76" t="str">
        <f>REPLACE(INDEX(GroupVertices[Group],MATCH(Edges[[#This Row],[Vertex 2]],GroupVertices[Vertex],0)),1,1,"")</f>
        <v>11</v>
      </c>
      <c r="BM339" s="45">
        <v>0</v>
      </c>
      <c r="BN339" s="46">
        <v>0</v>
      </c>
      <c r="BO339" s="45">
        <v>0</v>
      </c>
      <c r="BP339" s="46">
        <v>0</v>
      </c>
      <c r="BQ339" s="45">
        <v>0</v>
      </c>
      <c r="BR339" s="46">
        <v>0</v>
      </c>
      <c r="BS339" s="45">
        <v>4</v>
      </c>
      <c r="BT339" s="46">
        <v>33.333333333333336</v>
      </c>
      <c r="BU339" s="45">
        <v>12</v>
      </c>
    </row>
    <row r="340" spans="1:73" ht="15">
      <c r="A340" s="61" t="s">
        <v>233</v>
      </c>
      <c r="B340" s="61" t="s">
        <v>233</v>
      </c>
      <c r="C340" s="62" t="s">
        <v>11693</v>
      </c>
      <c r="D340" s="63">
        <v>4.4</v>
      </c>
      <c r="E340" s="64" t="s">
        <v>132</v>
      </c>
      <c r="F340" s="65">
        <v>27.6</v>
      </c>
      <c r="G340" s="62"/>
      <c r="H340" s="66"/>
      <c r="I340" s="67"/>
      <c r="J340" s="67"/>
      <c r="K340" s="31" t="s">
        <v>65</v>
      </c>
      <c r="L340" s="75">
        <v>340</v>
      </c>
      <c r="M340" s="75"/>
      <c r="N340" s="69"/>
      <c r="O340" s="77" t="s">
        <v>178</v>
      </c>
      <c r="P340" s="79">
        <v>45160.2478125</v>
      </c>
      <c r="Q340" s="77" t="s">
        <v>581</v>
      </c>
      <c r="R340" s="77">
        <v>0</v>
      </c>
      <c r="S340" s="77">
        <v>5</v>
      </c>
      <c r="T340" s="77">
        <v>1</v>
      </c>
      <c r="U340" s="77">
        <v>0</v>
      </c>
      <c r="V340" s="77">
        <v>5553</v>
      </c>
      <c r="W340" s="81" t="s">
        <v>690</v>
      </c>
      <c r="X340" s="77"/>
      <c r="Y340" s="77"/>
      <c r="Z340" s="77"/>
      <c r="AA340" s="77" t="s">
        <v>828</v>
      </c>
      <c r="AB340" s="77" t="s">
        <v>850</v>
      </c>
      <c r="AC340" s="81" t="s">
        <v>853</v>
      </c>
      <c r="AD340" s="77" t="s">
        <v>868</v>
      </c>
      <c r="AE340" s="83" t="str">
        <f>HYPERLINK("https://twitter.com/fromalias/status/1693864790102282608")</f>
        <v>https://twitter.com/fromalias/status/1693864790102282608</v>
      </c>
      <c r="AF340" s="79">
        <v>45160.2478125</v>
      </c>
      <c r="AG340" s="85">
        <v>45160</v>
      </c>
      <c r="AH340" s="81" t="s">
        <v>909</v>
      </c>
      <c r="AI340" s="77" t="b">
        <v>0</v>
      </c>
      <c r="AJ340" s="77"/>
      <c r="AK340" s="77"/>
      <c r="AL340" s="77"/>
      <c r="AM340" s="77"/>
      <c r="AN340" s="77"/>
      <c r="AO340" s="77"/>
      <c r="AP340" s="77"/>
      <c r="AQ340" s="77" t="s">
        <v>1007</v>
      </c>
      <c r="AR340" s="77"/>
      <c r="AS340" s="77"/>
      <c r="AT340" s="77"/>
      <c r="AU340" s="77"/>
      <c r="AV340" s="83" t="str">
        <f>HYPERLINK("https://pbs.twimg.com/media/F4HRBrbXsAIllOL.jpg")</f>
        <v>https://pbs.twimg.com/media/F4HRBrbXsAIllOL.jpg</v>
      </c>
      <c r="AW340" s="81" t="s">
        <v>1064</v>
      </c>
      <c r="AX340" s="81" t="s">
        <v>1064</v>
      </c>
      <c r="AY340" s="77"/>
      <c r="AZ340" s="81" t="s">
        <v>1190</v>
      </c>
      <c r="BA340" s="81" t="s">
        <v>1190</v>
      </c>
      <c r="BB340" s="81" t="s">
        <v>1190</v>
      </c>
      <c r="BC340" s="81" t="s">
        <v>1064</v>
      </c>
      <c r="BD340" s="77">
        <v>463504626</v>
      </c>
      <c r="BE340" s="77"/>
      <c r="BF340" s="77"/>
      <c r="BG340" s="77"/>
      <c r="BH340" s="77"/>
      <c r="BI340" s="77"/>
      <c r="BJ340">
        <v>2</v>
      </c>
      <c r="BK340" s="76" t="str">
        <f>REPLACE(INDEX(GroupVertices[Group],MATCH(Edges[[#This Row],[Vertex 1]],GroupVertices[Vertex],0)),1,1,"")</f>
        <v>11</v>
      </c>
      <c r="BL340" s="76" t="str">
        <f>REPLACE(INDEX(GroupVertices[Group],MATCH(Edges[[#This Row],[Vertex 2]],GroupVertices[Vertex],0)),1,1,"")</f>
        <v>11</v>
      </c>
      <c r="BM340" s="45">
        <v>0</v>
      </c>
      <c r="BN340" s="46">
        <v>0</v>
      </c>
      <c r="BO340" s="45">
        <v>0</v>
      </c>
      <c r="BP340" s="46">
        <v>0</v>
      </c>
      <c r="BQ340" s="45">
        <v>0</v>
      </c>
      <c r="BR340" s="46">
        <v>0</v>
      </c>
      <c r="BS340" s="45">
        <v>5</v>
      </c>
      <c r="BT340" s="46">
        <v>100</v>
      </c>
      <c r="BU340" s="45">
        <v>5</v>
      </c>
    </row>
    <row r="341" spans="1:73" ht="15">
      <c r="A341" s="61" t="s">
        <v>233</v>
      </c>
      <c r="B341" s="61" t="s">
        <v>233</v>
      </c>
      <c r="C341" s="62" t="s">
        <v>11693</v>
      </c>
      <c r="D341" s="63">
        <v>4.4</v>
      </c>
      <c r="E341" s="64" t="s">
        <v>132</v>
      </c>
      <c r="F341" s="65">
        <v>27.6</v>
      </c>
      <c r="G341" s="62"/>
      <c r="H341" s="66"/>
      <c r="I341" s="67"/>
      <c r="J341" s="67"/>
      <c r="K341" s="31" t="s">
        <v>65</v>
      </c>
      <c r="L341" s="75">
        <v>341</v>
      </c>
      <c r="M341" s="75"/>
      <c r="N341" s="69"/>
      <c r="O341" s="77" t="s">
        <v>178</v>
      </c>
      <c r="P341" s="79">
        <v>45162.434375</v>
      </c>
      <c r="Q341" s="77" t="s">
        <v>582</v>
      </c>
      <c r="R341" s="77">
        <v>0</v>
      </c>
      <c r="S341" s="77">
        <v>3</v>
      </c>
      <c r="T341" s="77">
        <v>0</v>
      </c>
      <c r="U341" s="77">
        <v>0</v>
      </c>
      <c r="V341" s="77">
        <v>4405</v>
      </c>
      <c r="W341" s="81" t="s">
        <v>691</v>
      </c>
      <c r="X341" s="83" t="str">
        <f>HYPERLINK("https://dryades.units.it/torlonia/")</f>
        <v>https://dryades.units.it/torlonia/</v>
      </c>
      <c r="Y341" s="77" t="s">
        <v>742</v>
      </c>
      <c r="Z341" s="77"/>
      <c r="AA341" s="77" t="s">
        <v>829</v>
      </c>
      <c r="AB341" s="77" t="s">
        <v>848</v>
      </c>
      <c r="AC341" s="81" t="s">
        <v>853</v>
      </c>
      <c r="AD341" s="77" t="s">
        <v>869</v>
      </c>
      <c r="AE341" s="83" t="str">
        <f>HYPERLINK("https://twitter.com/fromalias/status/1694657176613093864")</f>
        <v>https://twitter.com/fromalias/status/1694657176613093864</v>
      </c>
      <c r="AF341" s="79">
        <v>45162.434375</v>
      </c>
      <c r="AG341" s="85">
        <v>45162</v>
      </c>
      <c r="AH341" s="81" t="s">
        <v>910</v>
      </c>
      <c r="AI341" s="77" t="b">
        <v>0</v>
      </c>
      <c r="AJ341" s="77"/>
      <c r="AK341" s="77"/>
      <c r="AL341" s="77"/>
      <c r="AM341" s="77"/>
      <c r="AN341" s="77"/>
      <c r="AO341" s="77"/>
      <c r="AP341" s="77"/>
      <c r="AQ341" s="77" t="s">
        <v>1008</v>
      </c>
      <c r="AR341" s="77"/>
      <c r="AS341" s="77"/>
      <c r="AT341" s="77"/>
      <c r="AU341" s="77"/>
      <c r="AV341" s="83" t="str">
        <f>HYPERLINK("https://pbs.twimg.com/media/F4ShsdkXwAA0pxN.jpg")</f>
        <v>https://pbs.twimg.com/media/F4ShsdkXwAA0pxN.jpg</v>
      </c>
      <c r="AW341" s="81" t="s">
        <v>1065</v>
      </c>
      <c r="AX341" s="81" t="s">
        <v>1065</v>
      </c>
      <c r="AY341" s="77"/>
      <c r="AZ341" s="81" t="s">
        <v>1190</v>
      </c>
      <c r="BA341" s="81" t="s">
        <v>1190</v>
      </c>
      <c r="BB341" s="81" t="s">
        <v>1190</v>
      </c>
      <c r="BC341" s="81" t="s">
        <v>1065</v>
      </c>
      <c r="BD341" s="77">
        <v>463504626</v>
      </c>
      <c r="BE341" s="77"/>
      <c r="BF341" s="77"/>
      <c r="BG341" s="77"/>
      <c r="BH341" s="77"/>
      <c r="BI341" s="77"/>
      <c r="BJ341">
        <v>2</v>
      </c>
      <c r="BK341" s="76" t="str">
        <f>REPLACE(INDEX(GroupVertices[Group],MATCH(Edges[[#This Row],[Vertex 1]],GroupVertices[Vertex],0)),1,1,"")</f>
        <v>11</v>
      </c>
      <c r="BL341" s="76" t="str">
        <f>REPLACE(INDEX(GroupVertices[Group],MATCH(Edges[[#This Row],[Vertex 2]],GroupVertices[Vertex],0)),1,1,"")</f>
        <v>11</v>
      </c>
      <c r="BM341" s="45">
        <v>0</v>
      </c>
      <c r="BN341" s="46">
        <v>0</v>
      </c>
      <c r="BO341" s="45">
        <v>0</v>
      </c>
      <c r="BP341" s="46">
        <v>0</v>
      </c>
      <c r="BQ341" s="45">
        <v>0</v>
      </c>
      <c r="BR341" s="46">
        <v>0</v>
      </c>
      <c r="BS341" s="45">
        <v>7</v>
      </c>
      <c r="BT341" s="46">
        <v>100</v>
      </c>
      <c r="BU341" s="45">
        <v>7</v>
      </c>
    </row>
    <row r="342" spans="1:73" ht="15">
      <c r="A342" s="61" t="s">
        <v>234</v>
      </c>
      <c r="B342" s="61" t="s">
        <v>420</v>
      </c>
      <c r="C342" s="62" t="s">
        <v>11692</v>
      </c>
      <c r="D342" s="63">
        <v>3</v>
      </c>
      <c r="E342" s="64" t="s">
        <v>132</v>
      </c>
      <c r="F342" s="65">
        <v>32</v>
      </c>
      <c r="G342" s="62"/>
      <c r="H342" s="66"/>
      <c r="I342" s="67"/>
      <c r="J342" s="67"/>
      <c r="K342" s="31" t="s">
        <v>65</v>
      </c>
      <c r="L342" s="75">
        <v>342</v>
      </c>
      <c r="M342" s="75"/>
      <c r="N342" s="69"/>
      <c r="O342" s="77" t="s">
        <v>543</v>
      </c>
      <c r="P342" s="79">
        <v>45148.75989583333</v>
      </c>
      <c r="Q342" s="77" t="s">
        <v>583</v>
      </c>
      <c r="R342" s="77">
        <v>0</v>
      </c>
      <c r="S342" s="77">
        <v>5</v>
      </c>
      <c r="T342" s="77">
        <v>0</v>
      </c>
      <c r="U342" s="77">
        <v>0</v>
      </c>
      <c r="V342" s="77">
        <v>102</v>
      </c>
      <c r="W342" s="77"/>
      <c r="X342" s="77"/>
      <c r="Y342" s="77"/>
      <c r="Z342" s="77" t="s">
        <v>777</v>
      </c>
      <c r="AA342" s="77"/>
      <c r="AB342" s="77"/>
      <c r="AC342" s="81" t="s">
        <v>853</v>
      </c>
      <c r="AD342" s="77" t="s">
        <v>859</v>
      </c>
      <c r="AE342" s="83" t="str">
        <f>HYPERLINK("https://twitter.com/aejmc/status/1689701708333531136")</f>
        <v>https://twitter.com/aejmc/status/1689701708333531136</v>
      </c>
      <c r="AF342" s="79">
        <v>45148.75989583333</v>
      </c>
      <c r="AG342" s="85">
        <v>45148</v>
      </c>
      <c r="AH342" s="81" t="s">
        <v>911</v>
      </c>
      <c r="AI342" s="77"/>
      <c r="AJ342" s="77"/>
      <c r="AK342" s="77"/>
      <c r="AL342" s="77"/>
      <c r="AM342" s="77"/>
      <c r="AN342" s="77"/>
      <c r="AO342" s="77"/>
      <c r="AP342" s="77"/>
      <c r="AQ342" s="77"/>
      <c r="AR342" s="77"/>
      <c r="AS342" s="77"/>
      <c r="AT342" s="77"/>
      <c r="AU342" s="77"/>
      <c r="AV342" s="83" t="str">
        <f>HYPERLINK("https://pbs.twimg.com/profile_images/1559584982439444482/vOVkFGh3_normal.png")</f>
        <v>https://pbs.twimg.com/profile_images/1559584982439444482/vOVkFGh3_normal.png</v>
      </c>
      <c r="AW342" s="81" t="s">
        <v>1066</v>
      </c>
      <c r="AX342" s="81" t="s">
        <v>1067</v>
      </c>
      <c r="AY342" s="81" t="s">
        <v>1177</v>
      </c>
      <c r="AZ342" s="81" t="s">
        <v>1067</v>
      </c>
      <c r="BA342" s="81" t="s">
        <v>1190</v>
      </c>
      <c r="BB342" s="81" t="s">
        <v>1190</v>
      </c>
      <c r="BC342" s="81" t="s">
        <v>1067</v>
      </c>
      <c r="BD342" s="77">
        <v>8442592</v>
      </c>
      <c r="BE342" s="77"/>
      <c r="BF342" s="77"/>
      <c r="BG342" s="77"/>
      <c r="BH342" s="77"/>
      <c r="BI342" s="77"/>
      <c r="BJ342">
        <v>1</v>
      </c>
      <c r="BK342" s="76" t="str">
        <f>REPLACE(INDEX(GroupVertices[Group],MATCH(Edges[[#This Row],[Vertex 1]],GroupVertices[Vertex],0)),1,1,"")</f>
        <v>2</v>
      </c>
      <c r="BL342" s="76" t="str">
        <f>REPLACE(INDEX(GroupVertices[Group],MATCH(Edges[[#This Row],[Vertex 2]],GroupVertices[Vertex],0)),1,1,"")</f>
        <v>2</v>
      </c>
      <c r="BM342" s="45"/>
      <c r="BN342" s="46"/>
      <c r="BO342" s="45"/>
      <c r="BP342" s="46"/>
      <c r="BQ342" s="45"/>
      <c r="BR342" s="46"/>
      <c r="BS342" s="45"/>
      <c r="BT342" s="46"/>
      <c r="BU342" s="45"/>
    </row>
    <row r="343" spans="1:73" ht="15">
      <c r="A343" s="61" t="s">
        <v>235</v>
      </c>
      <c r="B343" s="61" t="s">
        <v>420</v>
      </c>
      <c r="C343" s="62" t="s">
        <v>11692</v>
      </c>
      <c r="D343" s="63">
        <v>3</v>
      </c>
      <c r="E343" s="64" t="s">
        <v>132</v>
      </c>
      <c r="F343" s="65">
        <v>32</v>
      </c>
      <c r="G343" s="62"/>
      <c r="H343" s="66"/>
      <c r="I343" s="67"/>
      <c r="J343" s="67"/>
      <c r="K343" s="31" t="s">
        <v>65</v>
      </c>
      <c r="L343" s="75">
        <v>343</v>
      </c>
      <c r="M343" s="75"/>
      <c r="N343" s="69"/>
      <c r="O343" s="77" t="s">
        <v>544</v>
      </c>
      <c r="P343" s="79">
        <v>45148.727951388886</v>
      </c>
      <c r="Q343" s="77" t="s">
        <v>584</v>
      </c>
      <c r="R343" s="77">
        <v>1</v>
      </c>
      <c r="S343" s="77">
        <v>8</v>
      </c>
      <c r="T343" s="77">
        <v>1</v>
      </c>
      <c r="U343" s="77">
        <v>1</v>
      </c>
      <c r="V343" s="77">
        <v>884</v>
      </c>
      <c r="W343" s="81" t="s">
        <v>692</v>
      </c>
      <c r="X343" s="77"/>
      <c r="Y343" s="77"/>
      <c r="Z343" s="77" t="s">
        <v>778</v>
      </c>
      <c r="AA343" s="77"/>
      <c r="AB343" s="77"/>
      <c r="AC343" s="81" t="s">
        <v>857</v>
      </c>
      <c r="AD343" s="77" t="s">
        <v>859</v>
      </c>
      <c r="AE343" s="83" t="str">
        <f>HYPERLINK("https://twitter.com/jeremyhl/status/1689690132457103360")</f>
        <v>https://twitter.com/jeremyhl/status/1689690132457103360</v>
      </c>
      <c r="AF343" s="79">
        <v>45148.727951388886</v>
      </c>
      <c r="AG343" s="85">
        <v>45148</v>
      </c>
      <c r="AH343" s="81" t="s">
        <v>912</v>
      </c>
      <c r="AI343" s="77"/>
      <c r="AJ343" s="77"/>
      <c r="AK343" s="77"/>
      <c r="AL343" s="77"/>
      <c r="AM343" s="77"/>
      <c r="AN343" s="77"/>
      <c r="AO343" s="77"/>
      <c r="AP343" s="77"/>
      <c r="AQ343" s="77"/>
      <c r="AR343" s="77"/>
      <c r="AS343" s="77"/>
      <c r="AT343" s="77"/>
      <c r="AU343" s="77"/>
      <c r="AV343" s="83" t="str">
        <f>HYPERLINK("https://pbs.twimg.com/profile_images/912667889395798022/pMoB2qc8_normal.jpg")</f>
        <v>https://pbs.twimg.com/profile_images/912667889395798022/pMoB2qc8_normal.jpg</v>
      </c>
      <c r="AW343" s="81" t="s">
        <v>1067</v>
      </c>
      <c r="AX343" s="81" t="s">
        <v>1067</v>
      </c>
      <c r="AY343" s="77"/>
      <c r="AZ343" s="81" t="s">
        <v>1190</v>
      </c>
      <c r="BA343" s="81" t="s">
        <v>1068</v>
      </c>
      <c r="BB343" s="81" t="s">
        <v>1190</v>
      </c>
      <c r="BC343" s="81" t="s">
        <v>1068</v>
      </c>
      <c r="BD343" s="77">
        <v>12006842</v>
      </c>
      <c r="BE343" s="77"/>
      <c r="BF343" s="77"/>
      <c r="BG343" s="77"/>
      <c r="BH343" s="77"/>
      <c r="BI343" s="77"/>
      <c r="BJ343">
        <v>1</v>
      </c>
      <c r="BK343" s="76" t="str">
        <f>REPLACE(INDEX(GroupVertices[Group],MATCH(Edges[[#This Row],[Vertex 1]],GroupVertices[Vertex],0)),1,1,"")</f>
        <v>2</v>
      </c>
      <c r="BL343" s="76" t="str">
        <f>REPLACE(INDEX(GroupVertices[Group],MATCH(Edges[[#This Row],[Vertex 2]],GroupVertices[Vertex],0)),1,1,"")</f>
        <v>2</v>
      </c>
      <c r="BM343" s="45"/>
      <c r="BN343" s="46"/>
      <c r="BO343" s="45"/>
      <c r="BP343" s="46"/>
      <c r="BQ343" s="45"/>
      <c r="BR343" s="46"/>
      <c r="BS343" s="45"/>
      <c r="BT343" s="46"/>
      <c r="BU343" s="45"/>
    </row>
    <row r="344" spans="1:73" ht="15">
      <c r="A344" s="61" t="s">
        <v>234</v>
      </c>
      <c r="B344" s="61" t="s">
        <v>421</v>
      </c>
      <c r="C344" s="62" t="s">
        <v>11692</v>
      </c>
      <c r="D344" s="63">
        <v>3</v>
      </c>
      <c r="E344" s="64" t="s">
        <v>132</v>
      </c>
      <c r="F344" s="65">
        <v>32</v>
      </c>
      <c r="G344" s="62"/>
      <c r="H344" s="66"/>
      <c r="I344" s="67"/>
      <c r="J344" s="67"/>
      <c r="K344" s="31" t="s">
        <v>65</v>
      </c>
      <c r="L344" s="75">
        <v>344</v>
      </c>
      <c r="M344" s="75"/>
      <c r="N344" s="69"/>
      <c r="O344" s="77" t="s">
        <v>543</v>
      </c>
      <c r="P344" s="79">
        <v>45148.75989583333</v>
      </c>
      <c r="Q344" s="77" t="s">
        <v>583</v>
      </c>
      <c r="R344" s="77">
        <v>0</v>
      </c>
      <c r="S344" s="77">
        <v>5</v>
      </c>
      <c r="T344" s="77">
        <v>0</v>
      </c>
      <c r="U344" s="77">
        <v>0</v>
      </c>
      <c r="V344" s="77">
        <v>102</v>
      </c>
      <c r="W344" s="77"/>
      <c r="X344" s="77"/>
      <c r="Y344" s="77"/>
      <c r="Z344" s="77" t="s">
        <v>777</v>
      </c>
      <c r="AA344" s="77"/>
      <c r="AB344" s="77"/>
      <c r="AC344" s="81" t="s">
        <v>853</v>
      </c>
      <c r="AD344" s="77" t="s">
        <v>859</v>
      </c>
      <c r="AE344" s="83" t="str">
        <f>HYPERLINK("https://twitter.com/aejmc/status/1689701708333531136")</f>
        <v>https://twitter.com/aejmc/status/1689701708333531136</v>
      </c>
      <c r="AF344" s="79">
        <v>45148.75989583333</v>
      </c>
      <c r="AG344" s="85">
        <v>45148</v>
      </c>
      <c r="AH344" s="81" t="s">
        <v>911</v>
      </c>
      <c r="AI344" s="77"/>
      <c r="AJ344" s="77"/>
      <c r="AK344" s="77"/>
      <c r="AL344" s="77"/>
      <c r="AM344" s="77"/>
      <c r="AN344" s="77"/>
      <c r="AO344" s="77"/>
      <c r="AP344" s="77"/>
      <c r="AQ344" s="77"/>
      <c r="AR344" s="77"/>
      <c r="AS344" s="77"/>
      <c r="AT344" s="77"/>
      <c r="AU344" s="77"/>
      <c r="AV344" s="83" t="str">
        <f>HYPERLINK("https://pbs.twimg.com/profile_images/1559584982439444482/vOVkFGh3_normal.png")</f>
        <v>https://pbs.twimg.com/profile_images/1559584982439444482/vOVkFGh3_normal.png</v>
      </c>
      <c r="AW344" s="81" t="s">
        <v>1066</v>
      </c>
      <c r="AX344" s="81" t="s">
        <v>1067</v>
      </c>
      <c r="AY344" s="81" t="s">
        <v>1177</v>
      </c>
      <c r="AZ344" s="81" t="s">
        <v>1067</v>
      </c>
      <c r="BA344" s="81" t="s">
        <v>1190</v>
      </c>
      <c r="BB344" s="81" t="s">
        <v>1190</v>
      </c>
      <c r="BC344" s="81" t="s">
        <v>1067</v>
      </c>
      <c r="BD344" s="77">
        <v>8442592</v>
      </c>
      <c r="BE344" s="77"/>
      <c r="BF344" s="77"/>
      <c r="BG344" s="77"/>
      <c r="BH344" s="77"/>
      <c r="BI344" s="77"/>
      <c r="BJ344">
        <v>1</v>
      </c>
      <c r="BK344" s="76" t="str">
        <f>REPLACE(INDEX(GroupVertices[Group],MATCH(Edges[[#This Row],[Vertex 1]],GroupVertices[Vertex],0)),1,1,"")</f>
        <v>2</v>
      </c>
      <c r="BL344" s="76" t="str">
        <f>REPLACE(INDEX(GroupVertices[Group],MATCH(Edges[[#This Row],[Vertex 2]],GroupVertices[Vertex],0)),1,1,"")</f>
        <v>2</v>
      </c>
      <c r="BM344" s="45"/>
      <c r="BN344" s="46"/>
      <c r="BO344" s="45"/>
      <c r="BP344" s="46"/>
      <c r="BQ344" s="45"/>
      <c r="BR344" s="46"/>
      <c r="BS344" s="45"/>
      <c r="BT344" s="46"/>
      <c r="BU344" s="45"/>
    </row>
    <row r="345" spans="1:73" ht="15">
      <c r="A345" s="61" t="s">
        <v>235</v>
      </c>
      <c r="B345" s="61" t="s">
        <v>421</v>
      </c>
      <c r="C345" s="62" t="s">
        <v>11692</v>
      </c>
      <c r="D345" s="63">
        <v>3</v>
      </c>
      <c r="E345" s="64" t="s">
        <v>132</v>
      </c>
      <c r="F345" s="65">
        <v>32</v>
      </c>
      <c r="G345" s="62"/>
      <c r="H345" s="66"/>
      <c r="I345" s="67"/>
      <c r="J345" s="67"/>
      <c r="K345" s="31" t="s">
        <v>65</v>
      </c>
      <c r="L345" s="75">
        <v>345</v>
      </c>
      <c r="M345" s="75"/>
      <c r="N345" s="69"/>
      <c r="O345" s="77" t="s">
        <v>544</v>
      </c>
      <c r="P345" s="79">
        <v>45148.727951388886</v>
      </c>
      <c r="Q345" s="77" t="s">
        <v>584</v>
      </c>
      <c r="R345" s="77">
        <v>1</v>
      </c>
      <c r="S345" s="77">
        <v>8</v>
      </c>
      <c r="T345" s="77">
        <v>1</v>
      </c>
      <c r="U345" s="77">
        <v>1</v>
      </c>
      <c r="V345" s="77">
        <v>884</v>
      </c>
      <c r="W345" s="81" t="s">
        <v>692</v>
      </c>
      <c r="X345" s="77"/>
      <c r="Y345" s="77"/>
      <c r="Z345" s="77" t="s">
        <v>778</v>
      </c>
      <c r="AA345" s="77"/>
      <c r="AB345" s="77"/>
      <c r="AC345" s="81" t="s">
        <v>857</v>
      </c>
      <c r="AD345" s="77" t="s">
        <v>859</v>
      </c>
      <c r="AE345" s="83" t="str">
        <f>HYPERLINK("https://twitter.com/jeremyhl/status/1689690132457103360")</f>
        <v>https://twitter.com/jeremyhl/status/1689690132457103360</v>
      </c>
      <c r="AF345" s="79">
        <v>45148.727951388886</v>
      </c>
      <c r="AG345" s="85">
        <v>45148</v>
      </c>
      <c r="AH345" s="81" t="s">
        <v>912</v>
      </c>
      <c r="AI345" s="77"/>
      <c r="AJ345" s="77"/>
      <c r="AK345" s="77"/>
      <c r="AL345" s="77"/>
      <c r="AM345" s="77"/>
      <c r="AN345" s="77"/>
      <c r="AO345" s="77"/>
      <c r="AP345" s="77"/>
      <c r="AQ345" s="77"/>
      <c r="AR345" s="77"/>
      <c r="AS345" s="77"/>
      <c r="AT345" s="77"/>
      <c r="AU345" s="77"/>
      <c r="AV345" s="83" t="str">
        <f>HYPERLINK("https://pbs.twimg.com/profile_images/912667889395798022/pMoB2qc8_normal.jpg")</f>
        <v>https://pbs.twimg.com/profile_images/912667889395798022/pMoB2qc8_normal.jpg</v>
      </c>
      <c r="AW345" s="81" t="s">
        <v>1067</v>
      </c>
      <c r="AX345" s="81" t="s">
        <v>1067</v>
      </c>
      <c r="AY345" s="77"/>
      <c r="AZ345" s="81" t="s">
        <v>1190</v>
      </c>
      <c r="BA345" s="81" t="s">
        <v>1068</v>
      </c>
      <c r="BB345" s="81" t="s">
        <v>1190</v>
      </c>
      <c r="BC345" s="81" t="s">
        <v>1068</v>
      </c>
      <c r="BD345" s="77">
        <v>12006842</v>
      </c>
      <c r="BE345" s="77"/>
      <c r="BF345" s="77"/>
      <c r="BG345" s="77"/>
      <c r="BH345" s="77"/>
      <c r="BI345" s="77"/>
      <c r="BJ345">
        <v>1</v>
      </c>
      <c r="BK345" s="76" t="str">
        <f>REPLACE(INDEX(GroupVertices[Group],MATCH(Edges[[#This Row],[Vertex 1]],GroupVertices[Vertex],0)),1,1,"")</f>
        <v>2</v>
      </c>
      <c r="BL345" s="76" t="str">
        <f>REPLACE(INDEX(GroupVertices[Group],MATCH(Edges[[#This Row],[Vertex 2]],GroupVertices[Vertex],0)),1,1,"")</f>
        <v>2</v>
      </c>
      <c r="BM345" s="45"/>
      <c r="BN345" s="46"/>
      <c r="BO345" s="45"/>
      <c r="BP345" s="46"/>
      <c r="BQ345" s="45"/>
      <c r="BR345" s="46"/>
      <c r="BS345" s="45"/>
      <c r="BT345" s="46"/>
      <c r="BU345" s="45"/>
    </row>
    <row r="346" spans="1:73" ht="15">
      <c r="A346" s="61" t="s">
        <v>234</v>
      </c>
      <c r="B346" s="61" t="s">
        <v>422</v>
      </c>
      <c r="C346" s="62" t="s">
        <v>11692</v>
      </c>
      <c r="D346" s="63">
        <v>3</v>
      </c>
      <c r="E346" s="64" t="s">
        <v>132</v>
      </c>
      <c r="F346" s="65">
        <v>32</v>
      </c>
      <c r="G346" s="62"/>
      <c r="H346" s="66"/>
      <c r="I346" s="67"/>
      <c r="J346" s="67"/>
      <c r="K346" s="31" t="s">
        <v>65</v>
      </c>
      <c r="L346" s="75">
        <v>346</v>
      </c>
      <c r="M346" s="75"/>
      <c r="N346" s="69"/>
      <c r="O346" s="77" t="s">
        <v>543</v>
      </c>
      <c r="P346" s="79">
        <v>45148.75989583333</v>
      </c>
      <c r="Q346" s="77" t="s">
        <v>583</v>
      </c>
      <c r="R346" s="77">
        <v>0</v>
      </c>
      <c r="S346" s="77">
        <v>5</v>
      </c>
      <c r="T346" s="77">
        <v>0</v>
      </c>
      <c r="U346" s="77">
        <v>0</v>
      </c>
      <c r="V346" s="77">
        <v>102</v>
      </c>
      <c r="W346" s="77"/>
      <c r="X346" s="77"/>
      <c r="Y346" s="77"/>
      <c r="Z346" s="77" t="s">
        <v>777</v>
      </c>
      <c r="AA346" s="77"/>
      <c r="AB346" s="77"/>
      <c r="AC346" s="81" t="s">
        <v>853</v>
      </c>
      <c r="AD346" s="77" t="s">
        <v>859</v>
      </c>
      <c r="AE346" s="83" t="str">
        <f>HYPERLINK("https://twitter.com/aejmc/status/1689701708333531136")</f>
        <v>https://twitter.com/aejmc/status/1689701708333531136</v>
      </c>
      <c r="AF346" s="79">
        <v>45148.75989583333</v>
      </c>
      <c r="AG346" s="85">
        <v>45148</v>
      </c>
      <c r="AH346" s="81" t="s">
        <v>911</v>
      </c>
      <c r="AI346" s="77"/>
      <c r="AJ346" s="77"/>
      <c r="AK346" s="77"/>
      <c r="AL346" s="77"/>
      <c r="AM346" s="77"/>
      <c r="AN346" s="77"/>
      <c r="AO346" s="77"/>
      <c r="AP346" s="77"/>
      <c r="AQ346" s="77"/>
      <c r="AR346" s="77"/>
      <c r="AS346" s="77"/>
      <c r="AT346" s="77"/>
      <c r="AU346" s="77"/>
      <c r="AV346" s="83" t="str">
        <f>HYPERLINK("https://pbs.twimg.com/profile_images/1559584982439444482/vOVkFGh3_normal.png")</f>
        <v>https://pbs.twimg.com/profile_images/1559584982439444482/vOVkFGh3_normal.png</v>
      </c>
      <c r="AW346" s="81" t="s">
        <v>1066</v>
      </c>
      <c r="AX346" s="81" t="s">
        <v>1067</v>
      </c>
      <c r="AY346" s="81" t="s">
        <v>1177</v>
      </c>
      <c r="AZ346" s="81" t="s">
        <v>1067</v>
      </c>
      <c r="BA346" s="81" t="s">
        <v>1190</v>
      </c>
      <c r="BB346" s="81" t="s">
        <v>1190</v>
      </c>
      <c r="BC346" s="81" t="s">
        <v>1067</v>
      </c>
      <c r="BD346" s="77">
        <v>8442592</v>
      </c>
      <c r="BE346" s="77"/>
      <c r="BF346" s="77"/>
      <c r="BG346" s="77"/>
      <c r="BH346" s="77"/>
      <c r="BI346" s="77"/>
      <c r="BJ346">
        <v>1</v>
      </c>
      <c r="BK346" s="76" t="str">
        <f>REPLACE(INDEX(GroupVertices[Group],MATCH(Edges[[#This Row],[Vertex 1]],GroupVertices[Vertex],0)),1,1,"")</f>
        <v>2</v>
      </c>
      <c r="BL346" s="76" t="str">
        <f>REPLACE(INDEX(GroupVertices[Group],MATCH(Edges[[#This Row],[Vertex 2]],GroupVertices[Vertex],0)),1,1,"")</f>
        <v>2</v>
      </c>
      <c r="BM346" s="45">
        <v>2</v>
      </c>
      <c r="BN346" s="46">
        <v>15.384615384615385</v>
      </c>
      <c r="BO346" s="45">
        <v>0</v>
      </c>
      <c r="BP346" s="46">
        <v>0</v>
      </c>
      <c r="BQ346" s="45">
        <v>0</v>
      </c>
      <c r="BR346" s="46">
        <v>0</v>
      </c>
      <c r="BS346" s="45">
        <v>6</v>
      </c>
      <c r="BT346" s="46">
        <v>46.15384615384615</v>
      </c>
      <c r="BU346" s="45">
        <v>13</v>
      </c>
    </row>
    <row r="347" spans="1:73" ht="15">
      <c r="A347" s="61" t="s">
        <v>235</v>
      </c>
      <c r="B347" s="61" t="s">
        <v>422</v>
      </c>
      <c r="C347" s="62" t="s">
        <v>11692</v>
      </c>
      <c r="D347" s="63">
        <v>3</v>
      </c>
      <c r="E347" s="64" t="s">
        <v>132</v>
      </c>
      <c r="F347" s="65">
        <v>32</v>
      </c>
      <c r="G347" s="62"/>
      <c r="H347" s="66"/>
      <c r="I347" s="67"/>
      <c r="J347" s="67"/>
      <c r="K347" s="31" t="s">
        <v>65</v>
      </c>
      <c r="L347" s="75">
        <v>347</v>
      </c>
      <c r="M347" s="75"/>
      <c r="N347" s="69"/>
      <c r="O347" s="77" t="s">
        <v>544</v>
      </c>
      <c r="P347" s="79">
        <v>45148.727951388886</v>
      </c>
      <c r="Q347" s="77" t="s">
        <v>584</v>
      </c>
      <c r="R347" s="77">
        <v>1</v>
      </c>
      <c r="S347" s="77">
        <v>8</v>
      </c>
      <c r="T347" s="77">
        <v>1</v>
      </c>
      <c r="U347" s="77">
        <v>1</v>
      </c>
      <c r="V347" s="77">
        <v>884</v>
      </c>
      <c r="W347" s="81" t="s">
        <v>692</v>
      </c>
      <c r="X347" s="77"/>
      <c r="Y347" s="77"/>
      <c r="Z347" s="77" t="s">
        <v>778</v>
      </c>
      <c r="AA347" s="77"/>
      <c r="AB347" s="77"/>
      <c r="AC347" s="81" t="s">
        <v>857</v>
      </c>
      <c r="AD347" s="77" t="s">
        <v>859</v>
      </c>
      <c r="AE347" s="83" t="str">
        <f>HYPERLINK("https://twitter.com/jeremyhl/status/1689690132457103360")</f>
        <v>https://twitter.com/jeremyhl/status/1689690132457103360</v>
      </c>
      <c r="AF347" s="79">
        <v>45148.727951388886</v>
      </c>
      <c r="AG347" s="85">
        <v>45148</v>
      </c>
      <c r="AH347" s="81" t="s">
        <v>912</v>
      </c>
      <c r="AI347" s="77"/>
      <c r="AJ347" s="77"/>
      <c r="AK347" s="77"/>
      <c r="AL347" s="77"/>
      <c r="AM347" s="77"/>
      <c r="AN347" s="77"/>
      <c r="AO347" s="77"/>
      <c r="AP347" s="77"/>
      <c r="AQ347" s="77"/>
      <c r="AR347" s="77"/>
      <c r="AS347" s="77"/>
      <c r="AT347" s="77"/>
      <c r="AU347" s="77"/>
      <c r="AV347" s="83" t="str">
        <f>HYPERLINK("https://pbs.twimg.com/profile_images/912667889395798022/pMoB2qc8_normal.jpg")</f>
        <v>https://pbs.twimg.com/profile_images/912667889395798022/pMoB2qc8_normal.jpg</v>
      </c>
      <c r="AW347" s="81" t="s">
        <v>1067</v>
      </c>
      <c r="AX347" s="81" t="s">
        <v>1067</v>
      </c>
      <c r="AY347" s="77"/>
      <c r="AZ347" s="81" t="s">
        <v>1190</v>
      </c>
      <c r="BA347" s="81" t="s">
        <v>1068</v>
      </c>
      <c r="BB347" s="81" t="s">
        <v>1190</v>
      </c>
      <c r="BC347" s="81" t="s">
        <v>1068</v>
      </c>
      <c r="BD347" s="77">
        <v>12006842</v>
      </c>
      <c r="BE347" s="77"/>
      <c r="BF347" s="77"/>
      <c r="BG347" s="77"/>
      <c r="BH347" s="77"/>
      <c r="BI347" s="77"/>
      <c r="BJ347">
        <v>1</v>
      </c>
      <c r="BK347" s="76" t="str">
        <f>REPLACE(INDEX(GroupVertices[Group],MATCH(Edges[[#This Row],[Vertex 1]],GroupVertices[Vertex],0)),1,1,"")</f>
        <v>2</v>
      </c>
      <c r="BL347" s="76" t="str">
        <f>REPLACE(INDEX(GroupVertices[Group],MATCH(Edges[[#This Row],[Vertex 2]],GroupVertices[Vertex],0)),1,1,"")</f>
        <v>2</v>
      </c>
      <c r="BM347" s="45">
        <v>0</v>
      </c>
      <c r="BN347" s="46">
        <v>0</v>
      </c>
      <c r="BO347" s="45">
        <v>0</v>
      </c>
      <c r="BP347" s="46">
        <v>0</v>
      </c>
      <c r="BQ347" s="45">
        <v>0</v>
      </c>
      <c r="BR347" s="46">
        <v>0</v>
      </c>
      <c r="BS347" s="45">
        <v>20</v>
      </c>
      <c r="BT347" s="46">
        <v>76.92307692307692</v>
      </c>
      <c r="BU347" s="45">
        <v>26</v>
      </c>
    </row>
    <row r="348" spans="1:73" ht="15">
      <c r="A348" s="61" t="s">
        <v>234</v>
      </c>
      <c r="B348" s="61" t="s">
        <v>228</v>
      </c>
      <c r="C348" s="62" t="s">
        <v>11692</v>
      </c>
      <c r="D348" s="63">
        <v>3</v>
      </c>
      <c r="E348" s="64" t="s">
        <v>132</v>
      </c>
      <c r="F348" s="65">
        <v>32</v>
      </c>
      <c r="G348" s="62"/>
      <c r="H348" s="66"/>
      <c r="I348" s="67"/>
      <c r="J348" s="67"/>
      <c r="K348" s="31" t="s">
        <v>66</v>
      </c>
      <c r="L348" s="75">
        <v>348</v>
      </c>
      <c r="M348" s="75"/>
      <c r="N348" s="69"/>
      <c r="O348" s="77" t="s">
        <v>543</v>
      </c>
      <c r="P348" s="79">
        <v>45148.75989583333</v>
      </c>
      <c r="Q348" s="77" t="s">
        <v>583</v>
      </c>
      <c r="R348" s="77">
        <v>0</v>
      </c>
      <c r="S348" s="77">
        <v>5</v>
      </c>
      <c r="T348" s="77">
        <v>0</v>
      </c>
      <c r="U348" s="77">
        <v>0</v>
      </c>
      <c r="V348" s="77">
        <v>102</v>
      </c>
      <c r="W348" s="77"/>
      <c r="X348" s="77"/>
      <c r="Y348" s="77"/>
      <c r="Z348" s="77" t="s">
        <v>777</v>
      </c>
      <c r="AA348" s="77"/>
      <c r="AB348" s="77"/>
      <c r="AC348" s="81" t="s">
        <v>853</v>
      </c>
      <c r="AD348" s="77" t="s">
        <v>859</v>
      </c>
      <c r="AE348" s="83" t="str">
        <f>HYPERLINK("https://twitter.com/aejmc/status/1689701708333531136")</f>
        <v>https://twitter.com/aejmc/status/1689701708333531136</v>
      </c>
      <c r="AF348" s="79">
        <v>45148.75989583333</v>
      </c>
      <c r="AG348" s="85">
        <v>45148</v>
      </c>
      <c r="AH348" s="81" t="s">
        <v>911</v>
      </c>
      <c r="AI348" s="77"/>
      <c r="AJ348" s="77"/>
      <c r="AK348" s="77"/>
      <c r="AL348" s="77"/>
      <c r="AM348" s="77"/>
      <c r="AN348" s="77"/>
      <c r="AO348" s="77"/>
      <c r="AP348" s="77"/>
      <c r="AQ348" s="77"/>
      <c r="AR348" s="77"/>
      <c r="AS348" s="77"/>
      <c r="AT348" s="77"/>
      <c r="AU348" s="77"/>
      <c r="AV348" s="83" t="str">
        <f>HYPERLINK("https://pbs.twimg.com/profile_images/1559584982439444482/vOVkFGh3_normal.png")</f>
        <v>https://pbs.twimg.com/profile_images/1559584982439444482/vOVkFGh3_normal.png</v>
      </c>
      <c r="AW348" s="81" t="s">
        <v>1066</v>
      </c>
      <c r="AX348" s="81" t="s">
        <v>1067</v>
      </c>
      <c r="AY348" s="81" t="s">
        <v>1177</v>
      </c>
      <c r="AZ348" s="81" t="s">
        <v>1067</v>
      </c>
      <c r="BA348" s="81" t="s">
        <v>1190</v>
      </c>
      <c r="BB348" s="81" t="s">
        <v>1190</v>
      </c>
      <c r="BC348" s="81" t="s">
        <v>1067</v>
      </c>
      <c r="BD348" s="77">
        <v>8442592</v>
      </c>
      <c r="BE348" s="77"/>
      <c r="BF348" s="77"/>
      <c r="BG348" s="77"/>
      <c r="BH348" s="77"/>
      <c r="BI348" s="77"/>
      <c r="BJ348">
        <v>1</v>
      </c>
      <c r="BK348" s="76" t="str">
        <f>REPLACE(INDEX(GroupVertices[Group],MATCH(Edges[[#This Row],[Vertex 1]],GroupVertices[Vertex],0)),1,1,"")</f>
        <v>2</v>
      </c>
      <c r="BL348" s="76" t="str">
        <f>REPLACE(INDEX(GroupVertices[Group],MATCH(Edges[[#This Row],[Vertex 2]],GroupVertices[Vertex],0)),1,1,"")</f>
        <v>2</v>
      </c>
      <c r="BM348" s="45"/>
      <c r="BN348" s="46"/>
      <c r="BO348" s="45"/>
      <c r="BP348" s="46"/>
      <c r="BQ348" s="45"/>
      <c r="BR348" s="46"/>
      <c r="BS348" s="45"/>
      <c r="BT348" s="46"/>
      <c r="BU348" s="45"/>
    </row>
    <row r="349" spans="1:73" ht="15">
      <c r="A349" s="61" t="s">
        <v>234</v>
      </c>
      <c r="B349" s="61" t="s">
        <v>235</v>
      </c>
      <c r="C349" s="62" t="s">
        <v>11692</v>
      </c>
      <c r="D349" s="63">
        <v>3</v>
      </c>
      <c r="E349" s="64" t="s">
        <v>132</v>
      </c>
      <c r="F349" s="65">
        <v>32</v>
      </c>
      <c r="G349" s="62"/>
      <c r="H349" s="66"/>
      <c r="I349" s="67"/>
      <c r="J349" s="67"/>
      <c r="K349" s="31" t="s">
        <v>66</v>
      </c>
      <c r="L349" s="75">
        <v>349</v>
      </c>
      <c r="M349" s="75"/>
      <c r="N349" s="69"/>
      <c r="O349" s="77" t="s">
        <v>540</v>
      </c>
      <c r="P349" s="79">
        <v>45148.75989583333</v>
      </c>
      <c r="Q349" s="77" t="s">
        <v>583</v>
      </c>
      <c r="R349" s="77">
        <v>0</v>
      </c>
      <c r="S349" s="77">
        <v>5</v>
      </c>
      <c r="T349" s="77">
        <v>0</v>
      </c>
      <c r="U349" s="77">
        <v>0</v>
      </c>
      <c r="V349" s="77">
        <v>102</v>
      </c>
      <c r="W349" s="77"/>
      <c r="X349" s="77"/>
      <c r="Y349" s="77"/>
      <c r="Z349" s="77" t="s">
        <v>777</v>
      </c>
      <c r="AA349" s="77"/>
      <c r="AB349" s="77"/>
      <c r="AC349" s="81" t="s">
        <v>853</v>
      </c>
      <c r="AD349" s="77" t="s">
        <v>859</v>
      </c>
      <c r="AE349" s="83" t="str">
        <f>HYPERLINK("https://twitter.com/aejmc/status/1689701708333531136")</f>
        <v>https://twitter.com/aejmc/status/1689701708333531136</v>
      </c>
      <c r="AF349" s="79">
        <v>45148.75989583333</v>
      </c>
      <c r="AG349" s="85">
        <v>45148</v>
      </c>
      <c r="AH349" s="81" t="s">
        <v>911</v>
      </c>
      <c r="AI349" s="77"/>
      <c r="AJ349" s="77"/>
      <c r="AK349" s="77"/>
      <c r="AL349" s="77"/>
      <c r="AM349" s="77"/>
      <c r="AN349" s="77"/>
      <c r="AO349" s="77"/>
      <c r="AP349" s="77"/>
      <c r="AQ349" s="77"/>
      <c r="AR349" s="77"/>
      <c r="AS349" s="77"/>
      <c r="AT349" s="77"/>
      <c r="AU349" s="77"/>
      <c r="AV349" s="83" t="str">
        <f>HYPERLINK("https://pbs.twimg.com/profile_images/1559584982439444482/vOVkFGh3_normal.png")</f>
        <v>https://pbs.twimg.com/profile_images/1559584982439444482/vOVkFGh3_normal.png</v>
      </c>
      <c r="AW349" s="81" t="s">
        <v>1066</v>
      </c>
      <c r="AX349" s="81" t="s">
        <v>1067</v>
      </c>
      <c r="AY349" s="81" t="s">
        <v>1177</v>
      </c>
      <c r="AZ349" s="81" t="s">
        <v>1067</v>
      </c>
      <c r="BA349" s="81" t="s">
        <v>1190</v>
      </c>
      <c r="BB349" s="81" t="s">
        <v>1190</v>
      </c>
      <c r="BC349" s="81" t="s">
        <v>1067</v>
      </c>
      <c r="BD349" s="77">
        <v>8442592</v>
      </c>
      <c r="BE349" s="77"/>
      <c r="BF349" s="77"/>
      <c r="BG349" s="77"/>
      <c r="BH349" s="77"/>
      <c r="BI349" s="77"/>
      <c r="BJ349">
        <v>1</v>
      </c>
      <c r="BK349" s="76" t="str">
        <f>REPLACE(INDEX(GroupVertices[Group],MATCH(Edges[[#This Row],[Vertex 1]],GroupVertices[Vertex],0)),1,1,"")</f>
        <v>2</v>
      </c>
      <c r="BL349" s="76" t="str">
        <f>REPLACE(INDEX(GroupVertices[Group],MATCH(Edges[[#This Row],[Vertex 2]],GroupVertices[Vertex],0)),1,1,"")</f>
        <v>2</v>
      </c>
      <c r="BM349" s="45"/>
      <c r="BN349" s="46"/>
      <c r="BO349" s="45"/>
      <c r="BP349" s="46"/>
      <c r="BQ349" s="45"/>
      <c r="BR349" s="46"/>
      <c r="BS349" s="45"/>
      <c r="BT349" s="46"/>
      <c r="BU349" s="45"/>
    </row>
    <row r="350" spans="1:73" ht="15">
      <c r="A350" s="61" t="s">
        <v>234</v>
      </c>
      <c r="B350" s="61" t="s">
        <v>234</v>
      </c>
      <c r="C350" s="62" t="s">
        <v>11692</v>
      </c>
      <c r="D350" s="63">
        <v>3</v>
      </c>
      <c r="E350" s="64" t="s">
        <v>132</v>
      </c>
      <c r="F350" s="65">
        <v>32</v>
      </c>
      <c r="G350" s="62"/>
      <c r="H350" s="66"/>
      <c r="I350" s="67"/>
      <c r="J350" s="67"/>
      <c r="K350" s="31" t="s">
        <v>65</v>
      </c>
      <c r="L350" s="75">
        <v>350</v>
      </c>
      <c r="M350" s="75"/>
      <c r="N350" s="69"/>
      <c r="O350" s="77" t="s">
        <v>178</v>
      </c>
      <c r="P350" s="79">
        <v>45148.677083333336</v>
      </c>
      <c r="Q350" s="77" t="s">
        <v>585</v>
      </c>
      <c r="R350" s="77">
        <v>1</v>
      </c>
      <c r="S350" s="77">
        <v>21</v>
      </c>
      <c r="T350" s="77">
        <v>0</v>
      </c>
      <c r="U350" s="77">
        <v>1</v>
      </c>
      <c r="V350" s="77">
        <v>1917</v>
      </c>
      <c r="W350" s="81" t="s">
        <v>693</v>
      </c>
      <c r="X350" s="83" t="str">
        <f>HYPERLINK("https://community.aejmc.org/conference/opportunities/2023-sponsors")</f>
        <v>https://community.aejmc.org/conference/opportunities/2023-sponsors</v>
      </c>
      <c r="Y350" s="77" t="s">
        <v>743</v>
      </c>
      <c r="Z350" s="77"/>
      <c r="AA350" s="77" t="s">
        <v>830</v>
      </c>
      <c r="AB350" s="77" t="s">
        <v>848</v>
      </c>
      <c r="AC350" s="81" t="s">
        <v>853</v>
      </c>
      <c r="AD350" s="77" t="s">
        <v>859</v>
      </c>
      <c r="AE350" s="83" t="str">
        <f>HYPERLINK("https://twitter.com/aejmc/status/1689671698734587904")</f>
        <v>https://twitter.com/aejmc/status/1689671698734587904</v>
      </c>
      <c r="AF350" s="79">
        <v>45148.677083333336</v>
      </c>
      <c r="AG350" s="85">
        <v>45148</v>
      </c>
      <c r="AH350" s="81" t="s">
        <v>913</v>
      </c>
      <c r="AI350" s="77" t="b">
        <v>0</v>
      </c>
      <c r="AJ350" s="77"/>
      <c r="AK350" s="77"/>
      <c r="AL350" s="77"/>
      <c r="AM350" s="77"/>
      <c r="AN350" s="77"/>
      <c r="AO350" s="77"/>
      <c r="AP350" s="77"/>
      <c r="AQ350" s="77" t="s">
        <v>1009</v>
      </c>
      <c r="AR350" s="77"/>
      <c r="AS350" s="77"/>
      <c r="AT350" s="77"/>
      <c r="AU350" s="77"/>
      <c r="AV350" s="83" t="str">
        <f>HYPERLINK("https://pbs.twimg.com/media/F2iajR6XIAAgAQT.jpg")</f>
        <v>https://pbs.twimg.com/media/F2iajR6XIAAgAQT.jpg</v>
      </c>
      <c r="AW350" s="81" t="s">
        <v>1068</v>
      </c>
      <c r="AX350" s="81" t="s">
        <v>1068</v>
      </c>
      <c r="AY350" s="77"/>
      <c r="AZ350" s="81" t="s">
        <v>1190</v>
      </c>
      <c r="BA350" s="81" t="s">
        <v>1190</v>
      </c>
      <c r="BB350" s="81" t="s">
        <v>1190</v>
      </c>
      <c r="BC350" s="81" t="s">
        <v>1068</v>
      </c>
      <c r="BD350" s="77">
        <v>8442592</v>
      </c>
      <c r="BE350" s="77"/>
      <c r="BF350" s="77"/>
      <c r="BG350" s="77"/>
      <c r="BH350" s="77"/>
      <c r="BI350" s="77"/>
      <c r="BJ350">
        <v>1</v>
      </c>
      <c r="BK350" s="76" t="str">
        <f>REPLACE(INDEX(GroupVertices[Group],MATCH(Edges[[#This Row],[Vertex 1]],GroupVertices[Vertex],0)),1,1,"")</f>
        <v>2</v>
      </c>
      <c r="BL350" s="76" t="str">
        <f>REPLACE(INDEX(GroupVertices[Group],MATCH(Edges[[#This Row],[Vertex 2]],GroupVertices[Vertex],0)),1,1,"")</f>
        <v>2</v>
      </c>
      <c r="BM350" s="45">
        <v>5</v>
      </c>
      <c r="BN350" s="46">
        <v>17.24137931034483</v>
      </c>
      <c r="BO350" s="45">
        <v>0</v>
      </c>
      <c r="BP350" s="46">
        <v>0</v>
      </c>
      <c r="BQ350" s="45">
        <v>0</v>
      </c>
      <c r="BR350" s="46">
        <v>0</v>
      </c>
      <c r="BS350" s="45">
        <v>8</v>
      </c>
      <c r="BT350" s="46">
        <v>27.586206896551722</v>
      </c>
      <c r="BU350" s="45">
        <v>29</v>
      </c>
    </row>
    <row r="351" spans="1:73" ht="15">
      <c r="A351" s="61" t="s">
        <v>228</v>
      </c>
      <c r="B351" s="61" t="s">
        <v>234</v>
      </c>
      <c r="C351" s="62" t="s">
        <v>11693</v>
      </c>
      <c r="D351" s="63">
        <v>4.4</v>
      </c>
      <c r="E351" s="64" t="s">
        <v>132</v>
      </c>
      <c r="F351" s="65">
        <v>27.6</v>
      </c>
      <c r="G351" s="62"/>
      <c r="H351" s="66"/>
      <c r="I351" s="67"/>
      <c r="J351" s="67"/>
      <c r="K351" s="31" t="s">
        <v>66</v>
      </c>
      <c r="L351" s="75">
        <v>351</v>
      </c>
      <c r="M351" s="75"/>
      <c r="N351" s="69"/>
      <c r="O351" s="77" t="s">
        <v>539</v>
      </c>
      <c r="P351" s="79">
        <v>45149.00141203704</v>
      </c>
      <c r="Q351" s="77" t="s">
        <v>560</v>
      </c>
      <c r="R351" s="77">
        <v>2</v>
      </c>
      <c r="S351" s="77">
        <v>10</v>
      </c>
      <c r="T351" s="77">
        <v>0</v>
      </c>
      <c r="U351" s="77">
        <v>1</v>
      </c>
      <c r="V351" s="77">
        <v>729</v>
      </c>
      <c r="W351" s="81" t="s">
        <v>673</v>
      </c>
      <c r="X351" s="83" t="str">
        <f>HYPERLINK("https://bit.ly/3QzmnNR")</f>
        <v>https://bit.ly/3QzmnNR</v>
      </c>
      <c r="Y351" s="77" t="s">
        <v>740</v>
      </c>
      <c r="Z351" s="77" t="s">
        <v>758</v>
      </c>
      <c r="AA351" s="77"/>
      <c r="AB351" s="77"/>
      <c r="AC351" s="81" t="s">
        <v>853</v>
      </c>
      <c r="AD351" s="77" t="s">
        <v>859</v>
      </c>
      <c r="AE351" s="83" t="str">
        <f>HYPERLINK("https://twitter.com/nodexl/status/1689789233823887360")</f>
        <v>https://twitter.com/nodexl/status/1689789233823887360</v>
      </c>
      <c r="AF351" s="79">
        <v>45149.00141203704</v>
      </c>
      <c r="AG351" s="85">
        <v>45149</v>
      </c>
      <c r="AH351" s="81" t="s">
        <v>887</v>
      </c>
      <c r="AI351" s="77" t="b">
        <v>0</v>
      </c>
      <c r="AJ351" s="77"/>
      <c r="AK351" s="77"/>
      <c r="AL351" s="77"/>
      <c r="AM351" s="77"/>
      <c r="AN351" s="77"/>
      <c r="AO351" s="77"/>
      <c r="AP351" s="77"/>
      <c r="AQ351" s="77"/>
      <c r="AR351" s="77"/>
      <c r="AS351" s="77"/>
      <c r="AT351" s="77"/>
      <c r="AU351" s="77"/>
      <c r="AV351" s="83" t="str">
        <f>HYPERLINK("https://pbs.twimg.com/profile_images/849132774661308416/pa2Uplq1_normal.jpg")</f>
        <v>https://pbs.twimg.com/profile_images/849132774661308416/pa2Uplq1_normal.jpg</v>
      </c>
      <c r="AW351" s="81" t="s">
        <v>1042</v>
      </c>
      <c r="AX351" s="81" t="s">
        <v>1042</v>
      </c>
      <c r="AY351" s="77"/>
      <c r="AZ351" s="81" t="s">
        <v>1190</v>
      </c>
      <c r="BA351" s="81" t="s">
        <v>1190</v>
      </c>
      <c r="BB351" s="81" t="s">
        <v>1190</v>
      </c>
      <c r="BC351" s="81" t="s">
        <v>1042</v>
      </c>
      <c r="BD351" s="77">
        <v>87606674</v>
      </c>
      <c r="BE351" s="77"/>
      <c r="BF351" s="77"/>
      <c r="BG351" s="77"/>
      <c r="BH351" s="77"/>
      <c r="BI351" s="77"/>
      <c r="BJ351">
        <v>2</v>
      </c>
      <c r="BK351" s="76" t="str">
        <f>REPLACE(INDEX(GroupVertices[Group],MATCH(Edges[[#This Row],[Vertex 1]],GroupVertices[Vertex],0)),1,1,"")</f>
        <v>2</v>
      </c>
      <c r="BL351" s="76" t="str">
        <f>REPLACE(INDEX(GroupVertices[Group],MATCH(Edges[[#This Row],[Vertex 2]],GroupVertices[Vertex],0)),1,1,"")</f>
        <v>2</v>
      </c>
      <c r="BM351" s="45"/>
      <c r="BN351" s="46"/>
      <c r="BO351" s="45"/>
      <c r="BP351" s="46"/>
      <c r="BQ351" s="45"/>
      <c r="BR351" s="46"/>
      <c r="BS351" s="45"/>
      <c r="BT351" s="46"/>
      <c r="BU351" s="45"/>
    </row>
    <row r="352" spans="1:73" ht="15">
      <c r="A352" s="61" t="s">
        <v>228</v>
      </c>
      <c r="B352" s="61" t="s">
        <v>234</v>
      </c>
      <c r="C352" s="62" t="s">
        <v>11693</v>
      </c>
      <c r="D352" s="63">
        <v>4.4</v>
      </c>
      <c r="E352" s="64" t="s">
        <v>132</v>
      </c>
      <c r="F352" s="65">
        <v>27.6</v>
      </c>
      <c r="G352" s="62"/>
      <c r="H352" s="66"/>
      <c r="I352" s="67"/>
      <c r="J352" s="67"/>
      <c r="K352" s="31" t="s">
        <v>66</v>
      </c>
      <c r="L352" s="75">
        <v>352</v>
      </c>
      <c r="M352" s="75"/>
      <c r="N352" s="69"/>
      <c r="O352" s="77" t="s">
        <v>539</v>
      </c>
      <c r="P352" s="79">
        <v>45148.72865740741</v>
      </c>
      <c r="Q352" s="77" t="s">
        <v>562</v>
      </c>
      <c r="R352" s="77">
        <v>4</v>
      </c>
      <c r="S352" s="77">
        <v>11</v>
      </c>
      <c r="T352" s="77">
        <v>2</v>
      </c>
      <c r="U352" s="77">
        <v>1</v>
      </c>
      <c r="V352" s="77">
        <v>1464</v>
      </c>
      <c r="W352" s="81" t="s">
        <v>675</v>
      </c>
      <c r="X352" s="83" t="str">
        <f>HYPERLINK("https://bit.ly/3OxATCU")</f>
        <v>https://bit.ly/3OxATCU</v>
      </c>
      <c r="Y352" s="77" t="s">
        <v>740</v>
      </c>
      <c r="Z352" s="77" t="s">
        <v>760</v>
      </c>
      <c r="AA352" s="77"/>
      <c r="AB352" s="77"/>
      <c r="AC352" s="81" t="s">
        <v>857</v>
      </c>
      <c r="AD352" s="77" t="s">
        <v>859</v>
      </c>
      <c r="AE352" s="83" t="str">
        <f>HYPERLINK("https://twitter.com/nodexl/status/1689690391602450432")</f>
        <v>https://twitter.com/nodexl/status/1689690391602450432</v>
      </c>
      <c r="AF352" s="79">
        <v>45148.72865740741</v>
      </c>
      <c r="AG352" s="85">
        <v>45148</v>
      </c>
      <c r="AH352" s="81" t="s">
        <v>889</v>
      </c>
      <c r="AI352" s="77" t="b">
        <v>0</v>
      </c>
      <c r="AJ352" s="77"/>
      <c r="AK352" s="77"/>
      <c r="AL352" s="77"/>
      <c r="AM352" s="77"/>
      <c r="AN352" s="77"/>
      <c r="AO352" s="77"/>
      <c r="AP352" s="77"/>
      <c r="AQ352" s="77"/>
      <c r="AR352" s="77"/>
      <c r="AS352" s="77"/>
      <c r="AT352" s="77"/>
      <c r="AU352" s="77"/>
      <c r="AV352" s="83" t="str">
        <f>HYPERLINK("https://pbs.twimg.com/profile_images/849132774661308416/pa2Uplq1_normal.jpg")</f>
        <v>https://pbs.twimg.com/profile_images/849132774661308416/pa2Uplq1_normal.jpg</v>
      </c>
      <c r="AW352" s="81" t="s">
        <v>1044</v>
      </c>
      <c r="AX352" s="81" t="s">
        <v>1044</v>
      </c>
      <c r="AY352" s="77"/>
      <c r="AZ352" s="81" t="s">
        <v>1190</v>
      </c>
      <c r="BA352" s="81" t="s">
        <v>1190</v>
      </c>
      <c r="BB352" s="81" t="s">
        <v>1190</v>
      </c>
      <c r="BC352" s="81" t="s">
        <v>1044</v>
      </c>
      <c r="BD352" s="77">
        <v>87606674</v>
      </c>
      <c r="BE352" s="77"/>
      <c r="BF352" s="77"/>
      <c r="BG352" s="77"/>
      <c r="BH352" s="77"/>
      <c r="BI352" s="77"/>
      <c r="BJ352">
        <v>2</v>
      </c>
      <c r="BK352" s="76" t="str">
        <f>REPLACE(INDEX(GroupVertices[Group],MATCH(Edges[[#This Row],[Vertex 1]],GroupVertices[Vertex],0)),1,1,"")</f>
        <v>2</v>
      </c>
      <c r="BL352" s="76" t="str">
        <f>REPLACE(INDEX(GroupVertices[Group],MATCH(Edges[[#This Row],[Vertex 2]],GroupVertices[Vertex],0)),1,1,"")</f>
        <v>2</v>
      </c>
      <c r="BM352" s="45">
        <v>1</v>
      </c>
      <c r="BN352" s="46">
        <v>4</v>
      </c>
      <c r="BO352" s="45">
        <v>0</v>
      </c>
      <c r="BP352" s="46">
        <v>0</v>
      </c>
      <c r="BQ352" s="45">
        <v>0</v>
      </c>
      <c r="BR352" s="46">
        <v>0</v>
      </c>
      <c r="BS352" s="45">
        <v>23</v>
      </c>
      <c r="BT352" s="46">
        <v>92</v>
      </c>
      <c r="BU352" s="45">
        <v>25</v>
      </c>
    </row>
    <row r="353" spans="1:73" ht="15">
      <c r="A353" s="61" t="s">
        <v>235</v>
      </c>
      <c r="B353" s="61" t="s">
        <v>234</v>
      </c>
      <c r="C353" s="62" t="s">
        <v>11692</v>
      </c>
      <c r="D353" s="63">
        <v>3</v>
      </c>
      <c r="E353" s="64" t="s">
        <v>132</v>
      </c>
      <c r="F353" s="65">
        <v>32</v>
      </c>
      <c r="G353" s="62"/>
      <c r="H353" s="66"/>
      <c r="I353" s="67"/>
      <c r="J353" s="67"/>
      <c r="K353" s="31" t="s">
        <v>66</v>
      </c>
      <c r="L353" s="75">
        <v>353</v>
      </c>
      <c r="M353" s="75"/>
      <c r="N353" s="69"/>
      <c r="O353" s="77" t="s">
        <v>544</v>
      </c>
      <c r="P353" s="79">
        <v>45148.727951388886</v>
      </c>
      <c r="Q353" s="77" t="s">
        <v>584</v>
      </c>
      <c r="R353" s="77">
        <v>1</v>
      </c>
      <c r="S353" s="77">
        <v>8</v>
      </c>
      <c r="T353" s="77">
        <v>1</v>
      </c>
      <c r="U353" s="77">
        <v>1</v>
      </c>
      <c r="V353" s="77">
        <v>884</v>
      </c>
      <c r="W353" s="81" t="s">
        <v>692</v>
      </c>
      <c r="X353" s="77"/>
      <c r="Y353" s="77"/>
      <c r="Z353" s="77" t="s">
        <v>778</v>
      </c>
      <c r="AA353" s="77"/>
      <c r="AB353" s="77"/>
      <c r="AC353" s="81" t="s">
        <v>857</v>
      </c>
      <c r="AD353" s="77" t="s">
        <v>859</v>
      </c>
      <c r="AE353" s="83" t="str">
        <f>HYPERLINK("https://twitter.com/jeremyhl/status/1689690132457103360")</f>
        <v>https://twitter.com/jeremyhl/status/1689690132457103360</v>
      </c>
      <c r="AF353" s="79">
        <v>45148.727951388886</v>
      </c>
      <c r="AG353" s="85">
        <v>45148</v>
      </c>
      <c r="AH353" s="81" t="s">
        <v>912</v>
      </c>
      <c r="AI353" s="77"/>
      <c r="AJ353" s="77"/>
      <c r="AK353" s="77"/>
      <c r="AL353" s="77"/>
      <c r="AM353" s="77"/>
      <c r="AN353" s="77"/>
      <c r="AO353" s="77"/>
      <c r="AP353" s="77"/>
      <c r="AQ353" s="77"/>
      <c r="AR353" s="77"/>
      <c r="AS353" s="77"/>
      <c r="AT353" s="77"/>
      <c r="AU353" s="77"/>
      <c r="AV353" s="83" t="str">
        <f>HYPERLINK("https://pbs.twimg.com/profile_images/912667889395798022/pMoB2qc8_normal.jpg")</f>
        <v>https://pbs.twimg.com/profile_images/912667889395798022/pMoB2qc8_normal.jpg</v>
      </c>
      <c r="AW353" s="81" t="s">
        <v>1067</v>
      </c>
      <c r="AX353" s="81" t="s">
        <v>1067</v>
      </c>
      <c r="AY353" s="77"/>
      <c r="AZ353" s="81" t="s">
        <v>1190</v>
      </c>
      <c r="BA353" s="81" t="s">
        <v>1068</v>
      </c>
      <c r="BB353" s="81" t="s">
        <v>1190</v>
      </c>
      <c r="BC353" s="81" t="s">
        <v>1068</v>
      </c>
      <c r="BD353" s="77">
        <v>12006842</v>
      </c>
      <c r="BE353" s="77"/>
      <c r="BF353" s="77"/>
      <c r="BG353" s="77"/>
      <c r="BH353" s="77"/>
      <c r="BI353" s="77"/>
      <c r="BJ353">
        <v>1</v>
      </c>
      <c r="BK353" s="76" t="str">
        <f>REPLACE(INDEX(GroupVertices[Group],MATCH(Edges[[#This Row],[Vertex 1]],GroupVertices[Vertex],0)),1,1,"")</f>
        <v>2</v>
      </c>
      <c r="BL353" s="76" t="str">
        <f>REPLACE(INDEX(GroupVertices[Group],MATCH(Edges[[#This Row],[Vertex 2]],GroupVertices[Vertex],0)),1,1,"")</f>
        <v>2</v>
      </c>
      <c r="BM353" s="45"/>
      <c r="BN353" s="46"/>
      <c r="BO353" s="45"/>
      <c r="BP353" s="46"/>
      <c r="BQ353" s="45"/>
      <c r="BR353" s="46"/>
      <c r="BS353" s="45"/>
      <c r="BT353" s="46"/>
      <c r="BU353" s="45"/>
    </row>
    <row r="354" spans="1:73" ht="15">
      <c r="A354" s="61" t="s">
        <v>235</v>
      </c>
      <c r="B354" s="61" t="s">
        <v>234</v>
      </c>
      <c r="C354" s="62" t="s">
        <v>11692</v>
      </c>
      <c r="D354" s="63">
        <v>3</v>
      </c>
      <c r="E354" s="64" t="s">
        <v>132</v>
      </c>
      <c r="F354" s="65">
        <v>32</v>
      </c>
      <c r="G354" s="62"/>
      <c r="H354" s="66"/>
      <c r="I354" s="67"/>
      <c r="J354" s="67"/>
      <c r="K354" s="31" t="s">
        <v>66</v>
      </c>
      <c r="L354" s="75">
        <v>354</v>
      </c>
      <c r="M354" s="75"/>
      <c r="N354" s="69"/>
      <c r="O354" s="77" t="s">
        <v>542</v>
      </c>
      <c r="P354" s="79">
        <v>45148.727951388886</v>
      </c>
      <c r="Q354" s="77" t="s">
        <v>584</v>
      </c>
      <c r="R354" s="77">
        <v>1</v>
      </c>
      <c r="S354" s="77">
        <v>8</v>
      </c>
      <c r="T354" s="77">
        <v>1</v>
      </c>
      <c r="U354" s="77">
        <v>1</v>
      </c>
      <c r="V354" s="77">
        <v>884</v>
      </c>
      <c r="W354" s="81" t="s">
        <v>692</v>
      </c>
      <c r="X354" s="77"/>
      <c r="Y354" s="77"/>
      <c r="Z354" s="77" t="s">
        <v>778</v>
      </c>
      <c r="AA354" s="77"/>
      <c r="AB354" s="77"/>
      <c r="AC354" s="81" t="s">
        <v>857</v>
      </c>
      <c r="AD354" s="77" t="s">
        <v>859</v>
      </c>
      <c r="AE354" s="83" t="str">
        <f>HYPERLINK("https://twitter.com/jeremyhl/status/1689690132457103360")</f>
        <v>https://twitter.com/jeremyhl/status/1689690132457103360</v>
      </c>
      <c r="AF354" s="79">
        <v>45148.727951388886</v>
      </c>
      <c r="AG354" s="85">
        <v>45148</v>
      </c>
      <c r="AH354" s="81" t="s">
        <v>912</v>
      </c>
      <c r="AI354" s="77"/>
      <c r="AJ354" s="77"/>
      <c r="AK354" s="77"/>
      <c r="AL354" s="77"/>
      <c r="AM354" s="77"/>
      <c r="AN354" s="77"/>
      <c r="AO354" s="77"/>
      <c r="AP354" s="77"/>
      <c r="AQ354" s="77"/>
      <c r="AR354" s="77"/>
      <c r="AS354" s="77"/>
      <c r="AT354" s="77"/>
      <c r="AU354" s="77"/>
      <c r="AV354" s="83" t="str">
        <f>HYPERLINK("https://pbs.twimg.com/profile_images/912667889395798022/pMoB2qc8_normal.jpg")</f>
        <v>https://pbs.twimg.com/profile_images/912667889395798022/pMoB2qc8_normal.jpg</v>
      </c>
      <c r="AW354" s="81" t="s">
        <v>1067</v>
      </c>
      <c r="AX354" s="81" t="s">
        <v>1067</v>
      </c>
      <c r="AY354" s="77"/>
      <c r="AZ354" s="81" t="s">
        <v>1190</v>
      </c>
      <c r="BA354" s="81" t="s">
        <v>1068</v>
      </c>
      <c r="BB354" s="81" t="s">
        <v>1190</v>
      </c>
      <c r="BC354" s="81" t="s">
        <v>1068</v>
      </c>
      <c r="BD354" s="77">
        <v>12006842</v>
      </c>
      <c r="BE354" s="77"/>
      <c r="BF354" s="77"/>
      <c r="BG354" s="77"/>
      <c r="BH354" s="77"/>
      <c r="BI354" s="77"/>
      <c r="BJ354">
        <v>1</v>
      </c>
      <c r="BK354" s="76" t="str">
        <f>REPLACE(INDEX(GroupVertices[Group],MATCH(Edges[[#This Row],[Vertex 1]],GroupVertices[Vertex],0)),1,1,"")</f>
        <v>2</v>
      </c>
      <c r="BL354" s="76" t="str">
        <f>REPLACE(INDEX(GroupVertices[Group],MATCH(Edges[[#This Row],[Vertex 2]],GroupVertices[Vertex],0)),1,1,"")</f>
        <v>2</v>
      </c>
      <c r="BM354" s="45"/>
      <c r="BN354" s="46"/>
      <c r="BO354" s="45"/>
      <c r="BP354" s="46"/>
      <c r="BQ354" s="45"/>
      <c r="BR354" s="46"/>
      <c r="BS354" s="45"/>
      <c r="BT354" s="46"/>
      <c r="BU354" s="45"/>
    </row>
    <row r="355" spans="1:73" ht="15">
      <c r="A355" s="61" t="s">
        <v>235</v>
      </c>
      <c r="B355" s="61" t="s">
        <v>234</v>
      </c>
      <c r="C355" s="62" t="s">
        <v>11692</v>
      </c>
      <c r="D355" s="63">
        <v>3</v>
      </c>
      <c r="E355" s="64" t="s">
        <v>132</v>
      </c>
      <c r="F355" s="65">
        <v>32</v>
      </c>
      <c r="G355" s="62"/>
      <c r="H355" s="66"/>
      <c r="I355" s="67"/>
      <c r="J355" s="67"/>
      <c r="K355" s="31" t="s">
        <v>66</v>
      </c>
      <c r="L355" s="75">
        <v>355</v>
      </c>
      <c r="M355" s="75"/>
      <c r="N355" s="69"/>
      <c r="O355" s="77" t="s">
        <v>539</v>
      </c>
      <c r="P355" s="79">
        <v>45149.15255787037</v>
      </c>
      <c r="Q355" s="77" t="s">
        <v>586</v>
      </c>
      <c r="R355" s="77">
        <v>4</v>
      </c>
      <c r="S355" s="77">
        <v>6</v>
      </c>
      <c r="T355" s="77">
        <v>0</v>
      </c>
      <c r="U355" s="77">
        <v>0</v>
      </c>
      <c r="V355" s="77">
        <v>377</v>
      </c>
      <c r="W355" s="81" t="s">
        <v>694</v>
      </c>
      <c r="X355"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355" s="77" t="s">
        <v>744</v>
      </c>
      <c r="Z355" s="77" t="s">
        <v>779</v>
      </c>
      <c r="AA355" s="77" t="s">
        <v>831</v>
      </c>
      <c r="AB355" s="77" t="s">
        <v>848</v>
      </c>
      <c r="AC355" s="81" t="s">
        <v>857</v>
      </c>
      <c r="AD355" s="77" t="s">
        <v>859</v>
      </c>
      <c r="AE355" s="83" t="str">
        <f>HYPERLINK("https://twitter.com/jeremyhl/status/1689844008007176192")</f>
        <v>https://twitter.com/jeremyhl/status/1689844008007176192</v>
      </c>
      <c r="AF355" s="79">
        <v>45149.15255787037</v>
      </c>
      <c r="AG355" s="85">
        <v>45149</v>
      </c>
      <c r="AH355" s="81" t="s">
        <v>914</v>
      </c>
      <c r="AI355" s="77" t="b">
        <v>0</v>
      </c>
      <c r="AJ355" s="77"/>
      <c r="AK355" s="77"/>
      <c r="AL355" s="77"/>
      <c r="AM355" s="77"/>
      <c r="AN355" s="77"/>
      <c r="AO355" s="77"/>
      <c r="AP355" s="77"/>
      <c r="AQ355" s="77" t="s">
        <v>1010</v>
      </c>
      <c r="AR355" s="77"/>
      <c r="AS355" s="77"/>
      <c r="AT355" s="77"/>
      <c r="AU355" s="77"/>
      <c r="AV355" s="83" t="str">
        <f>HYPERLINK("https://pbs.twimg.com/media/F3OIK0KXwAAino2.jpg")</f>
        <v>https://pbs.twimg.com/media/F3OIK0KXwAAino2.jpg</v>
      </c>
      <c r="AW355" s="81" t="s">
        <v>1069</v>
      </c>
      <c r="AX355" s="81" t="s">
        <v>1069</v>
      </c>
      <c r="AY355" s="77"/>
      <c r="AZ355" s="81" t="s">
        <v>1190</v>
      </c>
      <c r="BA355" s="81" t="s">
        <v>1190</v>
      </c>
      <c r="BB355" s="81" t="s">
        <v>1190</v>
      </c>
      <c r="BC355" s="81" t="s">
        <v>1069</v>
      </c>
      <c r="BD355" s="77">
        <v>12006842</v>
      </c>
      <c r="BE355" s="77"/>
      <c r="BF355" s="77"/>
      <c r="BG355" s="77"/>
      <c r="BH355" s="77"/>
      <c r="BI355" s="77"/>
      <c r="BJ355">
        <v>1</v>
      </c>
      <c r="BK355" s="76" t="str">
        <f>REPLACE(INDEX(GroupVertices[Group],MATCH(Edges[[#This Row],[Vertex 1]],GroupVertices[Vertex],0)),1,1,"")</f>
        <v>2</v>
      </c>
      <c r="BL355" s="76" t="str">
        <f>REPLACE(INDEX(GroupVertices[Group],MATCH(Edges[[#This Row],[Vertex 2]],GroupVertices[Vertex],0)),1,1,"")</f>
        <v>2</v>
      </c>
      <c r="BM355" s="45"/>
      <c r="BN355" s="46"/>
      <c r="BO355" s="45"/>
      <c r="BP355" s="46"/>
      <c r="BQ355" s="45"/>
      <c r="BR355" s="46"/>
      <c r="BS355" s="45"/>
      <c r="BT355" s="46"/>
      <c r="BU355" s="45"/>
    </row>
    <row r="356" spans="1:73" ht="15">
      <c r="A356" s="61" t="s">
        <v>236</v>
      </c>
      <c r="B356" s="61" t="s">
        <v>236</v>
      </c>
      <c r="C356" s="62" t="s">
        <v>11692</v>
      </c>
      <c r="D356" s="63">
        <v>3</v>
      </c>
      <c r="E356" s="64" t="s">
        <v>132</v>
      </c>
      <c r="F356" s="65">
        <v>32</v>
      </c>
      <c r="G356" s="62"/>
      <c r="H356" s="66"/>
      <c r="I356" s="67"/>
      <c r="J356" s="67"/>
      <c r="K356" s="31" t="s">
        <v>65</v>
      </c>
      <c r="L356" s="75">
        <v>356</v>
      </c>
      <c r="M356" s="75"/>
      <c r="N356" s="69"/>
      <c r="O356" s="77" t="s">
        <v>178</v>
      </c>
      <c r="P356" s="79">
        <v>45141.0721875</v>
      </c>
      <c r="Q356" s="77" t="s">
        <v>587</v>
      </c>
      <c r="R356" s="77">
        <v>0</v>
      </c>
      <c r="S356" s="77">
        <v>0</v>
      </c>
      <c r="T356" s="77">
        <v>1</v>
      </c>
      <c r="U356" s="77">
        <v>0</v>
      </c>
      <c r="V356" s="77">
        <v>32</v>
      </c>
      <c r="W356" s="81" t="s">
        <v>695</v>
      </c>
      <c r="X356" s="77"/>
      <c r="Y356" s="77"/>
      <c r="Z356" s="77"/>
      <c r="AA356" s="77"/>
      <c r="AB356" s="77"/>
      <c r="AC356" s="81" t="s">
        <v>853</v>
      </c>
      <c r="AD356" s="77" t="s">
        <v>859</v>
      </c>
      <c r="AE356" s="83" t="str">
        <f>HYPERLINK("https://twitter.com/haokun_guo/status/1686915778979971072")</f>
        <v>https://twitter.com/haokun_guo/status/1686915778979971072</v>
      </c>
      <c r="AF356" s="79">
        <v>45141.0721875</v>
      </c>
      <c r="AG356" s="85">
        <v>45141</v>
      </c>
      <c r="AH356" s="81" t="s">
        <v>915</v>
      </c>
      <c r="AI356" s="77"/>
      <c r="AJ356" s="77"/>
      <c r="AK356" s="77"/>
      <c r="AL356" s="77"/>
      <c r="AM356" s="77"/>
      <c r="AN356" s="77"/>
      <c r="AO356" s="77"/>
      <c r="AP356" s="77"/>
      <c r="AQ356" s="77"/>
      <c r="AR356" s="77"/>
      <c r="AS356" s="77"/>
      <c r="AT356" s="77"/>
      <c r="AU356" s="77"/>
      <c r="AV356" s="83" t="str">
        <f>HYPERLINK("https://pbs.twimg.com/profile_images/1684389369912893440/cpA93-OT_normal.jpg")</f>
        <v>https://pbs.twimg.com/profile_images/1684389369912893440/cpA93-OT_normal.jpg</v>
      </c>
      <c r="AW356" s="81" t="s">
        <v>1070</v>
      </c>
      <c r="AX356" s="81" t="s">
        <v>1070</v>
      </c>
      <c r="AY356" s="77"/>
      <c r="AZ356" s="81" t="s">
        <v>1190</v>
      </c>
      <c r="BA356" s="81" t="s">
        <v>1190</v>
      </c>
      <c r="BB356" s="81" t="s">
        <v>1190</v>
      </c>
      <c r="BC356" s="81" t="s">
        <v>1070</v>
      </c>
      <c r="BD356" s="81" t="s">
        <v>1203</v>
      </c>
      <c r="BE356" s="77"/>
      <c r="BF356" s="77"/>
      <c r="BG356" s="77"/>
      <c r="BH356" s="77"/>
      <c r="BI356" s="77"/>
      <c r="BJ356">
        <v>1</v>
      </c>
      <c r="BK356" s="76" t="str">
        <f>REPLACE(INDEX(GroupVertices[Group],MATCH(Edges[[#This Row],[Vertex 1]],GroupVertices[Vertex],0)),1,1,"")</f>
        <v>11</v>
      </c>
      <c r="BL356" s="76" t="str">
        <f>REPLACE(INDEX(GroupVertices[Group],MATCH(Edges[[#This Row],[Vertex 2]],GroupVertices[Vertex],0)),1,1,"")</f>
        <v>11</v>
      </c>
      <c r="BM356" s="45">
        <v>0</v>
      </c>
      <c r="BN356" s="46">
        <v>0</v>
      </c>
      <c r="BO356" s="45">
        <v>1</v>
      </c>
      <c r="BP356" s="46">
        <v>2.380952380952381</v>
      </c>
      <c r="BQ356" s="45">
        <v>0</v>
      </c>
      <c r="BR356" s="46">
        <v>0</v>
      </c>
      <c r="BS356" s="45">
        <v>24</v>
      </c>
      <c r="BT356" s="46">
        <v>57.142857142857146</v>
      </c>
      <c r="BU356" s="45">
        <v>42</v>
      </c>
    </row>
    <row r="357" spans="1:73" ht="15">
      <c r="A357" s="61" t="s">
        <v>237</v>
      </c>
      <c r="B357" s="61" t="s">
        <v>423</v>
      </c>
      <c r="C357" s="62" t="s">
        <v>11692</v>
      </c>
      <c r="D357" s="63">
        <v>3</v>
      </c>
      <c r="E357" s="64" t="s">
        <v>132</v>
      </c>
      <c r="F357" s="65">
        <v>32</v>
      </c>
      <c r="G357" s="62"/>
      <c r="H357" s="66"/>
      <c r="I357" s="67"/>
      <c r="J357" s="67"/>
      <c r="K357" s="31" t="s">
        <v>65</v>
      </c>
      <c r="L357" s="75">
        <v>357</v>
      </c>
      <c r="M357" s="75"/>
      <c r="N357" s="69"/>
      <c r="O357" s="77" t="s">
        <v>543</v>
      </c>
      <c r="P357" s="79">
        <v>45140.59193287037</v>
      </c>
      <c r="Q357" s="77" t="s">
        <v>588</v>
      </c>
      <c r="R357" s="77">
        <v>0</v>
      </c>
      <c r="S357" s="77">
        <v>5</v>
      </c>
      <c r="T357" s="77">
        <v>0</v>
      </c>
      <c r="U357" s="77">
        <v>0</v>
      </c>
      <c r="V357" s="77">
        <v>78</v>
      </c>
      <c r="W357" s="77"/>
      <c r="X357" s="77"/>
      <c r="Y357" s="77"/>
      <c r="Z357" s="77" t="s">
        <v>780</v>
      </c>
      <c r="AA357" s="77"/>
      <c r="AB357" s="77"/>
      <c r="AC357" s="81" t="s">
        <v>853</v>
      </c>
      <c r="AD357" s="77" t="s">
        <v>859</v>
      </c>
      <c r="AE357" s="83" t="str">
        <f>HYPERLINK("https://twitter.com/yatebyalublyu/status/1686741738180804608")</f>
        <v>https://twitter.com/yatebyalublyu/status/1686741738180804608</v>
      </c>
      <c r="AF357" s="79">
        <v>45140.59193287037</v>
      </c>
      <c r="AG357" s="85">
        <v>45140</v>
      </c>
      <c r="AH357" s="81" t="s">
        <v>916</v>
      </c>
      <c r="AI357" s="77"/>
      <c r="AJ357" s="77"/>
      <c r="AK357" s="77"/>
      <c r="AL357" s="77"/>
      <c r="AM357" s="77"/>
      <c r="AN357" s="77"/>
      <c r="AO357" s="77"/>
      <c r="AP357" s="77"/>
      <c r="AQ357" s="77"/>
      <c r="AR357" s="77"/>
      <c r="AS357" s="77"/>
      <c r="AT357" s="77"/>
      <c r="AU357" s="77"/>
      <c r="AV357" s="83" t="str">
        <f>HYPERLINK("https://pbs.twimg.com/profile_images/932477165307695104/K26IwKCq_normal.jpg")</f>
        <v>https://pbs.twimg.com/profile_images/932477165307695104/K26IwKCq_normal.jpg</v>
      </c>
      <c r="AW357" s="81" t="s">
        <v>1071</v>
      </c>
      <c r="AX357" s="81" t="s">
        <v>1157</v>
      </c>
      <c r="AY357" s="81" t="s">
        <v>1178</v>
      </c>
      <c r="AZ357" s="81" t="s">
        <v>1193</v>
      </c>
      <c r="BA357" s="81" t="s">
        <v>1190</v>
      </c>
      <c r="BB357" s="81" t="s">
        <v>1190</v>
      </c>
      <c r="BC357" s="81" t="s">
        <v>1193</v>
      </c>
      <c r="BD357" s="81" t="s">
        <v>1204</v>
      </c>
      <c r="BE357" s="77"/>
      <c r="BF357" s="77"/>
      <c r="BG357" s="77"/>
      <c r="BH357" s="77"/>
      <c r="BI357" s="77"/>
      <c r="BJ357">
        <v>1</v>
      </c>
      <c r="BK357" s="76" t="str">
        <f>REPLACE(INDEX(GroupVertices[Group],MATCH(Edges[[#This Row],[Vertex 1]],GroupVertices[Vertex],0)),1,1,"")</f>
        <v>10</v>
      </c>
      <c r="BL357" s="76" t="str">
        <f>REPLACE(INDEX(GroupVertices[Group],MATCH(Edges[[#This Row],[Vertex 2]],GroupVertices[Vertex],0)),1,1,"")</f>
        <v>10</v>
      </c>
      <c r="BM357" s="45"/>
      <c r="BN357" s="46"/>
      <c r="BO357" s="45"/>
      <c r="BP357" s="46"/>
      <c r="BQ357" s="45"/>
      <c r="BR357" s="46"/>
      <c r="BS357" s="45"/>
      <c r="BT357" s="46"/>
      <c r="BU357" s="45"/>
    </row>
    <row r="358" spans="1:73" ht="15">
      <c r="A358" s="61" t="s">
        <v>237</v>
      </c>
      <c r="B358" s="61" t="s">
        <v>424</v>
      </c>
      <c r="C358" s="62" t="s">
        <v>11692</v>
      </c>
      <c r="D358" s="63">
        <v>3</v>
      </c>
      <c r="E358" s="64" t="s">
        <v>132</v>
      </c>
      <c r="F358" s="65">
        <v>32</v>
      </c>
      <c r="G358" s="62"/>
      <c r="H358" s="66"/>
      <c r="I358" s="67"/>
      <c r="J358" s="67"/>
      <c r="K358" s="31" t="s">
        <v>65</v>
      </c>
      <c r="L358" s="75">
        <v>358</v>
      </c>
      <c r="M358" s="75"/>
      <c r="N358" s="69"/>
      <c r="O358" s="77" t="s">
        <v>543</v>
      </c>
      <c r="P358" s="79">
        <v>45140.59193287037</v>
      </c>
      <c r="Q358" s="77" t="s">
        <v>588</v>
      </c>
      <c r="R358" s="77">
        <v>0</v>
      </c>
      <c r="S358" s="77">
        <v>5</v>
      </c>
      <c r="T358" s="77">
        <v>0</v>
      </c>
      <c r="U358" s="77">
        <v>0</v>
      </c>
      <c r="V358" s="77">
        <v>78</v>
      </c>
      <c r="W358" s="77"/>
      <c r="X358" s="77"/>
      <c r="Y358" s="77"/>
      <c r="Z358" s="77" t="s">
        <v>780</v>
      </c>
      <c r="AA358" s="77"/>
      <c r="AB358" s="77"/>
      <c r="AC358" s="81" t="s">
        <v>853</v>
      </c>
      <c r="AD358" s="77" t="s">
        <v>859</v>
      </c>
      <c r="AE358" s="83" t="str">
        <f>HYPERLINK("https://twitter.com/yatebyalublyu/status/1686741738180804608")</f>
        <v>https://twitter.com/yatebyalublyu/status/1686741738180804608</v>
      </c>
      <c r="AF358" s="79">
        <v>45140.59193287037</v>
      </c>
      <c r="AG358" s="85">
        <v>45140</v>
      </c>
      <c r="AH358" s="81" t="s">
        <v>916</v>
      </c>
      <c r="AI358" s="77"/>
      <c r="AJ358" s="77"/>
      <c r="AK358" s="77"/>
      <c r="AL358" s="77"/>
      <c r="AM358" s="77"/>
      <c r="AN358" s="77"/>
      <c r="AO358" s="77"/>
      <c r="AP358" s="77"/>
      <c r="AQ358" s="77"/>
      <c r="AR358" s="77"/>
      <c r="AS358" s="77"/>
      <c r="AT358" s="77"/>
      <c r="AU358" s="77"/>
      <c r="AV358" s="83" t="str">
        <f>HYPERLINK("https://pbs.twimg.com/profile_images/932477165307695104/K26IwKCq_normal.jpg")</f>
        <v>https://pbs.twimg.com/profile_images/932477165307695104/K26IwKCq_normal.jpg</v>
      </c>
      <c r="AW358" s="81" t="s">
        <v>1071</v>
      </c>
      <c r="AX358" s="81" t="s">
        <v>1157</v>
      </c>
      <c r="AY358" s="81" t="s">
        <v>1178</v>
      </c>
      <c r="AZ358" s="81" t="s">
        <v>1193</v>
      </c>
      <c r="BA358" s="81" t="s">
        <v>1190</v>
      </c>
      <c r="BB358" s="81" t="s">
        <v>1190</v>
      </c>
      <c r="BC358" s="81" t="s">
        <v>1193</v>
      </c>
      <c r="BD358" s="81" t="s">
        <v>1204</v>
      </c>
      <c r="BE358" s="77"/>
      <c r="BF358" s="77"/>
      <c r="BG358" s="77"/>
      <c r="BH358" s="77"/>
      <c r="BI358" s="77"/>
      <c r="BJ358">
        <v>1</v>
      </c>
      <c r="BK358" s="76" t="str">
        <f>REPLACE(INDEX(GroupVertices[Group],MATCH(Edges[[#This Row],[Vertex 1]],GroupVertices[Vertex],0)),1,1,"")</f>
        <v>10</v>
      </c>
      <c r="BL358" s="76" t="str">
        <f>REPLACE(INDEX(GroupVertices[Group],MATCH(Edges[[#This Row],[Vertex 2]],GroupVertices[Vertex],0)),1,1,"")</f>
        <v>10</v>
      </c>
      <c r="BM358" s="45"/>
      <c r="BN358" s="46"/>
      <c r="BO358" s="45"/>
      <c r="BP358" s="46"/>
      <c r="BQ358" s="45"/>
      <c r="BR358" s="46"/>
      <c r="BS358" s="45"/>
      <c r="BT358" s="46"/>
      <c r="BU358" s="45"/>
    </row>
    <row r="359" spans="1:73" ht="15">
      <c r="A359" s="61" t="s">
        <v>237</v>
      </c>
      <c r="B359" s="61" t="s">
        <v>425</v>
      </c>
      <c r="C359" s="62" t="s">
        <v>11692</v>
      </c>
      <c r="D359" s="63">
        <v>3</v>
      </c>
      <c r="E359" s="64" t="s">
        <v>132</v>
      </c>
      <c r="F359" s="65">
        <v>32</v>
      </c>
      <c r="G359" s="62"/>
      <c r="H359" s="66"/>
      <c r="I359" s="67"/>
      <c r="J359" s="67"/>
      <c r="K359" s="31" t="s">
        <v>65</v>
      </c>
      <c r="L359" s="75">
        <v>359</v>
      </c>
      <c r="M359" s="75"/>
      <c r="N359" s="69"/>
      <c r="O359" s="77" t="s">
        <v>543</v>
      </c>
      <c r="P359" s="79">
        <v>45140.59193287037</v>
      </c>
      <c r="Q359" s="77" t="s">
        <v>588</v>
      </c>
      <c r="R359" s="77">
        <v>0</v>
      </c>
      <c r="S359" s="77">
        <v>5</v>
      </c>
      <c r="T359" s="77">
        <v>0</v>
      </c>
      <c r="U359" s="77">
        <v>0</v>
      </c>
      <c r="V359" s="77">
        <v>78</v>
      </c>
      <c r="W359" s="77"/>
      <c r="X359" s="77"/>
      <c r="Y359" s="77"/>
      <c r="Z359" s="77" t="s">
        <v>780</v>
      </c>
      <c r="AA359" s="77"/>
      <c r="AB359" s="77"/>
      <c r="AC359" s="81" t="s">
        <v>853</v>
      </c>
      <c r="AD359" s="77" t="s">
        <v>859</v>
      </c>
      <c r="AE359" s="83" t="str">
        <f>HYPERLINK("https://twitter.com/yatebyalublyu/status/1686741738180804608")</f>
        <v>https://twitter.com/yatebyalublyu/status/1686741738180804608</v>
      </c>
      <c r="AF359" s="79">
        <v>45140.59193287037</v>
      </c>
      <c r="AG359" s="85">
        <v>45140</v>
      </c>
      <c r="AH359" s="81" t="s">
        <v>916</v>
      </c>
      <c r="AI359" s="77"/>
      <c r="AJ359" s="77"/>
      <c r="AK359" s="77"/>
      <c r="AL359" s="77"/>
      <c r="AM359" s="77"/>
      <c r="AN359" s="77"/>
      <c r="AO359" s="77"/>
      <c r="AP359" s="77"/>
      <c r="AQ359" s="77"/>
      <c r="AR359" s="77"/>
      <c r="AS359" s="77"/>
      <c r="AT359" s="77"/>
      <c r="AU359" s="77"/>
      <c r="AV359" s="83" t="str">
        <f>HYPERLINK("https://pbs.twimg.com/profile_images/932477165307695104/K26IwKCq_normal.jpg")</f>
        <v>https://pbs.twimg.com/profile_images/932477165307695104/K26IwKCq_normal.jpg</v>
      </c>
      <c r="AW359" s="81" t="s">
        <v>1071</v>
      </c>
      <c r="AX359" s="81" t="s">
        <v>1157</v>
      </c>
      <c r="AY359" s="81" t="s">
        <v>1178</v>
      </c>
      <c r="AZ359" s="81" t="s">
        <v>1193</v>
      </c>
      <c r="BA359" s="81" t="s">
        <v>1190</v>
      </c>
      <c r="BB359" s="81" t="s">
        <v>1190</v>
      </c>
      <c r="BC359" s="81" t="s">
        <v>1193</v>
      </c>
      <c r="BD359" s="81" t="s">
        <v>1204</v>
      </c>
      <c r="BE359" s="77"/>
      <c r="BF359" s="77"/>
      <c r="BG359" s="77"/>
      <c r="BH359" s="77"/>
      <c r="BI359" s="77"/>
      <c r="BJ359">
        <v>1</v>
      </c>
      <c r="BK359" s="76" t="str">
        <f>REPLACE(INDEX(GroupVertices[Group],MATCH(Edges[[#This Row],[Vertex 1]],GroupVertices[Vertex],0)),1,1,"")</f>
        <v>10</v>
      </c>
      <c r="BL359" s="76" t="str">
        <f>REPLACE(INDEX(GroupVertices[Group],MATCH(Edges[[#This Row],[Vertex 2]],GroupVertices[Vertex],0)),1,1,"")</f>
        <v>10</v>
      </c>
      <c r="BM359" s="45"/>
      <c r="BN359" s="46"/>
      <c r="BO359" s="45"/>
      <c r="BP359" s="46"/>
      <c r="BQ359" s="45"/>
      <c r="BR359" s="46"/>
      <c r="BS359" s="45"/>
      <c r="BT359" s="46"/>
      <c r="BU359" s="45"/>
    </row>
    <row r="360" spans="1:73" ht="15">
      <c r="A360" s="61" t="s">
        <v>237</v>
      </c>
      <c r="B360" s="61" t="s">
        <v>426</v>
      </c>
      <c r="C360" s="62" t="s">
        <v>11692</v>
      </c>
      <c r="D360" s="63">
        <v>3</v>
      </c>
      <c r="E360" s="64" t="s">
        <v>132</v>
      </c>
      <c r="F360" s="65">
        <v>32</v>
      </c>
      <c r="G360" s="62"/>
      <c r="H360" s="66"/>
      <c r="I360" s="67"/>
      <c r="J360" s="67"/>
      <c r="K360" s="31" t="s">
        <v>65</v>
      </c>
      <c r="L360" s="75">
        <v>360</v>
      </c>
      <c r="M360" s="75"/>
      <c r="N360" s="69"/>
      <c r="O360" s="77" t="s">
        <v>543</v>
      </c>
      <c r="P360" s="79">
        <v>45140.59193287037</v>
      </c>
      <c r="Q360" s="77" t="s">
        <v>588</v>
      </c>
      <c r="R360" s="77">
        <v>0</v>
      </c>
      <c r="S360" s="77">
        <v>5</v>
      </c>
      <c r="T360" s="77">
        <v>0</v>
      </c>
      <c r="U360" s="77">
        <v>0</v>
      </c>
      <c r="V360" s="77">
        <v>78</v>
      </c>
      <c r="W360" s="77"/>
      <c r="X360" s="77"/>
      <c r="Y360" s="77"/>
      <c r="Z360" s="77" t="s">
        <v>780</v>
      </c>
      <c r="AA360" s="77"/>
      <c r="AB360" s="77"/>
      <c r="AC360" s="81" t="s">
        <v>853</v>
      </c>
      <c r="AD360" s="77" t="s">
        <v>859</v>
      </c>
      <c r="AE360" s="83" t="str">
        <f>HYPERLINK("https://twitter.com/yatebyalublyu/status/1686741738180804608")</f>
        <v>https://twitter.com/yatebyalublyu/status/1686741738180804608</v>
      </c>
      <c r="AF360" s="79">
        <v>45140.59193287037</v>
      </c>
      <c r="AG360" s="85">
        <v>45140</v>
      </c>
      <c r="AH360" s="81" t="s">
        <v>916</v>
      </c>
      <c r="AI360" s="77"/>
      <c r="AJ360" s="77"/>
      <c r="AK360" s="77"/>
      <c r="AL360" s="77"/>
      <c r="AM360" s="77"/>
      <c r="AN360" s="77"/>
      <c r="AO360" s="77"/>
      <c r="AP360" s="77"/>
      <c r="AQ360" s="77"/>
      <c r="AR360" s="77"/>
      <c r="AS360" s="77"/>
      <c r="AT360" s="77"/>
      <c r="AU360" s="77"/>
      <c r="AV360" s="83" t="str">
        <f>HYPERLINK("https://pbs.twimg.com/profile_images/932477165307695104/K26IwKCq_normal.jpg")</f>
        <v>https://pbs.twimg.com/profile_images/932477165307695104/K26IwKCq_normal.jpg</v>
      </c>
      <c r="AW360" s="81" t="s">
        <v>1071</v>
      </c>
      <c r="AX360" s="81" t="s">
        <v>1157</v>
      </c>
      <c r="AY360" s="81" t="s">
        <v>1178</v>
      </c>
      <c r="AZ360" s="81" t="s">
        <v>1193</v>
      </c>
      <c r="BA360" s="81" t="s">
        <v>1190</v>
      </c>
      <c r="BB360" s="81" t="s">
        <v>1190</v>
      </c>
      <c r="BC360" s="81" t="s">
        <v>1193</v>
      </c>
      <c r="BD360" s="81" t="s">
        <v>1204</v>
      </c>
      <c r="BE360" s="77"/>
      <c r="BF360" s="77"/>
      <c r="BG360" s="77"/>
      <c r="BH360" s="77"/>
      <c r="BI360" s="77"/>
      <c r="BJ360">
        <v>1</v>
      </c>
      <c r="BK360" s="76" t="str">
        <f>REPLACE(INDEX(GroupVertices[Group],MATCH(Edges[[#This Row],[Vertex 1]],GroupVertices[Vertex],0)),1,1,"")</f>
        <v>10</v>
      </c>
      <c r="BL360" s="76" t="str">
        <f>REPLACE(INDEX(GroupVertices[Group],MATCH(Edges[[#This Row],[Vertex 2]],GroupVertices[Vertex],0)),1,1,"")</f>
        <v>10</v>
      </c>
      <c r="BM360" s="45"/>
      <c r="BN360" s="46"/>
      <c r="BO360" s="45"/>
      <c r="BP360" s="46"/>
      <c r="BQ360" s="45"/>
      <c r="BR360" s="46"/>
      <c r="BS360" s="45"/>
      <c r="BT360" s="46"/>
      <c r="BU360" s="45"/>
    </row>
    <row r="361" spans="1:73" ht="15">
      <c r="A361" s="61" t="s">
        <v>237</v>
      </c>
      <c r="B361" s="61" t="s">
        <v>427</v>
      </c>
      <c r="C361" s="62" t="s">
        <v>11692</v>
      </c>
      <c r="D361" s="63">
        <v>3</v>
      </c>
      <c r="E361" s="64" t="s">
        <v>132</v>
      </c>
      <c r="F361" s="65">
        <v>32</v>
      </c>
      <c r="G361" s="62"/>
      <c r="H361" s="66"/>
      <c r="I361" s="67"/>
      <c r="J361" s="67"/>
      <c r="K361" s="31" t="s">
        <v>65</v>
      </c>
      <c r="L361" s="75">
        <v>361</v>
      </c>
      <c r="M361" s="75"/>
      <c r="N361" s="69"/>
      <c r="O361" s="77" t="s">
        <v>543</v>
      </c>
      <c r="P361" s="79">
        <v>45140.59193287037</v>
      </c>
      <c r="Q361" s="77" t="s">
        <v>588</v>
      </c>
      <c r="R361" s="77">
        <v>0</v>
      </c>
      <c r="S361" s="77">
        <v>5</v>
      </c>
      <c r="T361" s="77">
        <v>0</v>
      </c>
      <c r="U361" s="77">
        <v>0</v>
      </c>
      <c r="V361" s="77">
        <v>78</v>
      </c>
      <c r="W361" s="77"/>
      <c r="X361" s="77"/>
      <c r="Y361" s="77"/>
      <c r="Z361" s="77" t="s">
        <v>780</v>
      </c>
      <c r="AA361" s="77"/>
      <c r="AB361" s="77"/>
      <c r="AC361" s="81" t="s">
        <v>853</v>
      </c>
      <c r="AD361" s="77" t="s">
        <v>859</v>
      </c>
      <c r="AE361" s="83" t="str">
        <f>HYPERLINK("https://twitter.com/yatebyalublyu/status/1686741738180804608")</f>
        <v>https://twitter.com/yatebyalublyu/status/1686741738180804608</v>
      </c>
      <c r="AF361" s="79">
        <v>45140.59193287037</v>
      </c>
      <c r="AG361" s="85">
        <v>45140</v>
      </c>
      <c r="AH361" s="81" t="s">
        <v>916</v>
      </c>
      <c r="AI361" s="77"/>
      <c r="AJ361" s="77"/>
      <c r="AK361" s="77"/>
      <c r="AL361" s="77"/>
      <c r="AM361" s="77"/>
      <c r="AN361" s="77"/>
      <c r="AO361" s="77"/>
      <c r="AP361" s="77"/>
      <c r="AQ361" s="77"/>
      <c r="AR361" s="77"/>
      <c r="AS361" s="77"/>
      <c r="AT361" s="77"/>
      <c r="AU361" s="77"/>
      <c r="AV361" s="83" t="str">
        <f>HYPERLINK("https://pbs.twimg.com/profile_images/932477165307695104/K26IwKCq_normal.jpg")</f>
        <v>https://pbs.twimg.com/profile_images/932477165307695104/K26IwKCq_normal.jpg</v>
      </c>
      <c r="AW361" s="81" t="s">
        <v>1071</v>
      </c>
      <c r="AX361" s="81" t="s">
        <v>1157</v>
      </c>
      <c r="AY361" s="81" t="s">
        <v>1178</v>
      </c>
      <c r="AZ361" s="81" t="s">
        <v>1193</v>
      </c>
      <c r="BA361" s="81" t="s">
        <v>1190</v>
      </c>
      <c r="BB361" s="81" t="s">
        <v>1190</v>
      </c>
      <c r="BC361" s="81" t="s">
        <v>1193</v>
      </c>
      <c r="BD361" s="81" t="s">
        <v>1204</v>
      </c>
      <c r="BE361" s="77"/>
      <c r="BF361" s="77"/>
      <c r="BG361" s="77"/>
      <c r="BH361" s="77"/>
      <c r="BI361" s="77"/>
      <c r="BJ361">
        <v>1</v>
      </c>
      <c r="BK361" s="76" t="str">
        <f>REPLACE(INDEX(GroupVertices[Group],MATCH(Edges[[#This Row],[Vertex 1]],GroupVertices[Vertex],0)),1,1,"")</f>
        <v>10</v>
      </c>
      <c r="BL361" s="76" t="str">
        <f>REPLACE(INDEX(GroupVertices[Group],MATCH(Edges[[#This Row],[Vertex 2]],GroupVertices[Vertex],0)),1,1,"")</f>
        <v>10</v>
      </c>
      <c r="BM361" s="45"/>
      <c r="BN361" s="46"/>
      <c r="BO361" s="45"/>
      <c r="BP361" s="46"/>
      <c r="BQ361" s="45"/>
      <c r="BR361" s="46"/>
      <c r="BS361" s="45"/>
      <c r="BT361" s="46"/>
      <c r="BU361" s="45"/>
    </row>
    <row r="362" spans="1:73" ht="15">
      <c r="A362" s="61" t="s">
        <v>237</v>
      </c>
      <c r="B362" s="61" t="s">
        <v>428</v>
      </c>
      <c r="C362" s="62" t="s">
        <v>11692</v>
      </c>
      <c r="D362" s="63">
        <v>3</v>
      </c>
      <c r="E362" s="64" t="s">
        <v>132</v>
      </c>
      <c r="F362" s="65">
        <v>32</v>
      </c>
      <c r="G362" s="62"/>
      <c r="H362" s="66"/>
      <c r="I362" s="67"/>
      <c r="J362" s="67"/>
      <c r="K362" s="31" t="s">
        <v>65</v>
      </c>
      <c r="L362" s="75">
        <v>362</v>
      </c>
      <c r="M362" s="75"/>
      <c r="N362" s="69"/>
      <c r="O362" s="77" t="s">
        <v>543</v>
      </c>
      <c r="P362" s="79">
        <v>45140.59193287037</v>
      </c>
      <c r="Q362" s="77" t="s">
        <v>588</v>
      </c>
      <c r="R362" s="77">
        <v>0</v>
      </c>
      <c r="S362" s="77">
        <v>5</v>
      </c>
      <c r="T362" s="77">
        <v>0</v>
      </c>
      <c r="U362" s="77">
        <v>0</v>
      </c>
      <c r="V362" s="77">
        <v>78</v>
      </c>
      <c r="W362" s="77"/>
      <c r="X362" s="77"/>
      <c r="Y362" s="77"/>
      <c r="Z362" s="77" t="s">
        <v>780</v>
      </c>
      <c r="AA362" s="77"/>
      <c r="AB362" s="77"/>
      <c r="AC362" s="81" t="s">
        <v>853</v>
      </c>
      <c r="AD362" s="77" t="s">
        <v>859</v>
      </c>
      <c r="AE362" s="83" t="str">
        <f>HYPERLINK("https://twitter.com/yatebyalublyu/status/1686741738180804608")</f>
        <v>https://twitter.com/yatebyalublyu/status/1686741738180804608</v>
      </c>
      <c r="AF362" s="79">
        <v>45140.59193287037</v>
      </c>
      <c r="AG362" s="85">
        <v>45140</v>
      </c>
      <c r="AH362" s="81" t="s">
        <v>916</v>
      </c>
      <c r="AI362" s="77"/>
      <c r="AJ362" s="77"/>
      <c r="AK362" s="77"/>
      <c r="AL362" s="77"/>
      <c r="AM362" s="77"/>
      <c r="AN362" s="77"/>
      <c r="AO362" s="77"/>
      <c r="AP362" s="77"/>
      <c r="AQ362" s="77"/>
      <c r="AR362" s="77"/>
      <c r="AS362" s="77"/>
      <c r="AT362" s="77"/>
      <c r="AU362" s="77"/>
      <c r="AV362" s="83" t="str">
        <f>HYPERLINK("https://pbs.twimg.com/profile_images/932477165307695104/K26IwKCq_normal.jpg")</f>
        <v>https://pbs.twimg.com/profile_images/932477165307695104/K26IwKCq_normal.jpg</v>
      </c>
      <c r="AW362" s="81" t="s">
        <v>1071</v>
      </c>
      <c r="AX362" s="81" t="s">
        <v>1157</v>
      </c>
      <c r="AY362" s="81" t="s">
        <v>1178</v>
      </c>
      <c r="AZ362" s="81" t="s">
        <v>1193</v>
      </c>
      <c r="BA362" s="81" t="s">
        <v>1190</v>
      </c>
      <c r="BB362" s="81" t="s">
        <v>1190</v>
      </c>
      <c r="BC362" s="81" t="s">
        <v>1193</v>
      </c>
      <c r="BD362" s="81" t="s">
        <v>1204</v>
      </c>
      <c r="BE362" s="77"/>
      <c r="BF362" s="77"/>
      <c r="BG362" s="77"/>
      <c r="BH362" s="77"/>
      <c r="BI362" s="77"/>
      <c r="BJ362">
        <v>1</v>
      </c>
      <c r="BK362" s="76" t="str">
        <f>REPLACE(INDEX(GroupVertices[Group],MATCH(Edges[[#This Row],[Vertex 1]],GroupVertices[Vertex],0)),1,1,"")</f>
        <v>10</v>
      </c>
      <c r="BL362" s="76" t="str">
        <f>REPLACE(INDEX(GroupVertices[Group],MATCH(Edges[[#This Row],[Vertex 2]],GroupVertices[Vertex],0)),1,1,"")</f>
        <v>10</v>
      </c>
      <c r="BM362" s="45"/>
      <c r="BN362" s="46"/>
      <c r="BO362" s="45"/>
      <c r="BP362" s="46"/>
      <c r="BQ362" s="45"/>
      <c r="BR362" s="46"/>
      <c r="BS362" s="45"/>
      <c r="BT362" s="46"/>
      <c r="BU362" s="45"/>
    </row>
    <row r="363" spans="1:73" ht="15">
      <c r="A363" s="61" t="s">
        <v>237</v>
      </c>
      <c r="B363" s="61" t="s">
        <v>429</v>
      </c>
      <c r="C363" s="62" t="s">
        <v>11692</v>
      </c>
      <c r="D363" s="63">
        <v>3</v>
      </c>
      <c r="E363" s="64" t="s">
        <v>132</v>
      </c>
      <c r="F363" s="65">
        <v>32</v>
      </c>
      <c r="G363" s="62"/>
      <c r="H363" s="66"/>
      <c r="I363" s="67"/>
      <c r="J363" s="67"/>
      <c r="K363" s="31" t="s">
        <v>65</v>
      </c>
      <c r="L363" s="75">
        <v>363</v>
      </c>
      <c r="M363" s="75"/>
      <c r="N363" s="69"/>
      <c r="O363" s="77" t="s">
        <v>543</v>
      </c>
      <c r="P363" s="79">
        <v>45140.59193287037</v>
      </c>
      <c r="Q363" s="77" t="s">
        <v>588</v>
      </c>
      <c r="R363" s="77">
        <v>0</v>
      </c>
      <c r="S363" s="77">
        <v>5</v>
      </c>
      <c r="T363" s="77">
        <v>0</v>
      </c>
      <c r="U363" s="77">
        <v>0</v>
      </c>
      <c r="V363" s="77">
        <v>78</v>
      </c>
      <c r="W363" s="77"/>
      <c r="X363" s="77"/>
      <c r="Y363" s="77"/>
      <c r="Z363" s="77" t="s">
        <v>780</v>
      </c>
      <c r="AA363" s="77"/>
      <c r="AB363" s="77"/>
      <c r="AC363" s="81" t="s">
        <v>853</v>
      </c>
      <c r="AD363" s="77" t="s">
        <v>859</v>
      </c>
      <c r="AE363" s="83" t="str">
        <f>HYPERLINK("https://twitter.com/yatebyalublyu/status/1686741738180804608")</f>
        <v>https://twitter.com/yatebyalublyu/status/1686741738180804608</v>
      </c>
      <c r="AF363" s="79">
        <v>45140.59193287037</v>
      </c>
      <c r="AG363" s="85">
        <v>45140</v>
      </c>
      <c r="AH363" s="81" t="s">
        <v>916</v>
      </c>
      <c r="AI363" s="77"/>
      <c r="AJ363" s="77"/>
      <c r="AK363" s="77"/>
      <c r="AL363" s="77"/>
      <c r="AM363" s="77"/>
      <c r="AN363" s="77"/>
      <c r="AO363" s="77"/>
      <c r="AP363" s="77"/>
      <c r="AQ363" s="77"/>
      <c r="AR363" s="77"/>
      <c r="AS363" s="77"/>
      <c r="AT363" s="77"/>
      <c r="AU363" s="77"/>
      <c r="AV363" s="83" t="str">
        <f>HYPERLINK("https://pbs.twimg.com/profile_images/932477165307695104/K26IwKCq_normal.jpg")</f>
        <v>https://pbs.twimg.com/profile_images/932477165307695104/K26IwKCq_normal.jpg</v>
      </c>
      <c r="AW363" s="81" t="s">
        <v>1071</v>
      </c>
      <c r="AX363" s="81" t="s">
        <v>1157</v>
      </c>
      <c r="AY363" s="81" t="s">
        <v>1178</v>
      </c>
      <c r="AZ363" s="81" t="s">
        <v>1193</v>
      </c>
      <c r="BA363" s="81" t="s">
        <v>1190</v>
      </c>
      <c r="BB363" s="81" t="s">
        <v>1190</v>
      </c>
      <c r="BC363" s="81" t="s">
        <v>1193</v>
      </c>
      <c r="BD363" s="81" t="s">
        <v>1204</v>
      </c>
      <c r="BE363" s="77"/>
      <c r="BF363" s="77"/>
      <c r="BG363" s="77"/>
      <c r="BH363" s="77"/>
      <c r="BI363" s="77"/>
      <c r="BJ363">
        <v>1</v>
      </c>
      <c r="BK363" s="76" t="str">
        <f>REPLACE(INDEX(GroupVertices[Group],MATCH(Edges[[#This Row],[Vertex 1]],GroupVertices[Vertex],0)),1,1,"")</f>
        <v>10</v>
      </c>
      <c r="BL363" s="76" t="str">
        <f>REPLACE(INDEX(GroupVertices[Group],MATCH(Edges[[#This Row],[Vertex 2]],GroupVertices[Vertex],0)),1,1,"")</f>
        <v>10</v>
      </c>
      <c r="BM363" s="45"/>
      <c r="BN363" s="46"/>
      <c r="BO363" s="45"/>
      <c r="BP363" s="46"/>
      <c r="BQ363" s="45"/>
      <c r="BR363" s="46"/>
      <c r="BS363" s="45"/>
      <c r="BT363" s="46"/>
      <c r="BU363" s="45"/>
    </row>
    <row r="364" spans="1:73" ht="15">
      <c r="A364" s="61" t="s">
        <v>237</v>
      </c>
      <c r="B364" s="61" t="s">
        <v>430</v>
      </c>
      <c r="C364" s="62" t="s">
        <v>11692</v>
      </c>
      <c r="D364" s="63">
        <v>3</v>
      </c>
      <c r="E364" s="64" t="s">
        <v>132</v>
      </c>
      <c r="F364" s="65">
        <v>32</v>
      </c>
      <c r="G364" s="62"/>
      <c r="H364" s="66"/>
      <c r="I364" s="67"/>
      <c r="J364" s="67"/>
      <c r="K364" s="31" t="s">
        <v>65</v>
      </c>
      <c r="L364" s="75">
        <v>364</v>
      </c>
      <c r="M364" s="75"/>
      <c r="N364" s="69"/>
      <c r="O364" s="77" t="s">
        <v>543</v>
      </c>
      <c r="P364" s="79">
        <v>45140.59193287037</v>
      </c>
      <c r="Q364" s="77" t="s">
        <v>588</v>
      </c>
      <c r="R364" s="77">
        <v>0</v>
      </c>
      <c r="S364" s="77">
        <v>5</v>
      </c>
      <c r="T364" s="77">
        <v>0</v>
      </c>
      <c r="U364" s="77">
        <v>0</v>
      </c>
      <c r="V364" s="77">
        <v>78</v>
      </c>
      <c r="W364" s="77"/>
      <c r="X364" s="77"/>
      <c r="Y364" s="77"/>
      <c r="Z364" s="77" t="s">
        <v>780</v>
      </c>
      <c r="AA364" s="77"/>
      <c r="AB364" s="77"/>
      <c r="AC364" s="81" t="s">
        <v>853</v>
      </c>
      <c r="AD364" s="77" t="s">
        <v>859</v>
      </c>
      <c r="AE364" s="83" t="str">
        <f>HYPERLINK("https://twitter.com/yatebyalublyu/status/1686741738180804608")</f>
        <v>https://twitter.com/yatebyalublyu/status/1686741738180804608</v>
      </c>
      <c r="AF364" s="79">
        <v>45140.59193287037</v>
      </c>
      <c r="AG364" s="85">
        <v>45140</v>
      </c>
      <c r="AH364" s="81" t="s">
        <v>916</v>
      </c>
      <c r="AI364" s="77"/>
      <c r="AJ364" s="77"/>
      <c r="AK364" s="77"/>
      <c r="AL364" s="77"/>
      <c r="AM364" s="77"/>
      <c r="AN364" s="77"/>
      <c r="AO364" s="77"/>
      <c r="AP364" s="77"/>
      <c r="AQ364" s="77"/>
      <c r="AR364" s="77"/>
      <c r="AS364" s="77"/>
      <c r="AT364" s="77"/>
      <c r="AU364" s="77"/>
      <c r="AV364" s="83" t="str">
        <f>HYPERLINK("https://pbs.twimg.com/profile_images/932477165307695104/K26IwKCq_normal.jpg")</f>
        <v>https://pbs.twimg.com/profile_images/932477165307695104/K26IwKCq_normal.jpg</v>
      </c>
      <c r="AW364" s="81" t="s">
        <v>1071</v>
      </c>
      <c r="AX364" s="81" t="s">
        <v>1157</v>
      </c>
      <c r="AY364" s="81" t="s">
        <v>1178</v>
      </c>
      <c r="AZ364" s="81" t="s">
        <v>1193</v>
      </c>
      <c r="BA364" s="81" t="s">
        <v>1190</v>
      </c>
      <c r="BB364" s="81" t="s">
        <v>1190</v>
      </c>
      <c r="BC364" s="81" t="s">
        <v>1193</v>
      </c>
      <c r="BD364" s="81" t="s">
        <v>1204</v>
      </c>
      <c r="BE364" s="77"/>
      <c r="BF364" s="77"/>
      <c r="BG364" s="77"/>
      <c r="BH364" s="77"/>
      <c r="BI364" s="77"/>
      <c r="BJ364">
        <v>1</v>
      </c>
      <c r="BK364" s="76" t="str">
        <f>REPLACE(INDEX(GroupVertices[Group],MATCH(Edges[[#This Row],[Vertex 1]],GroupVertices[Vertex],0)),1,1,"")</f>
        <v>10</v>
      </c>
      <c r="BL364" s="76" t="str">
        <f>REPLACE(INDEX(GroupVertices[Group],MATCH(Edges[[#This Row],[Vertex 2]],GroupVertices[Vertex],0)),1,1,"")</f>
        <v>10</v>
      </c>
      <c r="BM364" s="45"/>
      <c r="BN364" s="46"/>
      <c r="BO364" s="45"/>
      <c r="BP364" s="46"/>
      <c r="BQ364" s="45"/>
      <c r="BR364" s="46"/>
      <c r="BS364" s="45"/>
      <c r="BT364" s="46"/>
      <c r="BU364" s="45"/>
    </row>
    <row r="365" spans="1:73" ht="15">
      <c r="A365" s="61" t="s">
        <v>237</v>
      </c>
      <c r="B365" s="61" t="s">
        <v>431</v>
      </c>
      <c r="C365" s="62" t="s">
        <v>11692</v>
      </c>
      <c r="D365" s="63">
        <v>3</v>
      </c>
      <c r="E365" s="64" t="s">
        <v>132</v>
      </c>
      <c r="F365" s="65">
        <v>32</v>
      </c>
      <c r="G365" s="62"/>
      <c r="H365" s="66"/>
      <c r="I365" s="67"/>
      <c r="J365" s="67"/>
      <c r="K365" s="31" t="s">
        <v>65</v>
      </c>
      <c r="L365" s="75">
        <v>365</v>
      </c>
      <c r="M365" s="75"/>
      <c r="N365" s="69"/>
      <c r="O365" s="77" t="s">
        <v>543</v>
      </c>
      <c r="P365" s="79">
        <v>45140.59193287037</v>
      </c>
      <c r="Q365" s="77" t="s">
        <v>588</v>
      </c>
      <c r="R365" s="77">
        <v>0</v>
      </c>
      <c r="S365" s="77">
        <v>5</v>
      </c>
      <c r="T365" s="77">
        <v>0</v>
      </c>
      <c r="U365" s="77">
        <v>0</v>
      </c>
      <c r="V365" s="77">
        <v>78</v>
      </c>
      <c r="W365" s="77"/>
      <c r="X365" s="77"/>
      <c r="Y365" s="77"/>
      <c r="Z365" s="77" t="s">
        <v>780</v>
      </c>
      <c r="AA365" s="77"/>
      <c r="AB365" s="77"/>
      <c r="AC365" s="81" t="s">
        <v>853</v>
      </c>
      <c r="AD365" s="77" t="s">
        <v>859</v>
      </c>
      <c r="AE365" s="83" t="str">
        <f>HYPERLINK("https://twitter.com/yatebyalublyu/status/1686741738180804608")</f>
        <v>https://twitter.com/yatebyalublyu/status/1686741738180804608</v>
      </c>
      <c r="AF365" s="79">
        <v>45140.59193287037</v>
      </c>
      <c r="AG365" s="85">
        <v>45140</v>
      </c>
      <c r="AH365" s="81" t="s">
        <v>916</v>
      </c>
      <c r="AI365" s="77"/>
      <c r="AJ365" s="77"/>
      <c r="AK365" s="77"/>
      <c r="AL365" s="77"/>
      <c r="AM365" s="77"/>
      <c r="AN365" s="77"/>
      <c r="AO365" s="77"/>
      <c r="AP365" s="77"/>
      <c r="AQ365" s="77"/>
      <c r="AR365" s="77"/>
      <c r="AS365" s="77"/>
      <c r="AT365" s="77"/>
      <c r="AU365" s="77"/>
      <c r="AV365" s="83" t="str">
        <f>HYPERLINK("https://pbs.twimg.com/profile_images/932477165307695104/K26IwKCq_normal.jpg")</f>
        <v>https://pbs.twimg.com/profile_images/932477165307695104/K26IwKCq_normal.jpg</v>
      </c>
      <c r="AW365" s="81" t="s">
        <v>1071</v>
      </c>
      <c r="AX365" s="81" t="s">
        <v>1157</v>
      </c>
      <c r="AY365" s="81" t="s">
        <v>1178</v>
      </c>
      <c r="AZ365" s="81" t="s">
        <v>1193</v>
      </c>
      <c r="BA365" s="81" t="s">
        <v>1190</v>
      </c>
      <c r="BB365" s="81" t="s">
        <v>1190</v>
      </c>
      <c r="BC365" s="81" t="s">
        <v>1193</v>
      </c>
      <c r="BD365" s="81" t="s">
        <v>1204</v>
      </c>
      <c r="BE365" s="77"/>
      <c r="BF365" s="77"/>
      <c r="BG365" s="77"/>
      <c r="BH365" s="77"/>
      <c r="BI365" s="77"/>
      <c r="BJ365">
        <v>1</v>
      </c>
      <c r="BK365" s="76" t="str">
        <f>REPLACE(INDEX(GroupVertices[Group],MATCH(Edges[[#This Row],[Vertex 1]],GroupVertices[Vertex],0)),1,1,"")</f>
        <v>10</v>
      </c>
      <c r="BL365" s="76" t="str">
        <f>REPLACE(INDEX(GroupVertices[Group],MATCH(Edges[[#This Row],[Vertex 2]],GroupVertices[Vertex],0)),1,1,"")</f>
        <v>10</v>
      </c>
      <c r="BM365" s="45"/>
      <c r="BN365" s="46"/>
      <c r="BO365" s="45"/>
      <c r="BP365" s="46"/>
      <c r="BQ365" s="45"/>
      <c r="BR365" s="46"/>
      <c r="BS365" s="45"/>
      <c r="BT365" s="46"/>
      <c r="BU365" s="45"/>
    </row>
    <row r="366" spans="1:73" ht="15">
      <c r="A366" s="61" t="s">
        <v>237</v>
      </c>
      <c r="B366" s="61" t="s">
        <v>432</v>
      </c>
      <c r="C366" s="62" t="s">
        <v>11692</v>
      </c>
      <c r="D366" s="63">
        <v>3</v>
      </c>
      <c r="E366" s="64" t="s">
        <v>132</v>
      </c>
      <c r="F366" s="65">
        <v>32</v>
      </c>
      <c r="G366" s="62"/>
      <c r="H366" s="66"/>
      <c r="I366" s="67"/>
      <c r="J366" s="67"/>
      <c r="K366" s="31" t="s">
        <v>65</v>
      </c>
      <c r="L366" s="75">
        <v>366</v>
      </c>
      <c r="M366" s="75"/>
      <c r="N366" s="69"/>
      <c r="O366" s="77" t="s">
        <v>540</v>
      </c>
      <c r="P366" s="79">
        <v>45140.59193287037</v>
      </c>
      <c r="Q366" s="77" t="s">
        <v>588</v>
      </c>
      <c r="R366" s="77">
        <v>0</v>
      </c>
      <c r="S366" s="77">
        <v>5</v>
      </c>
      <c r="T366" s="77">
        <v>0</v>
      </c>
      <c r="U366" s="77">
        <v>0</v>
      </c>
      <c r="V366" s="77">
        <v>78</v>
      </c>
      <c r="W366" s="77"/>
      <c r="X366" s="77"/>
      <c r="Y366" s="77"/>
      <c r="Z366" s="77" t="s">
        <v>780</v>
      </c>
      <c r="AA366" s="77"/>
      <c r="AB366" s="77"/>
      <c r="AC366" s="81" t="s">
        <v>853</v>
      </c>
      <c r="AD366" s="77" t="s">
        <v>859</v>
      </c>
      <c r="AE366" s="83" t="str">
        <f>HYPERLINK("https://twitter.com/yatebyalublyu/status/1686741738180804608")</f>
        <v>https://twitter.com/yatebyalublyu/status/1686741738180804608</v>
      </c>
      <c r="AF366" s="79">
        <v>45140.59193287037</v>
      </c>
      <c r="AG366" s="85">
        <v>45140</v>
      </c>
      <c r="AH366" s="81" t="s">
        <v>916</v>
      </c>
      <c r="AI366" s="77"/>
      <c r="AJ366" s="77"/>
      <c r="AK366" s="77"/>
      <c r="AL366" s="77"/>
      <c r="AM366" s="77"/>
      <c r="AN366" s="77"/>
      <c r="AO366" s="77"/>
      <c r="AP366" s="77"/>
      <c r="AQ366" s="77"/>
      <c r="AR366" s="77"/>
      <c r="AS366" s="77"/>
      <c r="AT366" s="77"/>
      <c r="AU366" s="77"/>
      <c r="AV366" s="83" t="str">
        <f>HYPERLINK("https://pbs.twimg.com/profile_images/932477165307695104/K26IwKCq_normal.jpg")</f>
        <v>https://pbs.twimg.com/profile_images/932477165307695104/K26IwKCq_normal.jpg</v>
      </c>
      <c r="AW366" s="81" t="s">
        <v>1071</v>
      </c>
      <c r="AX366" s="81" t="s">
        <v>1157</v>
      </c>
      <c r="AY366" s="81" t="s">
        <v>1178</v>
      </c>
      <c r="AZ366" s="81" t="s">
        <v>1193</v>
      </c>
      <c r="BA366" s="81" t="s">
        <v>1190</v>
      </c>
      <c r="BB366" s="81" t="s">
        <v>1190</v>
      </c>
      <c r="BC366" s="81" t="s">
        <v>1193</v>
      </c>
      <c r="BD366" s="81" t="s">
        <v>1204</v>
      </c>
      <c r="BE366" s="77"/>
      <c r="BF366" s="77"/>
      <c r="BG366" s="77"/>
      <c r="BH366" s="77"/>
      <c r="BI366" s="77"/>
      <c r="BJ366">
        <v>1</v>
      </c>
      <c r="BK366" s="76" t="str">
        <f>REPLACE(INDEX(GroupVertices[Group],MATCH(Edges[[#This Row],[Vertex 1]],GroupVertices[Vertex],0)),1,1,"")</f>
        <v>10</v>
      </c>
      <c r="BL366" s="76" t="str">
        <f>REPLACE(INDEX(GroupVertices[Group],MATCH(Edges[[#This Row],[Vertex 2]],GroupVertices[Vertex],0)),1,1,"")</f>
        <v>10</v>
      </c>
      <c r="BM366" s="45">
        <v>1</v>
      </c>
      <c r="BN366" s="46">
        <v>6.666666666666667</v>
      </c>
      <c r="BO366" s="45">
        <v>0</v>
      </c>
      <c r="BP366" s="46">
        <v>0</v>
      </c>
      <c r="BQ366" s="45">
        <v>0</v>
      </c>
      <c r="BR366" s="46">
        <v>0</v>
      </c>
      <c r="BS366" s="45">
        <v>13</v>
      </c>
      <c r="BT366" s="46">
        <v>86.66666666666667</v>
      </c>
      <c r="BU366" s="45">
        <v>15</v>
      </c>
    </row>
    <row r="367" spans="1:73" ht="15">
      <c r="A367" s="61" t="s">
        <v>237</v>
      </c>
      <c r="B367" s="61" t="s">
        <v>228</v>
      </c>
      <c r="C367" s="62" t="s">
        <v>11692</v>
      </c>
      <c r="D367" s="63">
        <v>3</v>
      </c>
      <c r="E367" s="64" t="s">
        <v>132</v>
      </c>
      <c r="F367" s="65">
        <v>32</v>
      </c>
      <c r="G367" s="62"/>
      <c r="H367" s="66"/>
      <c r="I367" s="67"/>
      <c r="J367" s="67"/>
      <c r="K367" s="31" t="s">
        <v>65</v>
      </c>
      <c r="L367" s="75">
        <v>367</v>
      </c>
      <c r="M367" s="75"/>
      <c r="N367" s="69"/>
      <c r="O367" s="77" t="s">
        <v>543</v>
      </c>
      <c r="P367" s="79">
        <v>45140.59193287037</v>
      </c>
      <c r="Q367" s="77" t="s">
        <v>588</v>
      </c>
      <c r="R367" s="77">
        <v>0</v>
      </c>
      <c r="S367" s="77">
        <v>5</v>
      </c>
      <c r="T367" s="77">
        <v>0</v>
      </c>
      <c r="U367" s="77">
        <v>0</v>
      </c>
      <c r="V367" s="77">
        <v>78</v>
      </c>
      <c r="W367" s="77"/>
      <c r="X367" s="77"/>
      <c r="Y367" s="77"/>
      <c r="Z367" s="77" t="s">
        <v>780</v>
      </c>
      <c r="AA367" s="77"/>
      <c r="AB367" s="77"/>
      <c r="AC367" s="81" t="s">
        <v>853</v>
      </c>
      <c r="AD367" s="77" t="s">
        <v>859</v>
      </c>
      <c r="AE367" s="83" t="str">
        <f>HYPERLINK("https://twitter.com/yatebyalublyu/status/1686741738180804608")</f>
        <v>https://twitter.com/yatebyalublyu/status/1686741738180804608</v>
      </c>
      <c r="AF367" s="79">
        <v>45140.59193287037</v>
      </c>
      <c r="AG367" s="85">
        <v>45140</v>
      </c>
      <c r="AH367" s="81" t="s">
        <v>916</v>
      </c>
      <c r="AI367" s="77"/>
      <c r="AJ367" s="77"/>
      <c r="AK367" s="77"/>
      <c r="AL367" s="77"/>
      <c r="AM367" s="77"/>
      <c r="AN367" s="77"/>
      <c r="AO367" s="77"/>
      <c r="AP367" s="77"/>
      <c r="AQ367" s="77"/>
      <c r="AR367" s="77"/>
      <c r="AS367" s="77"/>
      <c r="AT367" s="77"/>
      <c r="AU367" s="77"/>
      <c r="AV367" s="83" t="str">
        <f>HYPERLINK("https://pbs.twimg.com/profile_images/932477165307695104/K26IwKCq_normal.jpg")</f>
        <v>https://pbs.twimg.com/profile_images/932477165307695104/K26IwKCq_normal.jpg</v>
      </c>
      <c r="AW367" s="81" t="s">
        <v>1071</v>
      </c>
      <c r="AX367" s="81" t="s">
        <v>1157</v>
      </c>
      <c r="AY367" s="81" t="s">
        <v>1178</v>
      </c>
      <c r="AZ367" s="81" t="s">
        <v>1193</v>
      </c>
      <c r="BA367" s="81" t="s">
        <v>1190</v>
      </c>
      <c r="BB367" s="81" t="s">
        <v>1190</v>
      </c>
      <c r="BC367" s="81" t="s">
        <v>1193</v>
      </c>
      <c r="BD367" s="81" t="s">
        <v>1204</v>
      </c>
      <c r="BE367" s="77"/>
      <c r="BF367" s="77"/>
      <c r="BG367" s="77"/>
      <c r="BH367" s="77"/>
      <c r="BI367" s="77"/>
      <c r="BJ367">
        <v>1</v>
      </c>
      <c r="BK367" s="76" t="str">
        <f>REPLACE(INDEX(GroupVertices[Group],MATCH(Edges[[#This Row],[Vertex 1]],GroupVertices[Vertex],0)),1,1,"")</f>
        <v>10</v>
      </c>
      <c r="BL367" s="76" t="str">
        <f>REPLACE(INDEX(GroupVertices[Group],MATCH(Edges[[#This Row],[Vertex 2]],GroupVertices[Vertex],0)),1,1,"")</f>
        <v>2</v>
      </c>
      <c r="BM367" s="45"/>
      <c r="BN367" s="46"/>
      <c r="BO367" s="45"/>
      <c r="BP367" s="46"/>
      <c r="BQ367" s="45"/>
      <c r="BR367" s="46"/>
      <c r="BS367" s="45"/>
      <c r="BT367" s="46"/>
      <c r="BU367" s="45"/>
    </row>
    <row r="368" spans="1:73" ht="15">
      <c r="A368" s="61" t="s">
        <v>238</v>
      </c>
      <c r="B368" s="61" t="s">
        <v>433</v>
      </c>
      <c r="C368" s="62" t="s">
        <v>11692</v>
      </c>
      <c r="D368" s="63">
        <v>3</v>
      </c>
      <c r="E368" s="64" t="s">
        <v>132</v>
      </c>
      <c r="F368" s="65">
        <v>32</v>
      </c>
      <c r="G368" s="62"/>
      <c r="H368" s="66"/>
      <c r="I368" s="67"/>
      <c r="J368" s="67"/>
      <c r="K368" s="31" t="s">
        <v>65</v>
      </c>
      <c r="L368" s="75">
        <v>368</v>
      </c>
      <c r="M368" s="75"/>
      <c r="N368" s="69"/>
      <c r="O368" s="77" t="s">
        <v>539</v>
      </c>
      <c r="P368" s="79">
        <v>45161.142905092594</v>
      </c>
      <c r="Q368" s="77" t="s">
        <v>589</v>
      </c>
      <c r="R368" s="77">
        <v>2</v>
      </c>
      <c r="S368" s="77">
        <v>3</v>
      </c>
      <c r="T368" s="77">
        <v>1</v>
      </c>
      <c r="U368" s="77">
        <v>0</v>
      </c>
      <c r="V368" s="77">
        <v>744</v>
      </c>
      <c r="W368" s="81" t="s">
        <v>696</v>
      </c>
      <c r="X368" s="83" t="str">
        <f>HYPERLINK("https://bit.ly/45wr6UQ")</f>
        <v>https://bit.ly/45wr6UQ</v>
      </c>
      <c r="Y368" s="77" t="s">
        <v>740</v>
      </c>
      <c r="Z368" s="77" t="s">
        <v>781</v>
      </c>
      <c r="AA368" s="77"/>
      <c r="AB368" s="77"/>
      <c r="AC368" s="81" t="s">
        <v>853</v>
      </c>
      <c r="AD368" s="77" t="s">
        <v>859</v>
      </c>
      <c r="AE368" s="83" t="str">
        <f>HYPERLINK("https://twitter.com/smr_foundation/status/1694189164307333181")</f>
        <v>https://twitter.com/smr_foundation/status/1694189164307333181</v>
      </c>
      <c r="AF368" s="79">
        <v>45161.142905092594</v>
      </c>
      <c r="AG368" s="85">
        <v>45161</v>
      </c>
      <c r="AH368" s="81" t="s">
        <v>917</v>
      </c>
      <c r="AI368" s="77" t="b">
        <v>0</v>
      </c>
      <c r="AJ368" s="77"/>
      <c r="AK368" s="77"/>
      <c r="AL368" s="77"/>
      <c r="AM368" s="77"/>
      <c r="AN368" s="77"/>
      <c r="AO368" s="77"/>
      <c r="AP368" s="77"/>
      <c r="AQ368" s="77"/>
      <c r="AR368" s="77"/>
      <c r="AS368" s="77"/>
      <c r="AT368" s="77"/>
      <c r="AU368" s="77"/>
      <c r="AV368" s="83" t="str">
        <f>HYPERLINK("https://pbs.twimg.com/profile_images/849133030237061120/6hUrNP0a_normal.jpg")</f>
        <v>https://pbs.twimg.com/profile_images/849133030237061120/6hUrNP0a_normal.jpg</v>
      </c>
      <c r="AW368" s="81" t="s">
        <v>1072</v>
      </c>
      <c r="AX368" s="81" t="s">
        <v>1072</v>
      </c>
      <c r="AY368" s="77"/>
      <c r="AZ368" s="81" t="s">
        <v>1190</v>
      </c>
      <c r="BA368" s="81" t="s">
        <v>1190</v>
      </c>
      <c r="BB368" s="81" t="s">
        <v>1190</v>
      </c>
      <c r="BC368" s="81" t="s">
        <v>1072</v>
      </c>
      <c r="BD368" s="77">
        <v>151934168</v>
      </c>
      <c r="BE368" s="77"/>
      <c r="BF368" s="77"/>
      <c r="BG368" s="77"/>
      <c r="BH368" s="77"/>
      <c r="BI368" s="77"/>
      <c r="BJ368">
        <v>1</v>
      </c>
      <c r="BK368" s="76" t="str">
        <f>REPLACE(INDEX(GroupVertices[Group],MATCH(Edges[[#This Row],[Vertex 1]],GroupVertices[Vertex],0)),1,1,"")</f>
        <v>3</v>
      </c>
      <c r="BL368" s="76" t="str">
        <f>REPLACE(INDEX(GroupVertices[Group],MATCH(Edges[[#This Row],[Vertex 2]],GroupVertices[Vertex],0)),1,1,"")</f>
        <v>3</v>
      </c>
      <c r="BM368" s="45"/>
      <c r="BN368" s="46"/>
      <c r="BO368" s="45"/>
      <c r="BP368" s="46"/>
      <c r="BQ368" s="45"/>
      <c r="BR368" s="46"/>
      <c r="BS368" s="45"/>
      <c r="BT368" s="46"/>
      <c r="BU368" s="45"/>
    </row>
    <row r="369" spans="1:73" ht="15">
      <c r="A369" s="61" t="s">
        <v>238</v>
      </c>
      <c r="B369" s="61" t="s">
        <v>434</v>
      </c>
      <c r="C369" s="62" t="s">
        <v>11692</v>
      </c>
      <c r="D369" s="63">
        <v>3</v>
      </c>
      <c r="E369" s="64" t="s">
        <v>132</v>
      </c>
      <c r="F369" s="65">
        <v>32</v>
      </c>
      <c r="G369" s="62"/>
      <c r="H369" s="66"/>
      <c r="I369" s="67"/>
      <c r="J369" s="67"/>
      <c r="K369" s="31" t="s">
        <v>65</v>
      </c>
      <c r="L369" s="75">
        <v>369</v>
      </c>
      <c r="M369" s="75"/>
      <c r="N369" s="69"/>
      <c r="O369" s="77" t="s">
        <v>539</v>
      </c>
      <c r="P369" s="79">
        <v>45161.142905092594</v>
      </c>
      <c r="Q369" s="77" t="s">
        <v>589</v>
      </c>
      <c r="R369" s="77">
        <v>2</v>
      </c>
      <c r="S369" s="77">
        <v>3</v>
      </c>
      <c r="T369" s="77">
        <v>1</v>
      </c>
      <c r="U369" s="77">
        <v>0</v>
      </c>
      <c r="V369" s="77">
        <v>744</v>
      </c>
      <c r="W369" s="81" t="s">
        <v>696</v>
      </c>
      <c r="X369" s="83" t="str">
        <f>HYPERLINK("https://bit.ly/45wr6UQ")</f>
        <v>https://bit.ly/45wr6UQ</v>
      </c>
      <c r="Y369" s="77" t="s">
        <v>740</v>
      </c>
      <c r="Z369" s="77" t="s">
        <v>781</v>
      </c>
      <c r="AA369" s="77"/>
      <c r="AB369" s="77"/>
      <c r="AC369" s="81" t="s">
        <v>853</v>
      </c>
      <c r="AD369" s="77" t="s">
        <v>859</v>
      </c>
      <c r="AE369" s="83" t="str">
        <f>HYPERLINK("https://twitter.com/smr_foundation/status/1694189164307333181")</f>
        <v>https://twitter.com/smr_foundation/status/1694189164307333181</v>
      </c>
      <c r="AF369" s="79">
        <v>45161.142905092594</v>
      </c>
      <c r="AG369" s="85">
        <v>45161</v>
      </c>
      <c r="AH369" s="81" t="s">
        <v>917</v>
      </c>
      <c r="AI369" s="77" t="b">
        <v>0</v>
      </c>
      <c r="AJ369" s="77"/>
      <c r="AK369" s="77"/>
      <c r="AL369" s="77"/>
      <c r="AM369" s="77"/>
      <c r="AN369" s="77"/>
      <c r="AO369" s="77"/>
      <c r="AP369" s="77"/>
      <c r="AQ369" s="77"/>
      <c r="AR369" s="77"/>
      <c r="AS369" s="77"/>
      <c r="AT369" s="77"/>
      <c r="AU369" s="77"/>
      <c r="AV369" s="83" t="str">
        <f>HYPERLINK("https://pbs.twimg.com/profile_images/849133030237061120/6hUrNP0a_normal.jpg")</f>
        <v>https://pbs.twimg.com/profile_images/849133030237061120/6hUrNP0a_normal.jpg</v>
      </c>
      <c r="AW369" s="81" t="s">
        <v>1072</v>
      </c>
      <c r="AX369" s="81" t="s">
        <v>1072</v>
      </c>
      <c r="AY369" s="77"/>
      <c r="AZ369" s="81" t="s">
        <v>1190</v>
      </c>
      <c r="BA369" s="81" t="s">
        <v>1190</v>
      </c>
      <c r="BB369" s="81" t="s">
        <v>1190</v>
      </c>
      <c r="BC369" s="81" t="s">
        <v>1072</v>
      </c>
      <c r="BD369" s="77">
        <v>151934168</v>
      </c>
      <c r="BE369" s="77"/>
      <c r="BF369" s="77"/>
      <c r="BG369" s="77"/>
      <c r="BH369" s="77"/>
      <c r="BI369" s="77"/>
      <c r="BJ369">
        <v>1</v>
      </c>
      <c r="BK369" s="76" t="str">
        <f>REPLACE(INDEX(GroupVertices[Group],MATCH(Edges[[#This Row],[Vertex 1]],GroupVertices[Vertex],0)),1,1,"")</f>
        <v>3</v>
      </c>
      <c r="BL369" s="76" t="str">
        <f>REPLACE(INDEX(GroupVertices[Group],MATCH(Edges[[#This Row],[Vertex 2]],GroupVertices[Vertex],0)),1,1,"")</f>
        <v>3</v>
      </c>
      <c r="BM369" s="45"/>
      <c r="BN369" s="46"/>
      <c r="BO369" s="45"/>
      <c r="BP369" s="46"/>
      <c r="BQ369" s="45"/>
      <c r="BR369" s="46"/>
      <c r="BS369" s="45"/>
      <c r="BT369" s="46"/>
      <c r="BU369" s="45"/>
    </row>
    <row r="370" spans="1:73" ht="15">
      <c r="A370" s="61" t="s">
        <v>238</v>
      </c>
      <c r="B370" s="61" t="s">
        <v>435</v>
      </c>
      <c r="C370" s="62" t="s">
        <v>11692</v>
      </c>
      <c r="D370" s="63">
        <v>3</v>
      </c>
      <c r="E370" s="64" t="s">
        <v>132</v>
      </c>
      <c r="F370" s="65">
        <v>32</v>
      </c>
      <c r="G370" s="62"/>
      <c r="H370" s="66"/>
      <c r="I370" s="67"/>
      <c r="J370" s="67"/>
      <c r="K370" s="31" t="s">
        <v>65</v>
      </c>
      <c r="L370" s="75">
        <v>370</v>
      </c>
      <c r="M370" s="75"/>
      <c r="N370" s="69"/>
      <c r="O370" s="77" t="s">
        <v>539</v>
      </c>
      <c r="P370" s="79">
        <v>45161.142905092594</v>
      </c>
      <c r="Q370" s="77" t="s">
        <v>589</v>
      </c>
      <c r="R370" s="77">
        <v>2</v>
      </c>
      <c r="S370" s="77">
        <v>3</v>
      </c>
      <c r="T370" s="77">
        <v>1</v>
      </c>
      <c r="U370" s="77">
        <v>0</v>
      </c>
      <c r="V370" s="77">
        <v>744</v>
      </c>
      <c r="W370" s="81" t="s">
        <v>696</v>
      </c>
      <c r="X370" s="83" t="str">
        <f>HYPERLINK("https://bit.ly/45wr6UQ")</f>
        <v>https://bit.ly/45wr6UQ</v>
      </c>
      <c r="Y370" s="77" t="s">
        <v>740</v>
      </c>
      <c r="Z370" s="77" t="s">
        <v>781</v>
      </c>
      <c r="AA370" s="77"/>
      <c r="AB370" s="77"/>
      <c r="AC370" s="81" t="s">
        <v>853</v>
      </c>
      <c r="AD370" s="77" t="s">
        <v>859</v>
      </c>
      <c r="AE370" s="83" t="str">
        <f>HYPERLINK("https://twitter.com/smr_foundation/status/1694189164307333181")</f>
        <v>https://twitter.com/smr_foundation/status/1694189164307333181</v>
      </c>
      <c r="AF370" s="79">
        <v>45161.142905092594</v>
      </c>
      <c r="AG370" s="85">
        <v>45161</v>
      </c>
      <c r="AH370" s="81" t="s">
        <v>917</v>
      </c>
      <c r="AI370" s="77" t="b">
        <v>0</v>
      </c>
      <c r="AJ370" s="77"/>
      <c r="AK370" s="77"/>
      <c r="AL370" s="77"/>
      <c r="AM370" s="77"/>
      <c r="AN370" s="77"/>
      <c r="AO370" s="77"/>
      <c r="AP370" s="77"/>
      <c r="AQ370" s="77"/>
      <c r="AR370" s="77"/>
      <c r="AS370" s="77"/>
      <c r="AT370" s="77"/>
      <c r="AU370" s="77"/>
      <c r="AV370" s="83" t="str">
        <f>HYPERLINK("https://pbs.twimg.com/profile_images/849133030237061120/6hUrNP0a_normal.jpg")</f>
        <v>https://pbs.twimg.com/profile_images/849133030237061120/6hUrNP0a_normal.jpg</v>
      </c>
      <c r="AW370" s="81" t="s">
        <v>1072</v>
      </c>
      <c r="AX370" s="81" t="s">
        <v>1072</v>
      </c>
      <c r="AY370" s="77"/>
      <c r="AZ370" s="81" t="s">
        <v>1190</v>
      </c>
      <c r="BA370" s="81" t="s">
        <v>1190</v>
      </c>
      <c r="BB370" s="81" t="s">
        <v>1190</v>
      </c>
      <c r="BC370" s="81" t="s">
        <v>1072</v>
      </c>
      <c r="BD370" s="77">
        <v>151934168</v>
      </c>
      <c r="BE370" s="77"/>
      <c r="BF370" s="77"/>
      <c r="BG370" s="77"/>
      <c r="BH370" s="77"/>
      <c r="BI370" s="77"/>
      <c r="BJ370">
        <v>1</v>
      </c>
      <c r="BK370" s="76" t="str">
        <f>REPLACE(INDEX(GroupVertices[Group],MATCH(Edges[[#This Row],[Vertex 1]],GroupVertices[Vertex],0)),1,1,"")</f>
        <v>3</v>
      </c>
      <c r="BL370" s="76" t="str">
        <f>REPLACE(INDEX(GroupVertices[Group],MATCH(Edges[[#This Row],[Vertex 2]],GroupVertices[Vertex],0)),1,1,"")</f>
        <v>3</v>
      </c>
      <c r="BM370" s="45"/>
      <c r="BN370" s="46"/>
      <c r="BO370" s="45"/>
      <c r="BP370" s="46"/>
      <c r="BQ370" s="45"/>
      <c r="BR370" s="46"/>
      <c r="BS370" s="45"/>
      <c r="BT370" s="46"/>
      <c r="BU370" s="45"/>
    </row>
    <row r="371" spans="1:73" ht="15">
      <c r="A371" s="61" t="s">
        <v>238</v>
      </c>
      <c r="B371" s="61" t="s">
        <v>436</v>
      </c>
      <c r="C371" s="62" t="s">
        <v>11692</v>
      </c>
      <c r="D371" s="63">
        <v>3</v>
      </c>
      <c r="E371" s="64" t="s">
        <v>132</v>
      </c>
      <c r="F371" s="65">
        <v>32</v>
      </c>
      <c r="G371" s="62"/>
      <c r="H371" s="66"/>
      <c r="I371" s="67"/>
      <c r="J371" s="67"/>
      <c r="K371" s="31" t="s">
        <v>65</v>
      </c>
      <c r="L371" s="75">
        <v>371</v>
      </c>
      <c r="M371" s="75"/>
      <c r="N371" s="69"/>
      <c r="O371" s="77" t="s">
        <v>539</v>
      </c>
      <c r="P371" s="79">
        <v>45161.142905092594</v>
      </c>
      <c r="Q371" s="77" t="s">
        <v>589</v>
      </c>
      <c r="R371" s="77">
        <v>2</v>
      </c>
      <c r="S371" s="77">
        <v>3</v>
      </c>
      <c r="T371" s="77">
        <v>1</v>
      </c>
      <c r="U371" s="77">
        <v>0</v>
      </c>
      <c r="V371" s="77">
        <v>744</v>
      </c>
      <c r="W371" s="81" t="s">
        <v>696</v>
      </c>
      <c r="X371" s="83" t="str">
        <f>HYPERLINK("https://bit.ly/45wr6UQ")</f>
        <v>https://bit.ly/45wr6UQ</v>
      </c>
      <c r="Y371" s="77" t="s">
        <v>740</v>
      </c>
      <c r="Z371" s="77" t="s">
        <v>781</v>
      </c>
      <c r="AA371" s="77"/>
      <c r="AB371" s="77"/>
      <c r="AC371" s="81" t="s">
        <v>853</v>
      </c>
      <c r="AD371" s="77" t="s">
        <v>859</v>
      </c>
      <c r="AE371" s="83" t="str">
        <f>HYPERLINK("https://twitter.com/smr_foundation/status/1694189164307333181")</f>
        <v>https://twitter.com/smr_foundation/status/1694189164307333181</v>
      </c>
      <c r="AF371" s="79">
        <v>45161.142905092594</v>
      </c>
      <c r="AG371" s="85">
        <v>45161</v>
      </c>
      <c r="AH371" s="81" t="s">
        <v>917</v>
      </c>
      <c r="AI371" s="77" t="b">
        <v>0</v>
      </c>
      <c r="AJ371" s="77"/>
      <c r="AK371" s="77"/>
      <c r="AL371" s="77"/>
      <c r="AM371" s="77"/>
      <c r="AN371" s="77"/>
      <c r="AO371" s="77"/>
      <c r="AP371" s="77"/>
      <c r="AQ371" s="77"/>
      <c r="AR371" s="77"/>
      <c r="AS371" s="77"/>
      <c r="AT371" s="77"/>
      <c r="AU371" s="77"/>
      <c r="AV371" s="83" t="str">
        <f>HYPERLINK("https://pbs.twimg.com/profile_images/849133030237061120/6hUrNP0a_normal.jpg")</f>
        <v>https://pbs.twimg.com/profile_images/849133030237061120/6hUrNP0a_normal.jpg</v>
      </c>
      <c r="AW371" s="81" t="s">
        <v>1072</v>
      </c>
      <c r="AX371" s="81" t="s">
        <v>1072</v>
      </c>
      <c r="AY371" s="77"/>
      <c r="AZ371" s="81" t="s">
        <v>1190</v>
      </c>
      <c r="BA371" s="81" t="s">
        <v>1190</v>
      </c>
      <c r="BB371" s="81" t="s">
        <v>1190</v>
      </c>
      <c r="BC371" s="81" t="s">
        <v>1072</v>
      </c>
      <c r="BD371" s="77">
        <v>151934168</v>
      </c>
      <c r="BE371" s="77"/>
      <c r="BF371" s="77"/>
      <c r="BG371" s="77"/>
      <c r="BH371" s="77"/>
      <c r="BI371" s="77"/>
      <c r="BJ371">
        <v>1</v>
      </c>
      <c r="BK371" s="76" t="str">
        <f>REPLACE(INDEX(GroupVertices[Group],MATCH(Edges[[#This Row],[Vertex 1]],GroupVertices[Vertex],0)),1,1,"")</f>
        <v>3</v>
      </c>
      <c r="BL371" s="76" t="str">
        <f>REPLACE(INDEX(GroupVertices[Group],MATCH(Edges[[#This Row],[Vertex 2]],GroupVertices[Vertex],0)),1,1,"")</f>
        <v>3</v>
      </c>
      <c r="BM371" s="45"/>
      <c r="BN371" s="46"/>
      <c r="BO371" s="45"/>
      <c r="BP371" s="46"/>
      <c r="BQ371" s="45"/>
      <c r="BR371" s="46"/>
      <c r="BS371" s="45"/>
      <c r="BT371" s="46"/>
      <c r="BU371" s="45"/>
    </row>
    <row r="372" spans="1:73" ht="15">
      <c r="A372" s="61" t="s">
        <v>238</v>
      </c>
      <c r="B372" s="61" t="s">
        <v>437</v>
      </c>
      <c r="C372" s="62" t="s">
        <v>11692</v>
      </c>
      <c r="D372" s="63">
        <v>3</v>
      </c>
      <c r="E372" s="64" t="s">
        <v>132</v>
      </c>
      <c r="F372" s="65">
        <v>32</v>
      </c>
      <c r="G372" s="62"/>
      <c r="H372" s="66"/>
      <c r="I372" s="67"/>
      <c r="J372" s="67"/>
      <c r="K372" s="31" t="s">
        <v>65</v>
      </c>
      <c r="L372" s="75">
        <v>372</v>
      </c>
      <c r="M372" s="75"/>
      <c r="N372" s="69"/>
      <c r="O372" s="77" t="s">
        <v>539</v>
      </c>
      <c r="P372" s="79">
        <v>45161.142905092594</v>
      </c>
      <c r="Q372" s="77" t="s">
        <v>589</v>
      </c>
      <c r="R372" s="77">
        <v>2</v>
      </c>
      <c r="S372" s="77">
        <v>3</v>
      </c>
      <c r="T372" s="77">
        <v>1</v>
      </c>
      <c r="U372" s="77">
        <v>0</v>
      </c>
      <c r="V372" s="77">
        <v>744</v>
      </c>
      <c r="W372" s="81" t="s">
        <v>696</v>
      </c>
      <c r="X372" s="83" t="str">
        <f>HYPERLINK("https://bit.ly/45wr6UQ")</f>
        <v>https://bit.ly/45wr6UQ</v>
      </c>
      <c r="Y372" s="77" t="s">
        <v>740</v>
      </c>
      <c r="Z372" s="77" t="s">
        <v>781</v>
      </c>
      <c r="AA372" s="77"/>
      <c r="AB372" s="77"/>
      <c r="AC372" s="81" t="s">
        <v>853</v>
      </c>
      <c r="AD372" s="77" t="s">
        <v>859</v>
      </c>
      <c r="AE372" s="83" t="str">
        <f>HYPERLINK("https://twitter.com/smr_foundation/status/1694189164307333181")</f>
        <v>https://twitter.com/smr_foundation/status/1694189164307333181</v>
      </c>
      <c r="AF372" s="79">
        <v>45161.142905092594</v>
      </c>
      <c r="AG372" s="85">
        <v>45161</v>
      </c>
      <c r="AH372" s="81" t="s">
        <v>917</v>
      </c>
      <c r="AI372" s="77" t="b">
        <v>0</v>
      </c>
      <c r="AJ372" s="77"/>
      <c r="AK372" s="77"/>
      <c r="AL372" s="77"/>
      <c r="AM372" s="77"/>
      <c r="AN372" s="77"/>
      <c r="AO372" s="77"/>
      <c r="AP372" s="77"/>
      <c r="AQ372" s="77"/>
      <c r="AR372" s="77"/>
      <c r="AS372" s="77"/>
      <c r="AT372" s="77"/>
      <c r="AU372" s="77"/>
      <c r="AV372" s="83" t="str">
        <f>HYPERLINK("https://pbs.twimg.com/profile_images/849133030237061120/6hUrNP0a_normal.jpg")</f>
        <v>https://pbs.twimg.com/profile_images/849133030237061120/6hUrNP0a_normal.jpg</v>
      </c>
      <c r="AW372" s="81" t="s">
        <v>1072</v>
      </c>
      <c r="AX372" s="81" t="s">
        <v>1072</v>
      </c>
      <c r="AY372" s="77"/>
      <c r="AZ372" s="81" t="s">
        <v>1190</v>
      </c>
      <c r="BA372" s="81" t="s">
        <v>1190</v>
      </c>
      <c r="BB372" s="81" t="s">
        <v>1190</v>
      </c>
      <c r="BC372" s="81" t="s">
        <v>1072</v>
      </c>
      <c r="BD372" s="77">
        <v>151934168</v>
      </c>
      <c r="BE372" s="77"/>
      <c r="BF372" s="77"/>
      <c r="BG372" s="77"/>
      <c r="BH372" s="77"/>
      <c r="BI372" s="77"/>
      <c r="BJ372">
        <v>1</v>
      </c>
      <c r="BK372" s="76" t="str">
        <f>REPLACE(INDEX(GroupVertices[Group],MATCH(Edges[[#This Row],[Vertex 1]],GroupVertices[Vertex],0)),1,1,"")</f>
        <v>3</v>
      </c>
      <c r="BL372" s="76" t="str">
        <f>REPLACE(INDEX(GroupVertices[Group],MATCH(Edges[[#This Row],[Vertex 2]],GroupVertices[Vertex],0)),1,1,"")</f>
        <v>3</v>
      </c>
      <c r="BM372" s="45"/>
      <c r="BN372" s="46"/>
      <c r="BO372" s="45"/>
      <c r="BP372" s="46"/>
      <c r="BQ372" s="45"/>
      <c r="BR372" s="46"/>
      <c r="BS372" s="45"/>
      <c r="BT372" s="46"/>
      <c r="BU372" s="45"/>
    </row>
    <row r="373" spans="1:73" ht="15">
      <c r="A373" s="61" t="s">
        <v>238</v>
      </c>
      <c r="B373" s="61" t="s">
        <v>438</v>
      </c>
      <c r="C373" s="62" t="s">
        <v>11692</v>
      </c>
      <c r="D373" s="63">
        <v>3</v>
      </c>
      <c r="E373" s="64" t="s">
        <v>132</v>
      </c>
      <c r="F373" s="65">
        <v>32</v>
      </c>
      <c r="G373" s="62"/>
      <c r="H373" s="66"/>
      <c r="I373" s="67"/>
      <c r="J373" s="67"/>
      <c r="K373" s="31" t="s">
        <v>65</v>
      </c>
      <c r="L373" s="75">
        <v>373</v>
      </c>
      <c r="M373" s="75"/>
      <c r="N373" s="69"/>
      <c r="O373" s="77" t="s">
        <v>539</v>
      </c>
      <c r="P373" s="79">
        <v>45161.142905092594</v>
      </c>
      <c r="Q373" s="77" t="s">
        <v>589</v>
      </c>
      <c r="R373" s="77">
        <v>2</v>
      </c>
      <c r="S373" s="77">
        <v>3</v>
      </c>
      <c r="T373" s="77">
        <v>1</v>
      </c>
      <c r="U373" s="77">
        <v>0</v>
      </c>
      <c r="V373" s="77">
        <v>744</v>
      </c>
      <c r="W373" s="81" t="s">
        <v>696</v>
      </c>
      <c r="X373" s="83" t="str">
        <f>HYPERLINK("https://bit.ly/45wr6UQ")</f>
        <v>https://bit.ly/45wr6UQ</v>
      </c>
      <c r="Y373" s="77" t="s">
        <v>740</v>
      </c>
      <c r="Z373" s="77" t="s">
        <v>781</v>
      </c>
      <c r="AA373" s="77"/>
      <c r="AB373" s="77"/>
      <c r="AC373" s="81" t="s">
        <v>853</v>
      </c>
      <c r="AD373" s="77" t="s">
        <v>859</v>
      </c>
      <c r="AE373" s="83" t="str">
        <f>HYPERLINK("https://twitter.com/smr_foundation/status/1694189164307333181")</f>
        <v>https://twitter.com/smr_foundation/status/1694189164307333181</v>
      </c>
      <c r="AF373" s="79">
        <v>45161.142905092594</v>
      </c>
      <c r="AG373" s="85">
        <v>45161</v>
      </c>
      <c r="AH373" s="81" t="s">
        <v>917</v>
      </c>
      <c r="AI373" s="77" t="b">
        <v>0</v>
      </c>
      <c r="AJ373" s="77"/>
      <c r="AK373" s="77"/>
      <c r="AL373" s="77"/>
      <c r="AM373" s="77"/>
      <c r="AN373" s="77"/>
      <c r="AO373" s="77"/>
      <c r="AP373" s="77"/>
      <c r="AQ373" s="77"/>
      <c r="AR373" s="77"/>
      <c r="AS373" s="77"/>
      <c r="AT373" s="77"/>
      <c r="AU373" s="77"/>
      <c r="AV373" s="83" t="str">
        <f>HYPERLINK("https://pbs.twimg.com/profile_images/849133030237061120/6hUrNP0a_normal.jpg")</f>
        <v>https://pbs.twimg.com/profile_images/849133030237061120/6hUrNP0a_normal.jpg</v>
      </c>
      <c r="AW373" s="81" t="s">
        <v>1072</v>
      </c>
      <c r="AX373" s="81" t="s">
        <v>1072</v>
      </c>
      <c r="AY373" s="77"/>
      <c r="AZ373" s="81" t="s">
        <v>1190</v>
      </c>
      <c r="BA373" s="81" t="s">
        <v>1190</v>
      </c>
      <c r="BB373" s="81" t="s">
        <v>1190</v>
      </c>
      <c r="BC373" s="81" t="s">
        <v>1072</v>
      </c>
      <c r="BD373" s="77">
        <v>151934168</v>
      </c>
      <c r="BE373" s="77"/>
      <c r="BF373" s="77"/>
      <c r="BG373" s="77"/>
      <c r="BH373" s="77"/>
      <c r="BI373" s="77"/>
      <c r="BJ373">
        <v>1</v>
      </c>
      <c r="BK373" s="76" t="str">
        <f>REPLACE(INDEX(GroupVertices[Group],MATCH(Edges[[#This Row],[Vertex 1]],GroupVertices[Vertex],0)),1,1,"")</f>
        <v>3</v>
      </c>
      <c r="BL373" s="76" t="str">
        <f>REPLACE(INDEX(GroupVertices[Group],MATCH(Edges[[#This Row],[Vertex 2]],GroupVertices[Vertex],0)),1,1,"")</f>
        <v>3</v>
      </c>
      <c r="BM373" s="45"/>
      <c r="BN373" s="46"/>
      <c r="BO373" s="45"/>
      <c r="BP373" s="46"/>
      <c r="BQ373" s="45"/>
      <c r="BR373" s="46"/>
      <c r="BS373" s="45"/>
      <c r="BT373" s="46"/>
      <c r="BU373" s="45"/>
    </row>
    <row r="374" spans="1:73" ht="15">
      <c r="A374" s="61" t="s">
        <v>238</v>
      </c>
      <c r="B374" s="61" t="s">
        <v>439</v>
      </c>
      <c r="C374" s="62" t="s">
        <v>11692</v>
      </c>
      <c r="D374" s="63">
        <v>3</v>
      </c>
      <c r="E374" s="64" t="s">
        <v>132</v>
      </c>
      <c r="F374" s="65">
        <v>32</v>
      </c>
      <c r="G374" s="62"/>
      <c r="H374" s="66"/>
      <c r="I374" s="67"/>
      <c r="J374" s="67"/>
      <c r="K374" s="31" t="s">
        <v>65</v>
      </c>
      <c r="L374" s="75">
        <v>374</v>
      </c>
      <c r="M374" s="75"/>
      <c r="N374" s="69"/>
      <c r="O374" s="77" t="s">
        <v>539</v>
      </c>
      <c r="P374" s="79">
        <v>45161.142905092594</v>
      </c>
      <c r="Q374" s="77" t="s">
        <v>589</v>
      </c>
      <c r="R374" s="77">
        <v>2</v>
      </c>
      <c r="S374" s="77">
        <v>3</v>
      </c>
      <c r="T374" s="77">
        <v>1</v>
      </c>
      <c r="U374" s="77">
        <v>0</v>
      </c>
      <c r="V374" s="77">
        <v>744</v>
      </c>
      <c r="W374" s="81" t="s">
        <v>696</v>
      </c>
      <c r="X374" s="83" t="str">
        <f>HYPERLINK("https://bit.ly/45wr6UQ")</f>
        <v>https://bit.ly/45wr6UQ</v>
      </c>
      <c r="Y374" s="77" t="s">
        <v>740</v>
      </c>
      <c r="Z374" s="77" t="s">
        <v>781</v>
      </c>
      <c r="AA374" s="77"/>
      <c r="AB374" s="77"/>
      <c r="AC374" s="81" t="s">
        <v>853</v>
      </c>
      <c r="AD374" s="77" t="s">
        <v>859</v>
      </c>
      <c r="AE374" s="83" t="str">
        <f>HYPERLINK("https://twitter.com/smr_foundation/status/1694189164307333181")</f>
        <v>https://twitter.com/smr_foundation/status/1694189164307333181</v>
      </c>
      <c r="AF374" s="79">
        <v>45161.142905092594</v>
      </c>
      <c r="AG374" s="85">
        <v>45161</v>
      </c>
      <c r="AH374" s="81" t="s">
        <v>917</v>
      </c>
      <c r="AI374" s="77" t="b">
        <v>0</v>
      </c>
      <c r="AJ374" s="77"/>
      <c r="AK374" s="77"/>
      <c r="AL374" s="77"/>
      <c r="AM374" s="77"/>
      <c r="AN374" s="77"/>
      <c r="AO374" s="77"/>
      <c r="AP374" s="77"/>
      <c r="AQ374" s="77"/>
      <c r="AR374" s="77"/>
      <c r="AS374" s="77"/>
      <c r="AT374" s="77"/>
      <c r="AU374" s="77"/>
      <c r="AV374" s="83" t="str">
        <f>HYPERLINK("https://pbs.twimg.com/profile_images/849133030237061120/6hUrNP0a_normal.jpg")</f>
        <v>https://pbs.twimg.com/profile_images/849133030237061120/6hUrNP0a_normal.jpg</v>
      </c>
      <c r="AW374" s="81" t="s">
        <v>1072</v>
      </c>
      <c r="AX374" s="81" t="s">
        <v>1072</v>
      </c>
      <c r="AY374" s="77"/>
      <c r="AZ374" s="81" t="s">
        <v>1190</v>
      </c>
      <c r="BA374" s="81" t="s">
        <v>1190</v>
      </c>
      <c r="BB374" s="81" t="s">
        <v>1190</v>
      </c>
      <c r="BC374" s="81" t="s">
        <v>1072</v>
      </c>
      <c r="BD374" s="77">
        <v>151934168</v>
      </c>
      <c r="BE374" s="77"/>
      <c r="BF374" s="77"/>
      <c r="BG374" s="77"/>
      <c r="BH374" s="77"/>
      <c r="BI374" s="77"/>
      <c r="BJ374">
        <v>1</v>
      </c>
      <c r="BK374" s="76" t="str">
        <f>REPLACE(INDEX(GroupVertices[Group],MATCH(Edges[[#This Row],[Vertex 1]],GroupVertices[Vertex],0)),1,1,"")</f>
        <v>3</v>
      </c>
      <c r="BL374" s="76" t="str">
        <f>REPLACE(INDEX(GroupVertices[Group],MATCH(Edges[[#This Row],[Vertex 2]],GroupVertices[Vertex],0)),1,1,"")</f>
        <v>3</v>
      </c>
      <c r="BM374" s="45"/>
      <c r="BN374" s="46"/>
      <c r="BO374" s="45"/>
      <c r="BP374" s="46"/>
      <c r="BQ374" s="45"/>
      <c r="BR374" s="46"/>
      <c r="BS374" s="45"/>
      <c r="BT374" s="46"/>
      <c r="BU374" s="45"/>
    </row>
    <row r="375" spans="1:73" ht="15">
      <c r="A375" s="61" t="s">
        <v>238</v>
      </c>
      <c r="B375" s="61" t="s">
        <v>440</v>
      </c>
      <c r="C375" s="62" t="s">
        <v>11692</v>
      </c>
      <c r="D375" s="63">
        <v>3</v>
      </c>
      <c r="E375" s="64" t="s">
        <v>132</v>
      </c>
      <c r="F375" s="65">
        <v>32</v>
      </c>
      <c r="G375" s="62"/>
      <c r="H375" s="66"/>
      <c r="I375" s="67"/>
      <c r="J375" s="67"/>
      <c r="K375" s="31" t="s">
        <v>65</v>
      </c>
      <c r="L375" s="75">
        <v>375</v>
      </c>
      <c r="M375" s="75"/>
      <c r="N375" s="69"/>
      <c r="O375" s="77" t="s">
        <v>539</v>
      </c>
      <c r="P375" s="79">
        <v>45161.142905092594</v>
      </c>
      <c r="Q375" s="77" t="s">
        <v>589</v>
      </c>
      <c r="R375" s="77">
        <v>2</v>
      </c>
      <c r="S375" s="77">
        <v>3</v>
      </c>
      <c r="T375" s="77">
        <v>1</v>
      </c>
      <c r="U375" s="77">
        <v>0</v>
      </c>
      <c r="V375" s="77">
        <v>744</v>
      </c>
      <c r="W375" s="81" t="s">
        <v>696</v>
      </c>
      <c r="X375" s="83" t="str">
        <f>HYPERLINK("https://bit.ly/45wr6UQ")</f>
        <v>https://bit.ly/45wr6UQ</v>
      </c>
      <c r="Y375" s="77" t="s">
        <v>740</v>
      </c>
      <c r="Z375" s="77" t="s">
        <v>781</v>
      </c>
      <c r="AA375" s="77"/>
      <c r="AB375" s="77"/>
      <c r="AC375" s="81" t="s">
        <v>853</v>
      </c>
      <c r="AD375" s="77" t="s">
        <v>859</v>
      </c>
      <c r="AE375" s="83" t="str">
        <f>HYPERLINK("https://twitter.com/smr_foundation/status/1694189164307333181")</f>
        <v>https://twitter.com/smr_foundation/status/1694189164307333181</v>
      </c>
      <c r="AF375" s="79">
        <v>45161.142905092594</v>
      </c>
      <c r="AG375" s="85">
        <v>45161</v>
      </c>
      <c r="AH375" s="81" t="s">
        <v>917</v>
      </c>
      <c r="AI375" s="77" t="b">
        <v>0</v>
      </c>
      <c r="AJ375" s="77"/>
      <c r="AK375" s="77"/>
      <c r="AL375" s="77"/>
      <c r="AM375" s="77"/>
      <c r="AN375" s="77"/>
      <c r="AO375" s="77"/>
      <c r="AP375" s="77"/>
      <c r="AQ375" s="77"/>
      <c r="AR375" s="77"/>
      <c r="AS375" s="77"/>
      <c r="AT375" s="77"/>
      <c r="AU375" s="77"/>
      <c r="AV375" s="83" t="str">
        <f>HYPERLINK("https://pbs.twimg.com/profile_images/849133030237061120/6hUrNP0a_normal.jpg")</f>
        <v>https://pbs.twimg.com/profile_images/849133030237061120/6hUrNP0a_normal.jpg</v>
      </c>
      <c r="AW375" s="81" t="s">
        <v>1072</v>
      </c>
      <c r="AX375" s="81" t="s">
        <v>1072</v>
      </c>
      <c r="AY375" s="77"/>
      <c r="AZ375" s="81" t="s">
        <v>1190</v>
      </c>
      <c r="BA375" s="81" t="s">
        <v>1190</v>
      </c>
      <c r="BB375" s="81" t="s">
        <v>1190</v>
      </c>
      <c r="BC375" s="81" t="s">
        <v>1072</v>
      </c>
      <c r="BD375" s="77">
        <v>151934168</v>
      </c>
      <c r="BE375" s="77"/>
      <c r="BF375" s="77"/>
      <c r="BG375" s="77"/>
      <c r="BH375" s="77"/>
      <c r="BI375" s="77"/>
      <c r="BJ375">
        <v>1</v>
      </c>
      <c r="BK375" s="76" t="str">
        <f>REPLACE(INDEX(GroupVertices[Group],MATCH(Edges[[#This Row],[Vertex 1]],GroupVertices[Vertex],0)),1,1,"")</f>
        <v>3</v>
      </c>
      <c r="BL375" s="76" t="str">
        <f>REPLACE(INDEX(GroupVertices[Group],MATCH(Edges[[#This Row],[Vertex 2]],GroupVertices[Vertex],0)),1,1,"")</f>
        <v>3</v>
      </c>
      <c r="BM375" s="45"/>
      <c r="BN375" s="46"/>
      <c r="BO375" s="45"/>
      <c r="BP375" s="46"/>
      <c r="BQ375" s="45"/>
      <c r="BR375" s="46"/>
      <c r="BS375" s="45"/>
      <c r="BT375" s="46"/>
      <c r="BU375" s="45"/>
    </row>
    <row r="376" spans="1:73" ht="15">
      <c r="A376" s="61" t="s">
        <v>238</v>
      </c>
      <c r="B376" s="61" t="s">
        <v>441</v>
      </c>
      <c r="C376" s="62" t="s">
        <v>11692</v>
      </c>
      <c r="D376" s="63">
        <v>3</v>
      </c>
      <c r="E376" s="64" t="s">
        <v>132</v>
      </c>
      <c r="F376" s="65">
        <v>32</v>
      </c>
      <c r="G376" s="62"/>
      <c r="H376" s="66"/>
      <c r="I376" s="67"/>
      <c r="J376" s="67"/>
      <c r="K376" s="31" t="s">
        <v>65</v>
      </c>
      <c r="L376" s="75">
        <v>376</v>
      </c>
      <c r="M376" s="75"/>
      <c r="N376" s="69"/>
      <c r="O376" s="77" t="s">
        <v>539</v>
      </c>
      <c r="P376" s="79">
        <v>45161.142905092594</v>
      </c>
      <c r="Q376" s="77" t="s">
        <v>589</v>
      </c>
      <c r="R376" s="77">
        <v>2</v>
      </c>
      <c r="S376" s="77">
        <v>3</v>
      </c>
      <c r="T376" s="77">
        <v>1</v>
      </c>
      <c r="U376" s="77">
        <v>0</v>
      </c>
      <c r="V376" s="77">
        <v>744</v>
      </c>
      <c r="W376" s="81" t="s">
        <v>696</v>
      </c>
      <c r="X376" s="83" t="str">
        <f>HYPERLINK("https://bit.ly/45wr6UQ")</f>
        <v>https://bit.ly/45wr6UQ</v>
      </c>
      <c r="Y376" s="77" t="s">
        <v>740</v>
      </c>
      <c r="Z376" s="77" t="s">
        <v>781</v>
      </c>
      <c r="AA376" s="77"/>
      <c r="AB376" s="77"/>
      <c r="AC376" s="81" t="s">
        <v>853</v>
      </c>
      <c r="AD376" s="77" t="s">
        <v>859</v>
      </c>
      <c r="AE376" s="83" t="str">
        <f>HYPERLINK("https://twitter.com/smr_foundation/status/1694189164307333181")</f>
        <v>https://twitter.com/smr_foundation/status/1694189164307333181</v>
      </c>
      <c r="AF376" s="79">
        <v>45161.142905092594</v>
      </c>
      <c r="AG376" s="85">
        <v>45161</v>
      </c>
      <c r="AH376" s="81" t="s">
        <v>917</v>
      </c>
      <c r="AI376" s="77" t="b">
        <v>0</v>
      </c>
      <c r="AJ376" s="77"/>
      <c r="AK376" s="77"/>
      <c r="AL376" s="77"/>
      <c r="AM376" s="77"/>
      <c r="AN376" s="77"/>
      <c r="AO376" s="77"/>
      <c r="AP376" s="77"/>
      <c r="AQ376" s="77"/>
      <c r="AR376" s="77"/>
      <c r="AS376" s="77"/>
      <c r="AT376" s="77"/>
      <c r="AU376" s="77"/>
      <c r="AV376" s="83" t="str">
        <f>HYPERLINK("https://pbs.twimg.com/profile_images/849133030237061120/6hUrNP0a_normal.jpg")</f>
        <v>https://pbs.twimg.com/profile_images/849133030237061120/6hUrNP0a_normal.jpg</v>
      </c>
      <c r="AW376" s="81" t="s">
        <v>1072</v>
      </c>
      <c r="AX376" s="81" t="s">
        <v>1072</v>
      </c>
      <c r="AY376" s="77"/>
      <c r="AZ376" s="81" t="s">
        <v>1190</v>
      </c>
      <c r="BA376" s="81" t="s">
        <v>1190</v>
      </c>
      <c r="BB376" s="81" t="s">
        <v>1190</v>
      </c>
      <c r="BC376" s="81" t="s">
        <v>1072</v>
      </c>
      <c r="BD376" s="77">
        <v>151934168</v>
      </c>
      <c r="BE376" s="77"/>
      <c r="BF376" s="77"/>
      <c r="BG376" s="77"/>
      <c r="BH376" s="77"/>
      <c r="BI376" s="77"/>
      <c r="BJ376">
        <v>1</v>
      </c>
      <c r="BK376" s="76" t="str">
        <f>REPLACE(INDEX(GroupVertices[Group],MATCH(Edges[[#This Row],[Vertex 1]],GroupVertices[Vertex],0)),1,1,"")</f>
        <v>3</v>
      </c>
      <c r="BL376" s="76" t="str">
        <f>REPLACE(INDEX(GroupVertices[Group],MATCH(Edges[[#This Row],[Vertex 2]],GroupVertices[Vertex],0)),1,1,"")</f>
        <v>3</v>
      </c>
      <c r="BM376" s="45"/>
      <c r="BN376" s="46"/>
      <c r="BO376" s="45"/>
      <c r="BP376" s="46"/>
      <c r="BQ376" s="45"/>
      <c r="BR376" s="46"/>
      <c r="BS376" s="45"/>
      <c r="BT376" s="46"/>
      <c r="BU376" s="45"/>
    </row>
    <row r="377" spans="1:73" ht="15">
      <c r="A377" s="61" t="s">
        <v>238</v>
      </c>
      <c r="B377" s="61" t="s">
        <v>442</v>
      </c>
      <c r="C377" s="62" t="s">
        <v>11692</v>
      </c>
      <c r="D377" s="63">
        <v>3</v>
      </c>
      <c r="E377" s="64" t="s">
        <v>132</v>
      </c>
      <c r="F377" s="65">
        <v>32</v>
      </c>
      <c r="G377" s="62"/>
      <c r="H377" s="66"/>
      <c r="I377" s="67"/>
      <c r="J377" s="67"/>
      <c r="K377" s="31" t="s">
        <v>65</v>
      </c>
      <c r="L377" s="75">
        <v>377</v>
      </c>
      <c r="M377" s="75"/>
      <c r="N377" s="69"/>
      <c r="O377" s="77" t="s">
        <v>539</v>
      </c>
      <c r="P377" s="79">
        <v>45161.142905092594</v>
      </c>
      <c r="Q377" s="77" t="s">
        <v>589</v>
      </c>
      <c r="R377" s="77">
        <v>2</v>
      </c>
      <c r="S377" s="77">
        <v>3</v>
      </c>
      <c r="T377" s="77">
        <v>1</v>
      </c>
      <c r="U377" s="77">
        <v>0</v>
      </c>
      <c r="V377" s="77">
        <v>744</v>
      </c>
      <c r="W377" s="81" t="s">
        <v>696</v>
      </c>
      <c r="X377" s="83" t="str">
        <f>HYPERLINK("https://bit.ly/45wr6UQ")</f>
        <v>https://bit.ly/45wr6UQ</v>
      </c>
      <c r="Y377" s="77" t="s">
        <v>740</v>
      </c>
      <c r="Z377" s="77" t="s">
        <v>781</v>
      </c>
      <c r="AA377" s="77"/>
      <c r="AB377" s="77"/>
      <c r="AC377" s="81" t="s">
        <v>853</v>
      </c>
      <c r="AD377" s="77" t="s">
        <v>859</v>
      </c>
      <c r="AE377" s="83" t="str">
        <f>HYPERLINK("https://twitter.com/smr_foundation/status/1694189164307333181")</f>
        <v>https://twitter.com/smr_foundation/status/1694189164307333181</v>
      </c>
      <c r="AF377" s="79">
        <v>45161.142905092594</v>
      </c>
      <c r="AG377" s="85">
        <v>45161</v>
      </c>
      <c r="AH377" s="81" t="s">
        <v>917</v>
      </c>
      <c r="AI377" s="77" t="b">
        <v>0</v>
      </c>
      <c r="AJ377" s="77"/>
      <c r="AK377" s="77"/>
      <c r="AL377" s="77"/>
      <c r="AM377" s="77"/>
      <c r="AN377" s="77"/>
      <c r="AO377" s="77"/>
      <c r="AP377" s="77"/>
      <c r="AQ377" s="77"/>
      <c r="AR377" s="77"/>
      <c r="AS377" s="77"/>
      <c r="AT377" s="77"/>
      <c r="AU377" s="77"/>
      <c r="AV377" s="83" t="str">
        <f>HYPERLINK("https://pbs.twimg.com/profile_images/849133030237061120/6hUrNP0a_normal.jpg")</f>
        <v>https://pbs.twimg.com/profile_images/849133030237061120/6hUrNP0a_normal.jpg</v>
      </c>
      <c r="AW377" s="81" t="s">
        <v>1072</v>
      </c>
      <c r="AX377" s="81" t="s">
        <v>1072</v>
      </c>
      <c r="AY377" s="77"/>
      <c r="AZ377" s="81" t="s">
        <v>1190</v>
      </c>
      <c r="BA377" s="81" t="s">
        <v>1190</v>
      </c>
      <c r="BB377" s="81" t="s">
        <v>1190</v>
      </c>
      <c r="BC377" s="81" t="s">
        <v>1072</v>
      </c>
      <c r="BD377" s="77">
        <v>151934168</v>
      </c>
      <c r="BE377" s="77"/>
      <c r="BF377" s="77"/>
      <c r="BG377" s="77"/>
      <c r="BH377" s="77"/>
      <c r="BI377" s="77"/>
      <c r="BJ377">
        <v>1</v>
      </c>
      <c r="BK377" s="76" t="str">
        <f>REPLACE(INDEX(GroupVertices[Group],MATCH(Edges[[#This Row],[Vertex 1]],GroupVertices[Vertex],0)),1,1,"")</f>
        <v>3</v>
      </c>
      <c r="BL377" s="76" t="str">
        <f>REPLACE(INDEX(GroupVertices[Group],MATCH(Edges[[#This Row],[Vertex 2]],GroupVertices[Vertex],0)),1,1,"")</f>
        <v>3</v>
      </c>
      <c r="BM377" s="45">
        <v>1</v>
      </c>
      <c r="BN377" s="46">
        <v>4.545454545454546</v>
      </c>
      <c r="BO377" s="45">
        <v>0</v>
      </c>
      <c r="BP377" s="46">
        <v>0</v>
      </c>
      <c r="BQ377" s="45">
        <v>0</v>
      </c>
      <c r="BR377" s="46">
        <v>0</v>
      </c>
      <c r="BS377" s="45">
        <v>20</v>
      </c>
      <c r="BT377" s="46">
        <v>90.9090909090909</v>
      </c>
      <c r="BU377" s="45">
        <v>22</v>
      </c>
    </row>
    <row r="378" spans="1:73" ht="15">
      <c r="A378" s="61" t="s">
        <v>228</v>
      </c>
      <c r="B378" s="61" t="s">
        <v>443</v>
      </c>
      <c r="C378" s="62" t="s">
        <v>11692</v>
      </c>
      <c r="D378" s="63">
        <v>3</v>
      </c>
      <c r="E378" s="64" t="s">
        <v>132</v>
      </c>
      <c r="F378" s="65">
        <v>32</v>
      </c>
      <c r="G378" s="62"/>
      <c r="H378" s="66"/>
      <c r="I378" s="67"/>
      <c r="J378" s="67"/>
      <c r="K378" s="31" t="s">
        <v>65</v>
      </c>
      <c r="L378" s="75">
        <v>378</v>
      </c>
      <c r="M378" s="75"/>
      <c r="N378" s="69"/>
      <c r="O378" s="77" t="s">
        <v>539</v>
      </c>
      <c r="P378" s="79">
        <v>45162.93407407407</v>
      </c>
      <c r="Q378" s="77" t="s">
        <v>561</v>
      </c>
      <c r="R378" s="77">
        <v>0</v>
      </c>
      <c r="S378" s="77">
        <v>1</v>
      </c>
      <c r="T378" s="77">
        <v>0</v>
      </c>
      <c r="U378" s="77">
        <v>0</v>
      </c>
      <c r="V378" s="77">
        <v>361</v>
      </c>
      <c r="W378" s="81" t="s">
        <v>674</v>
      </c>
      <c r="X378" s="83" t="str">
        <f>HYPERLINK("https://bit.ly/44sbaBT")</f>
        <v>https://bit.ly/44sbaBT</v>
      </c>
      <c r="Y378" s="77" t="s">
        <v>740</v>
      </c>
      <c r="Z378" s="77" t="s">
        <v>759</v>
      </c>
      <c r="AA378" s="77"/>
      <c r="AB378" s="77"/>
      <c r="AC378" s="81" t="s">
        <v>857</v>
      </c>
      <c r="AD378" s="77" t="s">
        <v>859</v>
      </c>
      <c r="AE378" s="83" t="str">
        <f>HYPERLINK("https://twitter.com/nodexl/status/1694838260445683717")</f>
        <v>https://twitter.com/nodexl/status/1694838260445683717</v>
      </c>
      <c r="AF378" s="79">
        <v>45162.93407407407</v>
      </c>
      <c r="AG378" s="85">
        <v>45162</v>
      </c>
      <c r="AH378" s="81" t="s">
        <v>888</v>
      </c>
      <c r="AI378" s="77" t="b">
        <v>0</v>
      </c>
      <c r="AJ378" s="77"/>
      <c r="AK378" s="77"/>
      <c r="AL378" s="77"/>
      <c r="AM378" s="77"/>
      <c r="AN378" s="77"/>
      <c r="AO378" s="77"/>
      <c r="AP378" s="77"/>
      <c r="AQ378" s="77"/>
      <c r="AR378" s="77"/>
      <c r="AS378" s="77"/>
      <c r="AT378" s="77"/>
      <c r="AU378" s="77"/>
      <c r="AV378" s="83" t="str">
        <f>HYPERLINK("https://pbs.twimg.com/profile_images/849132774661308416/pa2Uplq1_normal.jpg")</f>
        <v>https://pbs.twimg.com/profile_images/849132774661308416/pa2Uplq1_normal.jpg</v>
      </c>
      <c r="AW378" s="81" t="s">
        <v>1043</v>
      </c>
      <c r="AX378" s="81" t="s">
        <v>1043</v>
      </c>
      <c r="AY378" s="77"/>
      <c r="AZ378" s="81" t="s">
        <v>1190</v>
      </c>
      <c r="BA378" s="81" t="s">
        <v>1190</v>
      </c>
      <c r="BB378" s="81" t="s">
        <v>1190</v>
      </c>
      <c r="BC378" s="81" t="s">
        <v>1043</v>
      </c>
      <c r="BD378" s="77">
        <v>87606674</v>
      </c>
      <c r="BE378" s="77"/>
      <c r="BF378" s="77"/>
      <c r="BG378" s="77"/>
      <c r="BH378" s="77"/>
      <c r="BI378" s="77"/>
      <c r="BJ378">
        <v>1</v>
      </c>
      <c r="BK378" s="76" t="str">
        <f>REPLACE(INDEX(GroupVertices[Group],MATCH(Edges[[#This Row],[Vertex 1]],GroupVertices[Vertex],0)),1,1,"")</f>
        <v>2</v>
      </c>
      <c r="BL378" s="76" t="str">
        <f>REPLACE(INDEX(GroupVertices[Group],MATCH(Edges[[#This Row],[Vertex 2]],GroupVertices[Vertex],0)),1,1,"")</f>
        <v>3</v>
      </c>
      <c r="BM378" s="45"/>
      <c r="BN378" s="46"/>
      <c r="BO378" s="45"/>
      <c r="BP378" s="46"/>
      <c r="BQ378" s="45"/>
      <c r="BR378" s="46"/>
      <c r="BS378" s="45"/>
      <c r="BT378" s="46"/>
      <c r="BU378" s="45"/>
    </row>
    <row r="379" spans="1:73" ht="15">
      <c r="A379" s="61" t="s">
        <v>238</v>
      </c>
      <c r="B379" s="61" t="s">
        <v>443</v>
      </c>
      <c r="C379" s="62" t="s">
        <v>11692</v>
      </c>
      <c r="D379" s="63">
        <v>3</v>
      </c>
      <c r="E379" s="64" t="s">
        <v>132</v>
      </c>
      <c r="F379" s="65">
        <v>32</v>
      </c>
      <c r="G379" s="62"/>
      <c r="H379" s="66"/>
      <c r="I379" s="67"/>
      <c r="J379" s="67"/>
      <c r="K379" s="31" t="s">
        <v>65</v>
      </c>
      <c r="L379" s="75">
        <v>379</v>
      </c>
      <c r="M379" s="75"/>
      <c r="N379" s="69"/>
      <c r="O379" s="77" t="s">
        <v>539</v>
      </c>
      <c r="P379" s="79">
        <v>45162.10681712963</v>
      </c>
      <c r="Q379" s="77" t="s">
        <v>590</v>
      </c>
      <c r="R379" s="77">
        <v>0</v>
      </c>
      <c r="S379" s="77">
        <v>0</v>
      </c>
      <c r="T379" s="77">
        <v>0</v>
      </c>
      <c r="U379" s="77">
        <v>0</v>
      </c>
      <c r="V379" s="77">
        <v>223</v>
      </c>
      <c r="W379" s="81" t="s">
        <v>697</v>
      </c>
      <c r="X379" s="83" t="str">
        <f>HYPERLINK("https://bit.ly/3QS5HRz")</f>
        <v>https://bit.ly/3QS5HRz</v>
      </c>
      <c r="Y379" s="77" t="s">
        <v>740</v>
      </c>
      <c r="Z379" s="77" t="s">
        <v>782</v>
      </c>
      <c r="AA379" s="77"/>
      <c r="AB379" s="77"/>
      <c r="AC379" s="81" t="s">
        <v>853</v>
      </c>
      <c r="AD379" s="77" t="s">
        <v>859</v>
      </c>
      <c r="AE379" s="83" t="str">
        <f>HYPERLINK("https://twitter.com/smr_foundation/status/1694538470428135483")</f>
        <v>https://twitter.com/smr_foundation/status/1694538470428135483</v>
      </c>
      <c r="AF379" s="79">
        <v>45162.10681712963</v>
      </c>
      <c r="AG379" s="85">
        <v>45162</v>
      </c>
      <c r="AH379" s="81" t="s">
        <v>918</v>
      </c>
      <c r="AI379" s="77" t="b">
        <v>0</v>
      </c>
      <c r="AJ379" s="77"/>
      <c r="AK379" s="77"/>
      <c r="AL379" s="77"/>
      <c r="AM379" s="77"/>
      <c r="AN379" s="77"/>
      <c r="AO379" s="77"/>
      <c r="AP379" s="77"/>
      <c r="AQ379" s="77"/>
      <c r="AR379" s="77"/>
      <c r="AS379" s="77"/>
      <c r="AT379" s="77"/>
      <c r="AU379" s="77"/>
      <c r="AV379" s="83" t="str">
        <f>HYPERLINK("https://pbs.twimg.com/profile_images/849133030237061120/6hUrNP0a_normal.jpg")</f>
        <v>https://pbs.twimg.com/profile_images/849133030237061120/6hUrNP0a_normal.jpg</v>
      </c>
      <c r="AW379" s="81" t="s">
        <v>1073</v>
      </c>
      <c r="AX379" s="81" t="s">
        <v>1073</v>
      </c>
      <c r="AY379" s="77"/>
      <c r="AZ379" s="81" t="s">
        <v>1190</v>
      </c>
      <c r="BA379" s="81" t="s">
        <v>1190</v>
      </c>
      <c r="BB379" s="81" t="s">
        <v>1190</v>
      </c>
      <c r="BC379" s="81" t="s">
        <v>1073</v>
      </c>
      <c r="BD379" s="77">
        <v>151934168</v>
      </c>
      <c r="BE379" s="77"/>
      <c r="BF379" s="77"/>
      <c r="BG379" s="77"/>
      <c r="BH379" s="77"/>
      <c r="BI379" s="77"/>
      <c r="BJ379">
        <v>1</v>
      </c>
      <c r="BK379" s="76" t="str">
        <f>REPLACE(INDEX(GroupVertices[Group],MATCH(Edges[[#This Row],[Vertex 1]],GroupVertices[Vertex],0)),1,1,"")</f>
        <v>3</v>
      </c>
      <c r="BL379" s="76" t="str">
        <f>REPLACE(INDEX(GroupVertices[Group],MATCH(Edges[[#This Row],[Vertex 2]],GroupVertices[Vertex],0)),1,1,"")</f>
        <v>3</v>
      </c>
      <c r="BM379" s="45"/>
      <c r="BN379" s="46"/>
      <c r="BO379" s="45"/>
      <c r="BP379" s="46"/>
      <c r="BQ379" s="45"/>
      <c r="BR379" s="46"/>
      <c r="BS379" s="45"/>
      <c r="BT379" s="46"/>
      <c r="BU379" s="45"/>
    </row>
    <row r="380" spans="1:73" ht="15">
      <c r="A380" s="61" t="s">
        <v>238</v>
      </c>
      <c r="B380" s="61" t="s">
        <v>444</v>
      </c>
      <c r="C380" s="62" t="s">
        <v>11692</v>
      </c>
      <c r="D380" s="63">
        <v>3</v>
      </c>
      <c r="E380" s="64" t="s">
        <v>132</v>
      </c>
      <c r="F380" s="65">
        <v>32</v>
      </c>
      <c r="G380" s="62"/>
      <c r="H380" s="66"/>
      <c r="I380" s="67"/>
      <c r="J380" s="67"/>
      <c r="K380" s="31" t="s">
        <v>65</v>
      </c>
      <c r="L380" s="75">
        <v>380</v>
      </c>
      <c r="M380" s="75"/>
      <c r="N380" s="69"/>
      <c r="O380" s="77" t="s">
        <v>539</v>
      </c>
      <c r="P380" s="79">
        <v>45162.10681712963</v>
      </c>
      <c r="Q380" s="77" t="s">
        <v>590</v>
      </c>
      <c r="R380" s="77">
        <v>0</v>
      </c>
      <c r="S380" s="77">
        <v>0</v>
      </c>
      <c r="T380" s="77">
        <v>0</v>
      </c>
      <c r="U380" s="77">
        <v>0</v>
      </c>
      <c r="V380" s="77">
        <v>223</v>
      </c>
      <c r="W380" s="81" t="s">
        <v>697</v>
      </c>
      <c r="X380" s="83" t="str">
        <f>HYPERLINK("https://bit.ly/3QS5HRz")</f>
        <v>https://bit.ly/3QS5HRz</v>
      </c>
      <c r="Y380" s="77" t="s">
        <v>740</v>
      </c>
      <c r="Z380" s="77" t="s">
        <v>782</v>
      </c>
      <c r="AA380" s="77"/>
      <c r="AB380" s="77"/>
      <c r="AC380" s="81" t="s">
        <v>853</v>
      </c>
      <c r="AD380" s="77" t="s">
        <v>859</v>
      </c>
      <c r="AE380" s="83" t="str">
        <f>HYPERLINK("https://twitter.com/smr_foundation/status/1694538470428135483")</f>
        <v>https://twitter.com/smr_foundation/status/1694538470428135483</v>
      </c>
      <c r="AF380" s="79">
        <v>45162.10681712963</v>
      </c>
      <c r="AG380" s="85">
        <v>45162</v>
      </c>
      <c r="AH380" s="81" t="s">
        <v>918</v>
      </c>
      <c r="AI380" s="77" t="b">
        <v>0</v>
      </c>
      <c r="AJ380" s="77"/>
      <c r="AK380" s="77"/>
      <c r="AL380" s="77"/>
      <c r="AM380" s="77"/>
      <c r="AN380" s="77"/>
      <c r="AO380" s="77"/>
      <c r="AP380" s="77"/>
      <c r="AQ380" s="77"/>
      <c r="AR380" s="77"/>
      <c r="AS380" s="77"/>
      <c r="AT380" s="77"/>
      <c r="AU380" s="77"/>
      <c r="AV380" s="83" t="str">
        <f>HYPERLINK("https://pbs.twimg.com/profile_images/849133030237061120/6hUrNP0a_normal.jpg")</f>
        <v>https://pbs.twimg.com/profile_images/849133030237061120/6hUrNP0a_normal.jpg</v>
      </c>
      <c r="AW380" s="81" t="s">
        <v>1073</v>
      </c>
      <c r="AX380" s="81" t="s">
        <v>1073</v>
      </c>
      <c r="AY380" s="77"/>
      <c r="AZ380" s="81" t="s">
        <v>1190</v>
      </c>
      <c r="BA380" s="81" t="s">
        <v>1190</v>
      </c>
      <c r="BB380" s="81" t="s">
        <v>1190</v>
      </c>
      <c r="BC380" s="81" t="s">
        <v>1073</v>
      </c>
      <c r="BD380" s="77">
        <v>151934168</v>
      </c>
      <c r="BE380" s="77"/>
      <c r="BF380" s="77"/>
      <c r="BG380" s="77"/>
      <c r="BH380" s="77"/>
      <c r="BI380" s="77"/>
      <c r="BJ380">
        <v>1</v>
      </c>
      <c r="BK380" s="76" t="str">
        <f>REPLACE(INDEX(GroupVertices[Group],MATCH(Edges[[#This Row],[Vertex 1]],GroupVertices[Vertex],0)),1,1,"")</f>
        <v>3</v>
      </c>
      <c r="BL380" s="76" t="str">
        <f>REPLACE(INDEX(GroupVertices[Group],MATCH(Edges[[#This Row],[Vertex 2]],GroupVertices[Vertex],0)),1,1,"")</f>
        <v>3</v>
      </c>
      <c r="BM380" s="45"/>
      <c r="BN380" s="46"/>
      <c r="BO380" s="45"/>
      <c r="BP380" s="46"/>
      <c r="BQ380" s="45"/>
      <c r="BR380" s="46"/>
      <c r="BS380" s="45"/>
      <c r="BT380" s="46"/>
      <c r="BU380" s="45"/>
    </row>
    <row r="381" spans="1:73" ht="15">
      <c r="A381" s="61" t="s">
        <v>238</v>
      </c>
      <c r="B381" s="61" t="s">
        <v>445</v>
      </c>
      <c r="C381" s="62" t="s">
        <v>11692</v>
      </c>
      <c r="D381" s="63">
        <v>3</v>
      </c>
      <c r="E381" s="64" t="s">
        <v>132</v>
      </c>
      <c r="F381" s="65">
        <v>32</v>
      </c>
      <c r="G381" s="62"/>
      <c r="H381" s="66"/>
      <c r="I381" s="67"/>
      <c r="J381" s="67"/>
      <c r="K381" s="31" t="s">
        <v>65</v>
      </c>
      <c r="L381" s="75">
        <v>381</v>
      </c>
      <c r="M381" s="75"/>
      <c r="N381" s="69"/>
      <c r="O381" s="77" t="s">
        <v>539</v>
      </c>
      <c r="P381" s="79">
        <v>45162.10681712963</v>
      </c>
      <c r="Q381" s="77" t="s">
        <v>590</v>
      </c>
      <c r="R381" s="77">
        <v>0</v>
      </c>
      <c r="S381" s="77">
        <v>0</v>
      </c>
      <c r="T381" s="77">
        <v>0</v>
      </c>
      <c r="U381" s="77">
        <v>0</v>
      </c>
      <c r="V381" s="77">
        <v>223</v>
      </c>
      <c r="W381" s="81" t="s">
        <v>697</v>
      </c>
      <c r="X381" s="83" t="str">
        <f>HYPERLINK("https://bit.ly/3QS5HRz")</f>
        <v>https://bit.ly/3QS5HRz</v>
      </c>
      <c r="Y381" s="77" t="s">
        <v>740</v>
      </c>
      <c r="Z381" s="77" t="s">
        <v>782</v>
      </c>
      <c r="AA381" s="77"/>
      <c r="AB381" s="77"/>
      <c r="AC381" s="81" t="s">
        <v>853</v>
      </c>
      <c r="AD381" s="77" t="s">
        <v>859</v>
      </c>
      <c r="AE381" s="83" t="str">
        <f>HYPERLINK("https://twitter.com/smr_foundation/status/1694538470428135483")</f>
        <v>https://twitter.com/smr_foundation/status/1694538470428135483</v>
      </c>
      <c r="AF381" s="79">
        <v>45162.10681712963</v>
      </c>
      <c r="AG381" s="85">
        <v>45162</v>
      </c>
      <c r="AH381" s="81" t="s">
        <v>918</v>
      </c>
      <c r="AI381" s="77" t="b">
        <v>0</v>
      </c>
      <c r="AJ381" s="77"/>
      <c r="AK381" s="77"/>
      <c r="AL381" s="77"/>
      <c r="AM381" s="77"/>
      <c r="AN381" s="77"/>
      <c r="AO381" s="77"/>
      <c r="AP381" s="77"/>
      <c r="AQ381" s="77"/>
      <c r="AR381" s="77"/>
      <c r="AS381" s="77"/>
      <c r="AT381" s="77"/>
      <c r="AU381" s="77"/>
      <c r="AV381" s="83" t="str">
        <f>HYPERLINK("https://pbs.twimg.com/profile_images/849133030237061120/6hUrNP0a_normal.jpg")</f>
        <v>https://pbs.twimg.com/profile_images/849133030237061120/6hUrNP0a_normal.jpg</v>
      </c>
      <c r="AW381" s="81" t="s">
        <v>1073</v>
      </c>
      <c r="AX381" s="81" t="s">
        <v>1073</v>
      </c>
      <c r="AY381" s="77"/>
      <c r="AZ381" s="81" t="s">
        <v>1190</v>
      </c>
      <c r="BA381" s="81" t="s">
        <v>1190</v>
      </c>
      <c r="BB381" s="81" t="s">
        <v>1190</v>
      </c>
      <c r="BC381" s="81" t="s">
        <v>1073</v>
      </c>
      <c r="BD381" s="77">
        <v>151934168</v>
      </c>
      <c r="BE381" s="77"/>
      <c r="BF381" s="77"/>
      <c r="BG381" s="77"/>
      <c r="BH381" s="77"/>
      <c r="BI381" s="77"/>
      <c r="BJ381">
        <v>1</v>
      </c>
      <c r="BK381" s="76" t="str">
        <f>REPLACE(INDEX(GroupVertices[Group],MATCH(Edges[[#This Row],[Vertex 1]],GroupVertices[Vertex],0)),1,1,"")</f>
        <v>3</v>
      </c>
      <c r="BL381" s="76" t="str">
        <f>REPLACE(INDEX(GroupVertices[Group],MATCH(Edges[[#This Row],[Vertex 2]],GroupVertices[Vertex],0)),1,1,"")</f>
        <v>3</v>
      </c>
      <c r="BM381" s="45"/>
      <c r="BN381" s="46"/>
      <c r="BO381" s="45"/>
      <c r="BP381" s="46"/>
      <c r="BQ381" s="45"/>
      <c r="BR381" s="46"/>
      <c r="BS381" s="45"/>
      <c r="BT381" s="46"/>
      <c r="BU381" s="45"/>
    </row>
    <row r="382" spans="1:73" ht="15">
      <c r="A382" s="61" t="s">
        <v>238</v>
      </c>
      <c r="B382" s="61" t="s">
        <v>446</v>
      </c>
      <c r="C382" s="62" t="s">
        <v>11692</v>
      </c>
      <c r="D382" s="63">
        <v>3</v>
      </c>
      <c r="E382" s="64" t="s">
        <v>132</v>
      </c>
      <c r="F382" s="65">
        <v>32</v>
      </c>
      <c r="G382" s="62"/>
      <c r="H382" s="66"/>
      <c r="I382" s="67"/>
      <c r="J382" s="67"/>
      <c r="K382" s="31" t="s">
        <v>65</v>
      </c>
      <c r="L382" s="75">
        <v>382</v>
      </c>
      <c r="M382" s="75"/>
      <c r="N382" s="69"/>
      <c r="O382" s="77" t="s">
        <v>539</v>
      </c>
      <c r="P382" s="79">
        <v>45162.10681712963</v>
      </c>
      <c r="Q382" s="77" t="s">
        <v>590</v>
      </c>
      <c r="R382" s="77">
        <v>0</v>
      </c>
      <c r="S382" s="77">
        <v>0</v>
      </c>
      <c r="T382" s="77">
        <v>0</v>
      </c>
      <c r="U382" s="77">
        <v>0</v>
      </c>
      <c r="V382" s="77">
        <v>223</v>
      </c>
      <c r="W382" s="81" t="s">
        <v>697</v>
      </c>
      <c r="X382" s="83" t="str">
        <f>HYPERLINK("https://bit.ly/3QS5HRz")</f>
        <v>https://bit.ly/3QS5HRz</v>
      </c>
      <c r="Y382" s="77" t="s">
        <v>740</v>
      </c>
      <c r="Z382" s="77" t="s">
        <v>782</v>
      </c>
      <c r="AA382" s="77"/>
      <c r="AB382" s="77"/>
      <c r="AC382" s="81" t="s">
        <v>853</v>
      </c>
      <c r="AD382" s="77" t="s">
        <v>859</v>
      </c>
      <c r="AE382" s="83" t="str">
        <f>HYPERLINK("https://twitter.com/smr_foundation/status/1694538470428135483")</f>
        <v>https://twitter.com/smr_foundation/status/1694538470428135483</v>
      </c>
      <c r="AF382" s="79">
        <v>45162.10681712963</v>
      </c>
      <c r="AG382" s="85">
        <v>45162</v>
      </c>
      <c r="AH382" s="81" t="s">
        <v>918</v>
      </c>
      <c r="AI382" s="77" t="b">
        <v>0</v>
      </c>
      <c r="AJ382" s="77"/>
      <c r="AK382" s="77"/>
      <c r="AL382" s="77"/>
      <c r="AM382" s="77"/>
      <c r="AN382" s="77"/>
      <c r="AO382" s="77"/>
      <c r="AP382" s="77"/>
      <c r="AQ382" s="77"/>
      <c r="AR382" s="77"/>
      <c r="AS382" s="77"/>
      <c r="AT382" s="77"/>
      <c r="AU382" s="77"/>
      <c r="AV382" s="83" t="str">
        <f>HYPERLINK("https://pbs.twimg.com/profile_images/849133030237061120/6hUrNP0a_normal.jpg")</f>
        <v>https://pbs.twimg.com/profile_images/849133030237061120/6hUrNP0a_normal.jpg</v>
      </c>
      <c r="AW382" s="81" t="s">
        <v>1073</v>
      </c>
      <c r="AX382" s="81" t="s">
        <v>1073</v>
      </c>
      <c r="AY382" s="77"/>
      <c r="AZ382" s="81" t="s">
        <v>1190</v>
      </c>
      <c r="BA382" s="81" t="s">
        <v>1190</v>
      </c>
      <c r="BB382" s="81" t="s">
        <v>1190</v>
      </c>
      <c r="BC382" s="81" t="s">
        <v>1073</v>
      </c>
      <c r="BD382" s="77">
        <v>151934168</v>
      </c>
      <c r="BE382" s="77"/>
      <c r="BF382" s="77"/>
      <c r="BG382" s="77"/>
      <c r="BH382" s="77"/>
      <c r="BI382" s="77"/>
      <c r="BJ382">
        <v>1</v>
      </c>
      <c r="BK382" s="76" t="str">
        <f>REPLACE(INDEX(GroupVertices[Group],MATCH(Edges[[#This Row],[Vertex 1]],GroupVertices[Vertex],0)),1,1,"")</f>
        <v>3</v>
      </c>
      <c r="BL382" s="76" t="str">
        <f>REPLACE(INDEX(GroupVertices[Group],MATCH(Edges[[#This Row],[Vertex 2]],GroupVertices[Vertex],0)),1,1,"")</f>
        <v>3</v>
      </c>
      <c r="BM382" s="45"/>
      <c r="BN382" s="46"/>
      <c r="BO382" s="45"/>
      <c r="BP382" s="46"/>
      <c r="BQ382" s="45"/>
      <c r="BR382" s="46"/>
      <c r="BS382" s="45"/>
      <c r="BT382" s="46"/>
      <c r="BU382" s="45"/>
    </row>
    <row r="383" spans="1:73" ht="15">
      <c r="A383" s="61" t="s">
        <v>238</v>
      </c>
      <c r="B383" s="61" t="s">
        <v>447</v>
      </c>
      <c r="C383" s="62" t="s">
        <v>11692</v>
      </c>
      <c r="D383" s="63">
        <v>3</v>
      </c>
      <c r="E383" s="64" t="s">
        <v>132</v>
      </c>
      <c r="F383" s="65">
        <v>32</v>
      </c>
      <c r="G383" s="62"/>
      <c r="H383" s="66"/>
      <c r="I383" s="67"/>
      <c r="J383" s="67"/>
      <c r="K383" s="31" t="s">
        <v>65</v>
      </c>
      <c r="L383" s="75">
        <v>383</v>
      </c>
      <c r="M383" s="75"/>
      <c r="N383" s="69"/>
      <c r="O383" s="77" t="s">
        <v>539</v>
      </c>
      <c r="P383" s="79">
        <v>45162.10681712963</v>
      </c>
      <c r="Q383" s="77" t="s">
        <v>590</v>
      </c>
      <c r="R383" s="77">
        <v>0</v>
      </c>
      <c r="S383" s="77">
        <v>0</v>
      </c>
      <c r="T383" s="77">
        <v>0</v>
      </c>
      <c r="U383" s="77">
        <v>0</v>
      </c>
      <c r="V383" s="77">
        <v>223</v>
      </c>
      <c r="W383" s="81" t="s">
        <v>697</v>
      </c>
      <c r="X383" s="83" t="str">
        <f>HYPERLINK("https://bit.ly/3QS5HRz")</f>
        <v>https://bit.ly/3QS5HRz</v>
      </c>
      <c r="Y383" s="77" t="s">
        <v>740</v>
      </c>
      <c r="Z383" s="77" t="s">
        <v>782</v>
      </c>
      <c r="AA383" s="77"/>
      <c r="AB383" s="77"/>
      <c r="AC383" s="81" t="s">
        <v>853</v>
      </c>
      <c r="AD383" s="77" t="s">
        <v>859</v>
      </c>
      <c r="AE383" s="83" t="str">
        <f>HYPERLINK("https://twitter.com/smr_foundation/status/1694538470428135483")</f>
        <v>https://twitter.com/smr_foundation/status/1694538470428135483</v>
      </c>
      <c r="AF383" s="79">
        <v>45162.10681712963</v>
      </c>
      <c r="AG383" s="85">
        <v>45162</v>
      </c>
      <c r="AH383" s="81" t="s">
        <v>918</v>
      </c>
      <c r="AI383" s="77" t="b">
        <v>0</v>
      </c>
      <c r="AJ383" s="77"/>
      <c r="AK383" s="77"/>
      <c r="AL383" s="77"/>
      <c r="AM383" s="77"/>
      <c r="AN383" s="77"/>
      <c r="AO383" s="77"/>
      <c r="AP383" s="77"/>
      <c r="AQ383" s="77"/>
      <c r="AR383" s="77"/>
      <c r="AS383" s="77"/>
      <c r="AT383" s="77"/>
      <c r="AU383" s="77"/>
      <c r="AV383" s="83" t="str">
        <f>HYPERLINK("https://pbs.twimg.com/profile_images/849133030237061120/6hUrNP0a_normal.jpg")</f>
        <v>https://pbs.twimg.com/profile_images/849133030237061120/6hUrNP0a_normal.jpg</v>
      </c>
      <c r="AW383" s="81" t="s">
        <v>1073</v>
      </c>
      <c r="AX383" s="81" t="s">
        <v>1073</v>
      </c>
      <c r="AY383" s="77"/>
      <c r="AZ383" s="81" t="s">
        <v>1190</v>
      </c>
      <c r="BA383" s="81" t="s">
        <v>1190</v>
      </c>
      <c r="BB383" s="81" t="s">
        <v>1190</v>
      </c>
      <c r="BC383" s="81" t="s">
        <v>1073</v>
      </c>
      <c r="BD383" s="77">
        <v>151934168</v>
      </c>
      <c r="BE383" s="77"/>
      <c r="BF383" s="77"/>
      <c r="BG383" s="77"/>
      <c r="BH383" s="77"/>
      <c r="BI383" s="77"/>
      <c r="BJ383">
        <v>1</v>
      </c>
      <c r="BK383" s="76" t="str">
        <f>REPLACE(INDEX(GroupVertices[Group],MATCH(Edges[[#This Row],[Vertex 1]],GroupVertices[Vertex],0)),1,1,"")</f>
        <v>3</v>
      </c>
      <c r="BL383" s="76" t="str">
        <f>REPLACE(INDEX(GroupVertices[Group],MATCH(Edges[[#This Row],[Vertex 2]],GroupVertices[Vertex],0)),1,1,"")</f>
        <v>3</v>
      </c>
      <c r="BM383" s="45"/>
      <c r="BN383" s="46"/>
      <c r="BO383" s="45"/>
      <c r="BP383" s="46"/>
      <c r="BQ383" s="45"/>
      <c r="BR383" s="46"/>
      <c r="BS383" s="45"/>
      <c r="BT383" s="46"/>
      <c r="BU383" s="45"/>
    </row>
    <row r="384" spans="1:73" ht="15">
      <c r="A384" s="61" t="s">
        <v>238</v>
      </c>
      <c r="B384" s="61" t="s">
        <v>448</v>
      </c>
      <c r="C384" s="62" t="s">
        <v>11692</v>
      </c>
      <c r="D384" s="63">
        <v>3</v>
      </c>
      <c r="E384" s="64" t="s">
        <v>132</v>
      </c>
      <c r="F384" s="65">
        <v>32</v>
      </c>
      <c r="G384" s="62"/>
      <c r="H384" s="66"/>
      <c r="I384" s="67"/>
      <c r="J384" s="67"/>
      <c r="K384" s="31" t="s">
        <v>65</v>
      </c>
      <c r="L384" s="75">
        <v>384</v>
      </c>
      <c r="M384" s="75"/>
      <c r="N384" s="69"/>
      <c r="O384" s="77" t="s">
        <v>539</v>
      </c>
      <c r="P384" s="79">
        <v>45162.10681712963</v>
      </c>
      <c r="Q384" s="77" t="s">
        <v>590</v>
      </c>
      <c r="R384" s="77">
        <v>0</v>
      </c>
      <c r="S384" s="77">
        <v>0</v>
      </c>
      <c r="T384" s="77">
        <v>0</v>
      </c>
      <c r="U384" s="77">
        <v>0</v>
      </c>
      <c r="V384" s="77">
        <v>223</v>
      </c>
      <c r="W384" s="81" t="s">
        <v>697</v>
      </c>
      <c r="X384" s="83" t="str">
        <f>HYPERLINK("https://bit.ly/3QS5HRz")</f>
        <v>https://bit.ly/3QS5HRz</v>
      </c>
      <c r="Y384" s="77" t="s">
        <v>740</v>
      </c>
      <c r="Z384" s="77" t="s">
        <v>782</v>
      </c>
      <c r="AA384" s="77"/>
      <c r="AB384" s="77"/>
      <c r="AC384" s="81" t="s">
        <v>853</v>
      </c>
      <c r="AD384" s="77" t="s">
        <v>859</v>
      </c>
      <c r="AE384" s="83" t="str">
        <f>HYPERLINK("https://twitter.com/smr_foundation/status/1694538470428135483")</f>
        <v>https://twitter.com/smr_foundation/status/1694538470428135483</v>
      </c>
      <c r="AF384" s="79">
        <v>45162.10681712963</v>
      </c>
      <c r="AG384" s="85">
        <v>45162</v>
      </c>
      <c r="AH384" s="81" t="s">
        <v>918</v>
      </c>
      <c r="AI384" s="77" t="b">
        <v>0</v>
      </c>
      <c r="AJ384" s="77"/>
      <c r="AK384" s="77"/>
      <c r="AL384" s="77"/>
      <c r="AM384" s="77"/>
      <c r="AN384" s="77"/>
      <c r="AO384" s="77"/>
      <c r="AP384" s="77"/>
      <c r="AQ384" s="77"/>
      <c r="AR384" s="77"/>
      <c r="AS384" s="77"/>
      <c r="AT384" s="77"/>
      <c r="AU384" s="77"/>
      <c r="AV384" s="83" t="str">
        <f>HYPERLINK("https://pbs.twimg.com/profile_images/849133030237061120/6hUrNP0a_normal.jpg")</f>
        <v>https://pbs.twimg.com/profile_images/849133030237061120/6hUrNP0a_normal.jpg</v>
      </c>
      <c r="AW384" s="81" t="s">
        <v>1073</v>
      </c>
      <c r="AX384" s="81" t="s">
        <v>1073</v>
      </c>
      <c r="AY384" s="77"/>
      <c r="AZ384" s="81" t="s">
        <v>1190</v>
      </c>
      <c r="BA384" s="81" t="s">
        <v>1190</v>
      </c>
      <c r="BB384" s="81" t="s">
        <v>1190</v>
      </c>
      <c r="BC384" s="81" t="s">
        <v>1073</v>
      </c>
      <c r="BD384" s="77">
        <v>151934168</v>
      </c>
      <c r="BE384" s="77"/>
      <c r="BF384" s="77"/>
      <c r="BG384" s="77"/>
      <c r="BH384" s="77"/>
      <c r="BI384" s="77"/>
      <c r="BJ384">
        <v>1</v>
      </c>
      <c r="BK384" s="76" t="str">
        <f>REPLACE(INDEX(GroupVertices[Group],MATCH(Edges[[#This Row],[Vertex 1]],GroupVertices[Vertex],0)),1,1,"")</f>
        <v>3</v>
      </c>
      <c r="BL384" s="76" t="str">
        <f>REPLACE(INDEX(GroupVertices[Group],MATCH(Edges[[#This Row],[Vertex 2]],GroupVertices[Vertex],0)),1,1,"")</f>
        <v>3</v>
      </c>
      <c r="BM384" s="45"/>
      <c r="BN384" s="46"/>
      <c r="BO384" s="45"/>
      <c r="BP384" s="46"/>
      <c r="BQ384" s="45"/>
      <c r="BR384" s="46"/>
      <c r="BS384" s="45"/>
      <c r="BT384" s="46"/>
      <c r="BU384" s="45"/>
    </row>
    <row r="385" spans="1:73" ht="15">
      <c r="A385" s="61" t="s">
        <v>238</v>
      </c>
      <c r="B385" s="61" t="s">
        <v>449</v>
      </c>
      <c r="C385" s="62" t="s">
        <v>11692</v>
      </c>
      <c r="D385" s="63">
        <v>3</v>
      </c>
      <c r="E385" s="64" t="s">
        <v>132</v>
      </c>
      <c r="F385" s="65">
        <v>32</v>
      </c>
      <c r="G385" s="62"/>
      <c r="H385" s="66"/>
      <c r="I385" s="67"/>
      <c r="J385" s="67"/>
      <c r="K385" s="31" t="s">
        <v>65</v>
      </c>
      <c r="L385" s="75">
        <v>385</v>
      </c>
      <c r="M385" s="75"/>
      <c r="N385" s="69"/>
      <c r="O385" s="77" t="s">
        <v>539</v>
      </c>
      <c r="P385" s="79">
        <v>45162.10681712963</v>
      </c>
      <c r="Q385" s="77" t="s">
        <v>590</v>
      </c>
      <c r="R385" s="77">
        <v>0</v>
      </c>
      <c r="S385" s="77">
        <v>0</v>
      </c>
      <c r="T385" s="77">
        <v>0</v>
      </c>
      <c r="U385" s="77">
        <v>0</v>
      </c>
      <c r="V385" s="77">
        <v>223</v>
      </c>
      <c r="W385" s="81" t="s">
        <v>697</v>
      </c>
      <c r="X385" s="83" t="str">
        <f>HYPERLINK("https://bit.ly/3QS5HRz")</f>
        <v>https://bit.ly/3QS5HRz</v>
      </c>
      <c r="Y385" s="77" t="s">
        <v>740</v>
      </c>
      <c r="Z385" s="77" t="s">
        <v>782</v>
      </c>
      <c r="AA385" s="77"/>
      <c r="AB385" s="77"/>
      <c r="AC385" s="81" t="s">
        <v>853</v>
      </c>
      <c r="AD385" s="77" t="s">
        <v>859</v>
      </c>
      <c r="AE385" s="83" t="str">
        <f>HYPERLINK("https://twitter.com/smr_foundation/status/1694538470428135483")</f>
        <v>https://twitter.com/smr_foundation/status/1694538470428135483</v>
      </c>
      <c r="AF385" s="79">
        <v>45162.10681712963</v>
      </c>
      <c r="AG385" s="85">
        <v>45162</v>
      </c>
      <c r="AH385" s="81" t="s">
        <v>918</v>
      </c>
      <c r="AI385" s="77" t="b">
        <v>0</v>
      </c>
      <c r="AJ385" s="77"/>
      <c r="AK385" s="77"/>
      <c r="AL385" s="77"/>
      <c r="AM385" s="77"/>
      <c r="AN385" s="77"/>
      <c r="AO385" s="77"/>
      <c r="AP385" s="77"/>
      <c r="AQ385" s="77"/>
      <c r="AR385" s="77"/>
      <c r="AS385" s="77"/>
      <c r="AT385" s="77"/>
      <c r="AU385" s="77"/>
      <c r="AV385" s="83" t="str">
        <f>HYPERLINK("https://pbs.twimg.com/profile_images/849133030237061120/6hUrNP0a_normal.jpg")</f>
        <v>https://pbs.twimg.com/profile_images/849133030237061120/6hUrNP0a_normal.jpg</v>
      </c>
      <c r="AW385" s="81" t="s">
        <v>1073</v>
      </c>
      <c r="AX385" s="81" t="s">
        <v>1073</v>
      </c>
      <c r="AY385" s="77"/>
      <c r="AZ385" s="81" t="s">
        <v>1190</v>
      </c>
      <c r="BA385" s="81" t="s">
        <v>1190</v>
      </c>
      <c r="BB385" s="81" t="s">
        <v>1190</v>
      </c>
      <c r="BC385" s="81" t="s">
        <v>1073</v>
      </c>
      <c r="BD385" s="77">
        <v>151934168</v>
      </c>
      <c r="BE385" s="77"/>
      <c r="BF385" s="77"/>
      <c r="BG385" s="77"/>
      <c r="BH385" s="77"/>
      <c r="BI385" s="77"/>
      <c r="BJ385">
        <v>1</v>
      </c>
      <c r="BK385" s="76" t="str">
        <f>REPLACE(INDEX(GroupVertices[Group],MATCH(Edges[[#This Row],[Vertex 1]],GroupVertices[Vertex],0)),1,1,"")</f>
        <v>3</v>
      </c>
      <c r="BL385" s="76" t="str">
        <f>REPLACE(INDEX(GroupVertices[Group],MATCH(Edges[[#This Row],[Vertex 2]],GroupVertices[Vertex],0)),1,1,"")</f>
        <v>3</v>
      </c>
      <c r="BM385" s="45"/>
      <c r="BN385" s="46"/>
      <c r="BO385" s="45"/>
      <c r="BP385" s="46"/>
      <c r="BQ385" s="45"/>
      <c r="BR385" s="46"/>
      <c r="BS385" s="45"/>
      <c r="BT385" s="46"/>
      <c r="BU385" s="45"/>
    </row>
    <row r="386" spans="1:73" ht="15">
      <c r="A386" s="61" t="s">
        <v>238</v>
      </c>
      <c r="B386" s="61" t="s">
        <v>450</v>
      </c>
      <c r="C386" s="62" t="s">
        <v>11692</v>
      </c>
      <c r="D386" s="63">
        <v>3</v>
      </c>
      <c r="E386" s="64" t="s">
        <v>132</v>
      </c>
      <c r="F386" s="65">
        <v>32</v>
      </c>
      <c r="G386" s="62"/>
      <c r="H386" s="66"/>
      <c r="I386" s="67"/>
      <c r="J386" s="67"/>
      <c r="K386" s="31" t="s">
        <v>65</v>
      </c>
      <c r="L386" s="75">
        <v>386</v>
      </c>
      <c r="M386" s="75"/>
      <c r="N386" s="69"/>
      <c r="O386" s="77" t="s">
        <v>539</v>
      </c>
      <c r="P386" s="79">
        <v>45162.10681712963</v>
      </c>
      <c r="Q386" s="77" t="s">
        <v>590</v>
      </c>
      <c r="R386" s="77">
        <v>0</v>
      </c>
      <c r="S386" s="77">
        <v>0</v>
      </c>
      <c r="T386" s="77">
        <v>0</v>
      </c>
      <c r="U386" s="77">
        <v>0</v>
      </c>
      <c r="V386" s="77">
        <v>223</v>
      </c>
      <c r="W386" s="81" t="s">
        <v>697</v>
      </c>
      <c r="X386" s="83" t="str">
        <f>HYPERLINK("https://bit.ly/3QS5HRz")</f>
        <v>https://bit.ly/3QS5HRz</v>
      </c>
      <c r="Y386" s="77" t="s">
        <v>740</v>
      </c>
      <c r="Z386" s="77" t="s">
        <v>782</v>
      </c>
      <c r="AA386" s="77"/>
      <c r="AB386" s="77"/>
      <c r="AC386" s="81" t="s">
        <v>853</v>
      </c>
      <c r="AD386" s="77" t="s">
        <v>859</v>
      </c>
      <c r="AE386" s="83" t="str">
        <f>HYPERLINK("https://twitter.com/smr_foundation/status/1694538470428135483")</f>
        <v>https://twitter.com/smr_foundation/status/1694538470428135483</v>
      </c>
      <c r="AF386" s="79">
        <v>45162.10681712963</v>
      </c>
      <c r="AG386" s="85">
        <v>45162</v>
      </c>
      <c r="AH386" s="81" t="s">
        <v>918</v>
      </c>
      <c r="AI386" s="77" t="b">
        <v>0</v>
      </c>
      <c r="AJ386" s="77"/>
      <c r="AK386" s="77"/>
      <c r="AL386" s="77"/>
      <c r="AM386" s="77"/>
      <c r="AN386" s="77"/>
      <c r="AO386" s="77"/>
      <c r="AP386" s="77"/>
      <c r="AQ386" s="77"/>
      <c r="AR386" s="77"/>
      <c r="AS386" s="77"/>
      <c r="AT386" s="77"/>
      <c r="AU386" s="77"/>
      <c r="AV386" s="83" t="str">
        <f>HYPERLINK("https://pbs.twimg.com/profile_images/849133030237061120/6hUrNP0a_normal.jpg")</f>
        <v>https://pbs.twimg.com/profile_images/849133030237061120/6hUrNP0a_normal.jpg</v>
      </c>
      <c r="AW386" s="81" t="s">
        <v>1073</v>
      </c>
      <c r="AX386" s="81" t="s">
        <v>1073</v>
      </c>
      <c r="AY386" s="77"/>
      <c r="AZ386" s="81" t="s">
        <v>1190</v>
      </c>
      <c r="BA386" s="81" t="s">
        <v>1190</v>
      </c>
      <c r="BB386" s="81" t="s">
        <v>1190</v>
      </c>
      <c r="BC386" s="81" t="s">
        <v>1073</v>
      </c>
      <c r="BD386" s="77">
        <v>151934168</v>
      </c>
      <c r="BE386" s="77"/>
      <c r="BF386" s="77"/>
      <c r="BG386" s="77"/>
      <c r="BH386" s="77"/>
      <c r="BI386" s="77"/>
      <c r="BJ386">
        <v>1</v>
      </c>
      <c r="BK386" s="76" t="str">
        <f>REPLACE(INDEX(GroupVertices[Group],MATCH(Edges[[#This Row],[Vertex 1]],GroupVertices[Vertex],0)),1,1,"")</f>
        <v>3</v>
      </c>
      <c r="BL386" s="76" t="str">
        <f>REPLACE(INDEX(GroupVertices[Group],MATCH(Edges[[#This Row],[Vertex 2]],GroupVertices[Vertex],0)),1,1,"")</f>
        <v>3</v>
      </c>
      <c r="BM386" s="45"/>
      <c r="BN386" s="46"/>
      <c r="BO386" s="45"/>
      <c r="BP386" s="46"/>
      <c r="BQ386" s="45"/>
      <c r="BR386" s="46"/>
      <c r="BS386" s="45"/>
      <c r="BT386" s="46"/>
      <c r="BU386" s="45"/>
    </row>
    <row r="387" spans="1:73" ht="15">
      <c r="A387" s="61" t="s">
        <v>238</v>
      </c>
      <c r="B387" s="61" t="s">
        <v>451</v>
      </c>
      <c r="C387" s="62" t="s">
        <v>11692</v>
      </c>
      <c r="D387" s="63">
        <v>3</v>
      </c>
      <c r="E387" s="64" t="s">
        <v>132</v>
      </c>
      <c r="F387" s="65">
        <v>32</v>
      </c>
      <c r="G387" s="62"/>
      <c r="H387" s="66"/>
      <c r="I387" s="67"/>
      <c r="J387" s="67"/>
      <c r="K387" s="31" t="s">
        <v>65</v>
      </c>
      <c r="L387" s="75">
        <v>387</v>
      </c>
      <c r="M387" s="75"/>
      <c r="N387" s="69"/>
      <c r="O387" s="77" t="s">
        <v>539</v>
      </c>
      <c r="P387" s="79">
        <v>45162.10681712963</v>
      </c>
      <c r="Q387" s="77" t="s">
        <v>590</v>
      </c>
      <c r="R387" s="77">
        <v>0</v>
      </c>
      <c r="S387" s="77">
        <v>0</v>
      </c>
      <c r="T387" s="77">
        <v>0</v>
      </c>
      <c r="U387" s="77">
        <v>0</v>
      </c>
      <c r="V387" s="77">
        <v>223</v>
      </c>
      <c r="W387" s="81" t="s">
        <v>697</v>
      </c>
      <c r="X387" s="83" t="str">
        <f>HYPERLINK("https://bit.ly/3QS5HRz")</f>
        <v>https://bit.ly/3QS5HRz</v>
      </c>
      <c r="Y387" s="77" t="s">
        <v>740</v>
      </c>
      <c r="Z387" s="77" t="s">
        <v>782</v>
      </c>
      <c r="AA387" s="77"/>
      <c r="AB387" s="77"/>
      <c r="AC387" s="81" t="s">
        <v>853</v>
      </c>
      <c r="AD387" s="77" t="s">
        <v>859</v>
      </c>
      <c r="AE387" s="83" t="str">
        <f>HYPERLINK("https://twitter.com/smr_foundation/status/1694538470428135483")</f>
        <v>https://twitter.com/smr_foundation/status/1694538470428135483</v>
      </c>
      <c r="AF387" s="79">
        <v>45162.10681712963</v>
      </c>
      <c r="AG387" s="85">
        <v>45162</v>
      </c>
      <c r="AH387" s="81" t="s">
        <v>918</v>
      </c>
      <c r="AI387" s="77" t="b">
        <v>0</v>
      </c>
      <c r="AJ387" s="77"/>
      <c r="AK387" s="77"/>
      <c r="AL387" s="77"/>
      <c r="AM387" s="77"/>
      <c r="AN387" s="77"/>
      <c r="AO387" s="77"/>
      <c r="AP387" s="77"/>
      <c r="AQ387" s="77"/>
      <c r="AR387" s="77"/>
      <c r="AS387" s="77"/>
      <c r="AT387" s="77"/>
      <c r="AU387" s="77"/>
      <c r="AV387" s="83" t="str">
        <f>HYPERLINK("https://pbs.twimg.com/profile_images/849133030237061120/6hUrNP0a_normal.jpg")</f>
        <v>https://pbs.twimg.com/profile_images/849133030237061120/6hUrNP0a_normal.jpg</v>
      </c>
      <c r="AW387" s="81" t="s">
        <v>1073</v>
      </c>
      <c r="AX387" s="81" t="s">
        <v>1073</v>
      </c>
      <c r="AY387" s="77"/>
      <c r="AZ387" s="81" t="s">
        <v>1190</v>
      </c>
      <c r="BA387" s="81" t="s">
        <v>1190</v>
      </c>
      <c r="BB387" s="81" t="s">
        <v>1190</v>
      </c>
      <c r="BC387" s="81" t="s">
        <v>1073</v>
      </c>
      <c r="BD387" s="77">
        <v>151934168</v>
      </c>
      <c r="BE387" s="77"/>
      <c r="BF387" s="77"/>
      <c r="BG387" s="77"/>
      <c r="BH387" s="77"/>
      <c r="BI387" s="77"/>
      <c r="BJ387">
        <v>1</v>
      </c>
      <c r="BK387" s="76" t="str">
        <f>REPLACE(INDEX(GroupVertices[Group],MATCH(Edges[[#This Row],[Vertex 1]],GroupVertices[Vertex],0)),1,1,"")</f>
        <v>3</v>
      </c>
      <c r="BL387" s="76" t="str">
        <f>REPLACE(INDEX(GroupVertices[Group],MATCH(Edges[[#This Row],[Vertex 2]],GroupVertices[Vertex],0)),1,1,"")</f>
        <v>3</v>
      </c>
      <c r="BM387" s="45"/>
      <c r="BN387" s="46"/>
      <c r="BO387" s="45"/>
      <c r="BP387" s="46"/>
      <c r="BQ387" s="45"/>
      <c r="BR387" s="46"/>
      <c r="BS387" s="45"/>
      <c r="BT387" s="46"/>
      <c r="BU387" s="45"/>
    </row>
    <row r="388" spans="1:73" ht="15">
      <c r="A388" s="61" t="s">
        <v>228</v>
      </c>
      <c r="B388" s="61" t="s">
        <v>452</v>
      </c>
      <c r="C388" s="62" t="s">
        <v>11692</v>
      </c>
      <c r="D388" s="63">
        <v>3</v>
      </c>
      <c r="E388" s="64" t="s">
        <v>132</v>
      </c>
      <c r="F388" s="65">
        <v>32</v>
      </c>
      <c r="G388" s="62"/>
      <c r="H388" s="66"/>
      <c r="I388" s="67"/>
      <c r="J388" s="67"/>
      <c r="K388" s="31" t="s">
        <v>65</v>
      </c>
      <c r="L388" s="75">
        <v>388</v>
      </c>
      <c r="M388" s="75"/>
      <c r="N388" s="69"/>
      <c r="O388" s="77" t="s">
        <v>539</v>
      </c>
      <c r="P388" s="79">
        <v>45162.93407407407</v>
      </c>
      <c r="Q388" s="77" t="s">
        <v>561</v>
      </c>
      <c r="R388" s="77">
        <v>0</v>
      </c>
      <c r="S388" s="77">
        <v>1</v>
      </c>
      <c r="T388" s="77">
        <v>0</v>
      </c>
      <c r="U388" s="77">
        <v>0</v>
      </c>
      <c r="V388" s="77">
        <v>361</v>
      </c>
      <c r="W388" s="81" t="s">
        <v>674</v>
      </c>
      <c r="X388" s="83" t="str">
        <f>HYPERLINK("https://bit.ly/44sbaBT")</f>
        <v>https://bit.ly/44sbaBT</v>
      </c>
      <c r="Y388" s="77" t="s">
        <v>740</v>
      </c>
      <c r="Z388" s="77" t="s">
        <v>759</v>
      </c>
      <c r="AA388" s="77"/>
      <c r="AB388" s="77"/>
      <c r="AC388" s="81" t="s">
        <v>857</v>
      </c>
      <c r="AD388" s="77" t="s">
        <v>859</v>
      </c>
      <c r="AE388" s="83" t="str">
        <f>HYPERLINK("https://twitter.com/nodexl/status/1694838260445683717")</f>
        <v>https://twitter.com/nodexl/status/1694838260445683717</v>
      </c>
      <c r="AF388" s="79">
        <v>45162.93407407407</v>
      </c>
      <c r="AG388" s="85">
        <v>45162</v>
      </c>
      <c r="AH388" s="81" t="s">
        <v>888</v>
      </c>
      <c r="AI388" s="77" t="b">
        <v>0</v>
      </c>
      <c r="AJ388" s="77"/>
      <c r="AK388" s="77"/>
      <c r="AL388" s="77"/>
      <c r="AM388" s="77"/>
      <c r="AN388" s="77"/>
      <c r="AO388" s="77"/>
      <c r="AP388" s="77"/>
      <c r="AQ388" s="77"/>
      <c r="AR388" s="77"/>
      <c r="AS388" s="77"/>
      <c r="AT388" s="77"/>
      <c r="AU388" s="77"/>
      <c r="AV388" s="83" t="str">
        <f>HYPERLINK("https://pbs.twimg.com/profile_images/849132774661308416/pa2Uplq1_normal.jpg")</f>
        <v>https://pbs.twimg.com/profile_images/849132774661308416/pa2Uplq1_normal.jpg</v>
      </c>
      <c r="AW388" s="81" t="s">
        <v>1043</v>
      </c>
      <c r="AX388" s="81" t="s">
        <v>1043</v>
      </c>
      <c r="AY388" s="77"/>
      <c r="AZ388" s="81" t="s">
        <v>1190</v>
      </c>
      <c r="BA388" s="81" t="s">
        <v>1190</v>
      </c>
      <c r="BB388" s="81" t="s">
        <v>1190</v>
      </c>
      <c r="BC388" s="81" t="s">
        <v>1043</v>
      </c>
      <c r="BD388" s="77">
        <v>87606674</v>
      </c>
      <c r="BE388" s="77"/>
      <c r="BF388" s="77"/>
      <c r="BG388" s="77"/>
      <c r="BH388" s="77"/>
      <c r="BI388" s="77"/>
      <c r="BJ388">
        <v>1</v>
      </c>
      <c r="BK388" s="76" t="str">
        <f>REPLACE(INDEX(GroupVertices[Group],MATCH(Edges[[#This Row],[Vertex 1]],GroupVertices[Vertex],0)),1,1,"")</f>
        <v>2</v>
      </c>
      <c r="BL388" s="76" t="str">
        <f>REPLACE(INDEX(GroupVertices[Group],MATCH(Edges[[#This Row],[Vertex 2]],GroupVertices[Vertex],0)),1,1,"")</f>
        <v>3</v>
      </c>
      <c r="BM388" s="45">
        <v>1</v>
      </c>
      <c r="BN388" s="46">
        <v>4.761904761904762</v>
      </c>
      <c r="BO388" s="45">
        <v>0</v>
      </c>
      <c r="BP388" s="46">
        <v>0</v>
      </c>
      <c r="BQ388" s="45">
        <v>0</v>
      </c>
      <c r="BR388" s="46">
        <v>0</v>
      </c>
      <c r="BS388" s="45">
        <v>19</v>
      </c>
      <c r="BT388" s="46">
        <v>90.47619047619048</v>
      </c>
      <c r="BU388" s="45">
        <v>21</v>
      </c>
    </row>
    <row r="389" spans="1:73" ht="15">
      <c r="A389" s="61" t="s">
        <v>238</v>
      </c>
      <c r="B389" s="61" t="s">
        <v>452</v>
      </c>
      <c r="C389" s="62" t="s">
        <v>11692</v>
      </c>
      <c r="D389" s="63">
        <v>3</v>
      </c>
      <c r="E389" s="64" t="s">
        <v>132</v>
      </c>
      <c r="F389" s="65">
        <v>32</v>
      </c>
      <c r="G389" s="62"/>
      <c r="H389" s="66"/>
      <c r="I389" s="67"/>
      <c r="J389" s="67"/>
      <c r="K389" s="31" t="s">
        <v>65</v>
      </c>
      <c r="L389" s="75">
        <v>389</v>
      </c>
      <c r="M389" s="75"/>
      <c r="N389" s="69"/>
      <c r="O389" s="77" t="s">
        <v>539</v>
      </c>
      <c r="P389" s="79">
        <v>45162.10681712963</v>
      </c>
      <c r="Q389" s="77" t="s">
        <v>590</v>
      </c>
      <c r="R389" s="77">
        <v>0</v>
      </c>
      <c r="S389" s="77">
        <v>0</v>
      </c>
      <c r="T389" s="77">
        <v>0</v>
      </c>
      <c r="U389" s="77">
        <v>0</v>
      </c>
      <c r="V389" s="77">
        <v>223</v>
      </c>
      <c r="W389" s="81" t="s">
        <v>697</v>
      </c>
      <c r="X389" s="83" t="str">
        <f>HYPERLINK("https://bit.ly/3QS5HRz")</f>
        <v>https://bit.ly/3QS5HRz</v>
      </c>
      <c r="Y389" s="77" t="s">
        <v>740</v>
      </c>
      <c r="Z389" s="77" t="s">
        <v>782</v>
      </c>
      <c r="AA389" s="77"/>
      <c r="AB389" s="77"/>
      <c r="AC389" s="81" t="s">
        <v>853</v>
      </c>
      <c r="AD389" s="77" t="s">
        <v>859</v>
      </c>
      <c r="AE389" s="83" t="str">
        <f>HYPERLINK("https://twitter.com/smr_foundation/status/1694538470428135483")</f>
        <v>https://twitter.com/smr_foundation/status/1694538470428135483</v>
      </c>
      <c r="AF389" s="79">
        <v>45162.10681712963</v>
      </c>
      <c r="AG389" s="85">
        <v>45162</v>
      </c>
      <c r="AH389" s="81" t="s">
        <v>918</v>
      </c>
      <c r="AI389" s="77" t="b">
        <v>0</v>
      </c>
      <c r="AJ389" s="77"/>
      <c r="AK389" s="77"/>
      <c r="AL389" s="77"/>
      <c r="AM389" s="77"/>
      <c r="AN389" s="77"/>
      <c r="AO389" s="77"/>
      <c r="AP389" s="77"/>
      <c r="AQ389" s="77"/>
      <c r="AR389" s="77"/>
      <c r="AS389" s="77"/>
      <c r="AT389" s="77"/>
      <c r="AU389" s="77"/>
      <c r="AV389" s="83" t="str">
        <f>HYPERLINK("https://pbs.twimg.com/profile_images/849133030237061120/6hUrNP0a_normal.jpg")</f>
        <v>https://pbs.twimg.com/profile_images/849133030237061120/6hUrNP0a_normal.jpg</v>
      </c>
      <c r="AW389" s="81" t="s">
        <v>1073</v>
      </c>
      <c r="AX389" s="81" t="s">
        <v>1073</v>
      </c>
      <c r="AY389" s="77"/>
      <c r="AZ389" s="81" t="s">
        <v>1190</v>
      </c>
      <c r="BA389" s="81" t="s">
        <v>1190</v>
      </c>
      <c r="BB389" s="81" t="s">
        <v>1190</v>
      </c>
      <c r="BC389" s="81" t="s">
        <v>1073</v>
      </c>
      <c r="BD389" s="77">
        <v>151934168</v>
      </c>
      <c r="BE389" s="77"/>
      <c r="BF389" s="77"/>
      <c r="BG389" s="77"/>
      <c r="BH389" s="77"/>
      <c r="BI389" s="77"/>
      <c r="BJ389">
        <v>1</v>
      </c>
      <c r="BK389" s="76" t="str">
        <f>REPLACE(INDEX(GroupVertices[Group],MATCH(Edges[[#This Row],[Vertex 1]],GroupVertices[Vertex],0)),1,1,"")</f>
        <v>3</v>
      </c>
      <c r="BL389" s="76" t="str">
        <f>REPLACE(INDEX(GroupVertices[Group],MATCH(Edges[[#This Row],[Vertex 2]],GroupVertices[Vertex],0)),1,1,"")</f>
        <v>3</v>
      </c>
      <c r="BM389" s="45">
        <v>1</v>
      </c>
      <c r="BN389" s="46">
        <v>4.761904761904762</v>
      </c>
      <c r="BO389" s="45">
        <v>0</v>
      </c>
      <c r="BP389" s="46">
        <v>0</v>
      </c>
      <c r="BQ389" s="45">
        <v>0</v>
      </c>
      <c r="BR389" s="46">
        <v>0</v>
      </c>
      <c r="BS389" s="45">
        <v>19</v>
      </c>
      <c r="BT389" s="46">
        <v>90.47619047619048</v>
      </c>
      <c r="BU389" s="45">
        <v>21</v>
      </c>
    </row>
    <row r="390" spans="1:73" ht="15">
      <c r="A390" s="61" t="s">
        <v>238</v>
      </c>
      <c r="B390" s="61" t="s">
        <v>453</v>
      </c>
      <c r="C390" s="62" t="s">
        <v>11692</v>
      </c>
      <c r="D390" s="63">
        <v>3</v>
      </c>
      <c r="E390" s="64" t="s">
        <v>132</v>
      </c>
      <c r="F390" s="65">
        <v>32</v>
      </c>
      <c r="G390" s="62"/>
      <c r="H390" s="66"/>
      <c r="I390" s="67"/>
      <c r="J390" s="67"/>
      <c r="K390" s="31" t="s">
        <v>65</v>
      </c>
      <c r="L390" s="75">
        <v>390</v>
      </c>
      <c r="M390" s="75"/>
      <c r="N390" s="69"/>
      <c r="O390" s="77" t="s">
        <v>539</v>
      </c>
      <c r="P390" s="79">
        <v>45168.70282407408</v>
      </c>
      <c r="Q390" s="77" t="s">
        <v>591</v>
      </c>
      <c r="R390" s="77">
        <v>5</v>
      </c>
      <c r="S390" s="77">
        <v>9</v>
      </c>
      <c r="T390" s="77">
        <v>0</v>
      </c>
      <c r="U390" s="77">
        <v>0</v>
      </c>
      <c r="V390" s="77">
        <v>163</v>
      </c>
      <c r="W390" s="81" t="s">
        <v>698</v>
      </c>
      <c r="X390" s="83" t="str">
        <f>HYPERLINK("https://bit.ly/3L4QsRH")</f>
        <v>https://bit.ly/3L4QsRH</v>
      </c>
      <c r="Y390" s="77" t="s">
        <v>740</v>
      </c>
      <c r="Z390" s="77" t="s">
        <v>783</v>
      </c>
      <c r="AA390" s="77"/>
      <c r="AB390" s="77"/>
      <c r="AC390" s="81" t="s">
        <v>853</v>
      </c>
      <c r="AD390" s="77" t="s">
        <v>866</v>
      </c>
      <c r="AE390" s="83" t="str">
        <f>HYPERLINK("https://twitter.com/smr_foundation/status/1696928784489058742")</f>
        <v>https://twitter.com/smr_foundation/status/1696928784489058742</v>
      </c>
      <c r="AF390" s="79">
        <v>45168.70282407408</v>
      </c>
      <c r="AG390" s="85">
        <v>45168</v>
      </c>
      <c r="AH390" s="81" t="s">
        <v>919</v>
      </c>
      <c r="AI390" s="77" t="b">
        <v>0</v>
      </c>
      <c r="AJ390" s="77"/>
      <c r="AK390" s="77"/>
      <c r="AL390" s="77"/>
      <c r="AM390" s="77"/>
      <c r="AN390" s="77"/>
      <c r="AO390" s="77"/>
      <c r="AP390" s="77"/>
      <c r="AQ390" s="77"/>
      <c r="AR390" s="77"/>
      <c r="AS390" s="77"/>
      <c r="AT390" s="77"/>
      <c r="AU390" s="77"/>
      <c r="AV390" s="83" t="str">
        <f>HYPERLINK("https://pbs.twimg.com/profile_images/849133030237061120/6hUrNP0a_normal.jpg")</f>
        <v>https://pbs.twimg.com/profile_images/849133030237061120/6hUrNP0a_normal.jpg</v>
      </c>
      <c r="AW390" s="81" t="s">
        <v>1074</v>
      </c>
      <c r="AX390" s="81" t="s">
        <v>1074</v>
      </c>
      <c r="AY390" s="77"/>
      <c r="AZ390" s="81" t="s">
        <v>1190</v>
      </c>
      <c r="BA390" s="81" t="s">
        <v>1190</v>
      </c>
      <c r="BB390" s="81" t="s">
        <v>1190</v>
      </c>
      <c r="BC390" s="81" t="s">
        <v>1074</v>
      </c>
      <c r="BD390" s="77">
        <v>151934168</v>
      </c>
      <c r="BE390" s="77"/>
      <c r="BF390" s="77"/>
      <c r="BG390" s="77"/>
      <c r="BH390" s="77"/>
      <c r="BI390" s="77"/>
      <c r="BJ390">
        <v>1</v>
      </c>
      <c r="BK390" s="76" t="str">
        <f>REPLACE(INDEX(GroupVertices[Group],MATCH(Edges[[#This Row],[Vertex 1]],GroupVertices[Vertex],0)),1,1,"")</f>
        <v>3</v>
      </c>
      <c r="BL390" s="76" t="str">
        <f>REPLACE(INDEX(GroupVertices[Group],MATCH(Edges[[#This Row],[Vertex 2]],GroupVertices[Vertex],0)),1,1,"")</f>
        <v>3</v>
      </c>
      <c r="BM390" s="45"/>
      <c r="BN390" s="46"/>
      <c r="BO390" s="45"/>
      <c r="BP390" s="46"/>
      <c r="BQ390" s="45"/>
      <c r="BR390" s="46"/>
      <c r="BS390" s="45"/>
      <c r="BT390" s="46"/>
      <c r="BU390" s="45"/>
    </row>
    <row r="391" spans="1:73" ht="15">
      <c r="A391" s="61" t="s">
        <v>238</v>
      </c>
      <c r="B391" s="61" t="s">
        <v>454</v>
      </c>
      <c r="C391" s="62" t="s">
        <v>11692</v>
      </c>
      <c r="D391" s="63">
        <v>3</v>
      </c>
      <c r="E391" s="64" t="s">
        <v>132</v>
      </c>
      <c r="F391" s="65">
        <v>32</v>
      </c>
      <c r="G391" s="62"/>
      <c r="H391" s="66"/>
      <c r="I391" s="67"/>
      <c r="J391" s="67"/>
      <c r="K391" s="31" t="s">
        <v>65</v>
      </c>
      <c r="L391" s="75">
        <v>391</v>
      </c>
      <c r="M391" s="75"/>
      <c r="N391" s="69"/>
      <c r="O391" s="77" t="s">
        <v>539</v>
      </c>
      <c r="P391" s="79">
        <v>45168.70282407408</v>
      </c>
      <c r="Q391" s="77" t="s">
        <v>591</v>
      </c>
      <c r="R391" s="77">
        <v>5</v>
      </c>
      <c r="S391" s="77">
        <v>9</v>
      </c>
      <c r="T391" s="77">
        <v>0</v>
      </c>
      <c r="U391" s="77">
        <v>0</v>
      </c>
      <c r="V391" s="77">
        <v>163</v>
      </c>
      <c r="W391" s="81" t="s">
        <v>698</v>
      </c>
      <c r="X391" s="83" t="str">
        <f>HYPERLINK("https://bit.ly/3L4QsRH")</f>
        <v>https://bit.ly/3L4QsRH</v>
      </c>
      <c r="Y391" s="77" t="s">
        <v>740</v>
      </c>
      <c r="Z391" s="77" t="s">
        <v>783</v>
      </c>
      <c r="AA391" s="77"/>
      <c r="AB391" s="77"/>
      <c r="AC391" s="81" t="s">
        <v>853</v>
      </c>
      <c r="AD391" s="77" t="s">
        <v>866</v>
      </c>
      <c r="AE391" s="83" t="str">
        <f>HYPERLINK("https://twitter.com/smr_foundation/status/1696928784489058742")</f>
        <v>https://twitter.com/smr_foundation/status/1696928784489058742</v>
      </c>
      <c r="AF391" s="79">
        <v>45168.70282407408</v>
      </c>
      <c r="AG391" s="85">
        <v>45168</v>
      </c>
      <c r="AH391" s="81" t="s">
        <v>919</v>
      </c>
      <c r="AI391" s="77" t="b">
        <v>0</v>
      </c>
      <c r="AJ391" s="77"/>
      <c r="AK391" s="77"/>
      <c r="AL391" s="77"/>
      <c r="AM391" s="77"/>
      <c r="AN391" s="77"/>
      <c r="AO391" s="77"/>
      <c r="AP391" s="77"/>
      <c r="AQ391" s="77"/>
      <c r="AR391" s="77"/>
      <c r="AS391" s="77"/>
      <c r="AT391" s="77"/>
      <c r="AU391" s="77"/>
      <c r="AV391" s="83" t="str">
        <f>HYPERLINK("https://pbs.twimg.com/profile_images/849133030237061120/6hUrNP0a_normal.jpg")</f>
        <v>https://pbs.twimg.com/profile_images/849133030237061120/6hUrNP0a_normal.jpg</v>
      </c>
      <c r="AW391" s="81" t="s">
        <v>1074</v>
      </c>
      <c r="AX391" s="81" t="s">
        <v>1074</v>
      </c>
      <c r="AY391" s="77"/>
      <c r="AZ391" s="81" t="s">
        <v>1190</v>
      </c>
      <c r="BA391" s="81" t="s">
        <v>1190</v>
      </c>
      <c r="BB391" s="81" t="s">
        <v>1190</v>
      </c>
      <c r="BC391" s="81" t="s">
        <v>1074</v>
      </c>
      <c r="BD391" s="77">
        <v>151934168</v>
      </c>
      <c r="BE391" s="77"/>
      <c r="BF391" s="77"/>
      <c r="BG391" s="77"/>
      <c r="BH391" s="77"/>
      <c r="BI391" s="77"/>
      <c r="BJ391">
        <v>1</v>
      </c>
      <c r="BK391" s="76" t="str">
        <f>REPLACE(INDEX(GroupVertices[Group],MATCH(Edges[[#This Row],[Vertex 1]],GroupVertices[Vertex],0)),1,1,"")</f>
        <v>3</v>
      </c>
      <c r="BL391" s="76" t="str">
        <f>REPLACE(INDEX(GroupVertices[Group],MATCH(Edges[[#This Row],[Vertex 2]],GroupVertices[Vertex],0)),1,1,"")</f>
        <v>3</v>
      </c>
      <c r="BM391" s="45"/>
      <c r="BN391" s="46"/>
      <c r="BO391" s="45"/>
      <c r="BP391" s="46"/>
      <c r="BQ391" s="45"/>
      <c r="BR391" s="46"/>
      <c r="BS391" s="45"/>
      <c r="BT391" s="46"/>
      <c r="BU391" s="45"/>
    </row>
    <row r="392" spans="1:73" ht="15">
      <c r="A392" s="61" t="s">
        <v>238</v>
      </c>
      <c r="B392" s="61" t="s">
        <v>455</v>
      </c>
      <c r="C392" s="62" t="s">
        <v>11692</v>
      </c>
      <c r="D392" s="63">
        <v>3</v>
      </c>
      <c r="E392" s="64" t="s">
        <v>132</v>
      </c>
      <c r="F392" s="65">
        <v>32</v>
      </c>
      <c r="G392" s="62"/>
      <c r="H392" s="66"/>
      <c r="I392" s="67"/>
      <c r="J392" s="67"/>
      <c r="K392" s="31" t="s">
        <v>65</v>
      </c>
      <c r="L392" s="75">
        <v>392</v>
      </c>
      <c r="M392" s="75"/>
      <c r="N392" s="69"/>
      <c r="O392" s="77" t="s">
        <v>539</v>
      </c>
      <c r="P392" s="79">
        <v>45168.70282407408</v>
      </c>
      <c r="Q392" s="77" t="s">
        <v>591</v>
      </c>
      <c r="R392" s="77">
        <v>5</v>
      </c>
      <c r="S392" s="77">
        <v>9</v>
      </c>
      <c r="T392" s="77">
        <v>0</v>
      </c>
      <c r="U392" s="77">
        <v>0</v>
      </c>
      <c r="V392" s="77">
        <v>163</v>
      </c>
      <c r="W392" s="81" t="s">
        <v>698</v>
      </c>
      <c r="X392" s="83" t="str">
        <f>HYPERLINK("https://bit.ly/3L4QsRH")</f>
        <v>https://bit.ly/3L4QsRH</v>
      </c>
      <c r="Y392" s="77" t="s">
        <v>740</v>
      </c>
      <c r="Z392" s="77" t="s">
        <v>783</v>
      </c>
      <c r="AA392" s="77"/>
      <c r="AB392" s="77"/>
      <c r="AC392" s="81" t="s">
        <v>853</v>
      </c>
      <c r="AD392" s="77" t="s">
        <v>866</v>
      </c>
      <c r="AE392" s="83" t="str">
        <f>HYPERLINK("https://twitter.com/smr_foundation/status/1696928784489058742")</f>
        <v>https://twitter.com/smr_foundation/status/1696928784489058742</v>
      </c>
      <c r="AF392" s="79">
        <v>45168.70282407408</v>
      </c>
      <c r="AG392" s="85">
        <v>45168</v>
      </c>
      <c r="AH392" s="81" t="s">
        <v>919</v>
      </c>
      <c r="AI392" s="77" t="b">
        <v>0</v>
      </c>
      <c r="AJ392" s="77"/>
      <c r="AK392" s="77"/>
      <c r="AL392" s="77"/>
      <c r="AM392" s="77"/>
      <c r="AN392" s="77"/>
      <c r="AO392" s="77"/>
      <c r="AP392" s="77"/>
      <c r="AQ392" s="77"/>
      <c r="AR392" s="77"/>
      <c r="AS392" s="77"/>
      <c r="AT392" s="77"/>
      <c r="AU392" s="77"/>
      <c r="AV392" s="83" t="str">
        <f>HYPERLINK("https://pbs.twimg.com/profile_images/849133030237061120/6hUrNP0a_normal.jpg")</f>
        <v>https://pbs.twimg.com/profile_images/849133030237061120/6hUrNP0a_normal.jpg</v>
      </c>
      <c r="AW392" s="81" t="s">
        <v>1074</v>
      </c>
      <c r="AX392" s="81" t="s">
        <v>1074</v>
      </c>
      <c r="AY392" s="77"/>
      <c r="AZ392" s="81" t="s">
        <v>1190</v>
      </c>
      <c r="BA392" s="81" t="s">
        <v>1190</v>
      </c>
      <c r="BB392" s="81" t="s">
        <v>1190</v>
      </c>
      <c r="BC392" s="81" t="s">
        <v>1074</v>
      </c>
      <c r="BD392" s="77">
        <v>151934168</v>
      </c>
      <c r="BE392" s="77"/>
      <c r="BF392" s="77"/>
      <c r="BG392" s="77"/>
      <c r="BH392" s="77"/>
      <c r="BI392" s="77"/>
      <c r="BJ392">
        <v>1</v>
      </c>
      <c r="BK392" s="76" t="str">
        <f>REPLACE(INDEX(GroupVertices[Group],MATCH(Edges[[#This Row],[Vertex 1]],GroupVertices[Vertex],0)),1,1,"")</f>
        <v>3</v>
      </c>
      <c r="BL392" s="76" t="str">
        <f>REPLACE(INDEX(GroupVertices[Group],MATCH(Edges[[#This Row],[Vertex 2]],GroupVertices[Vertex],0)),1,1,"")</f>
        <v>3</v>
      </c>
      <c r="BM392" s="45"/>
      <c r="BN392" s="46"/>
      <c r="BO392" s="45"/>
      <c r="BP392" s="46"/>
      <c r="BQ392" s="45"/>
      <c r="BR392" s="46"/>
      <c r="BS392" s="45"/>
      <c r="BT392" s="46"/>
      <c r="BU392" s="45"/>
    </row>
    <row r="393" spans="1:73" ht="15">
      <c r="A393" s="61" t="s">
        <v>238</v>
      </c>
      <c r="B393" s="61" t="s">
        <v>456</v>
      </c>
      <c r="C393" s="62" t="s">
        <v>11692</v>
      </c>
      <c r="D393" s="63">
        <v>3</v>
      </c>
      <c r="E393" s="64" t="s">
        <v>132</v>
      </c>
      <c r="F393" s="65">
        <v>32</v>
      </c>
      <c r="G393" s="62"/>
      <c r="H393" s="66"/>
      <c r="I393" s="67"/>
      <c r="J393" s="67"/>
      <c r="K393" s="31" t="s">
        <v>65</v>
      </c>
      <c r="L393" s="75">
        <v>393</v>
      </c>
      <c r="M393" s="75"/>
      <c r="N393" s="69"/>
      <c r="O393" s="77" t="s">
        <v>539</v>
      </c>
      <c r="P393" s="79">
        <v>45168.70282407408</v>
      </c>
      <c r="Q393" s="77" t="s">
        <v>591</v>
      </c>
      <c r="R393" s="77">
        <v>5</v>
      </c>
      <c r="S393" s="77">
        <v>9</v>
      </c>
      <c r="T393" s="77">
        <v>0</v>
      </c>
      <c r="U393" s="77">
        <v>0</v>
      </c>
      <c r="V393" s="77">
        <v>163</v>
      </c>
      <c r="W393" s="81" t="s">
        <v>698</v>
      </c>
      <c r="X393" s="83" t="str">
        <f>HYPERLINK("https://bit.ly/3L4QsRH")</f>
        <v>https://bit.ly/3L4QsRH</v>
      </c>
      <c r="Y393" s="77" t="s">
        <v>740</v>
      </c>
      <c r="Z393" s="77" t="s">
        <v>783</v>
      </c>
      <c r="AA393" s="77"/>
      <c r="AB393" s="77"/>
      <c r="AC393" s="81" t="s">
        <v>853</v>
      </c>
      <c r="AD393" s="77" t="s">
        <v>866</v>
      </c>
      <c r="AE393" s="83" t="str">
        <f>HYPERLINK("https://twitter.com/smr_foundation/status/1696928784489058742")</f>
        <v>https://twitter.com/smr_foundation/status/1696928784489058742</v>
      </c>
      <c r="AF393" s="79">
        <v>45168.70282407408</v>
      </c>
      <c r="AG393" s="85">
        <v>45168</v>
      </c>
      <c r="AH393" s="81" t="s">
        <v>919</v>
      </c>
      <c r="AI393" s="77" t="b">
        <v>0</v>
      </c>
      <c r="AJ393" s="77"/>
      <c r="AK393" s="77"/>
      <c r="AL393" s="77"/>
      <c r="AM393" s="77"/>
      <c r="AN393" s="77"/>
      <c r="AO393" s="77"/>
      <c r="AP393" s="77"/>
      <c r="AQ393" s="77"/>
      <c r="AR393" s="77"/>
      <c r="AS393" s="77"/>
      <c r="AT393" s="77"/>
      <c r="AU393" s="77"/>
      <c r="AV393" s="83" t="str">
        <f>HYPERLINK("https://pbs.twimg.com/profile_images/849133030237061120/6hUrNP0a_normal.jpg")</f>
        <v>https://pbs.twimg.com/profile_images/849133030237061120/6hUrNP0a_normal.jpg</v>
      </c>
      <c r="AW393" s="81" t="s">
        <v>1074</v>
      </c>
      <c r="AX393" s="81" t="s">
        <v>1074</v>
      </c>
      <c r="AY393" s="77"/>
      <c r="AZ393" s="81" t="s">
        <v>1190</v>
      </c>
      <c r="BA393" s="81" t="s">
        <v>1190</v>
      </c>
      <c r="BB393" s="81" t="s">
        <v>1190</v>
      </c>
      <c r="BC393" s="81" t="s">
        <v>1074</v>
      </c>
      <c r="BD393" s="77">
        <v>151934168</v>
      </c>
      <c r="BE393" s="77"/>
      <c r="BF393" s="77"/>
      <c r="BG393" s="77"/>
      <c r="BH393" s="77"/>
      <c r="BI393" s="77"/>
      <c r="BJ393">
        <v>1</v>
      </c>
      <c r="BK393" s="76" t="str">
        <f>REPLACE(INDEX(GroupVertices[Group],MATCH(Edges[[#This Row],[Vertex 1]],GroupVertices[Vertex],0)),1,1,"")</f>
        <v>3</v>
      </c>
      <c r="BL393" s="76" t="str">
        <f>REPLACE(INDEX(GroupVertices[Group],MATCH(Edges[[#This Row],[Vertex 2]],GroupVertices[Vertex],0)),1,1,"")</f>
        <v>3</v>
      </c>
      <c r="BM393" s="45"/>
      <c r="BN393" s="46"/>
      <c r="BO393" s="45"/>
      <c r="BP393" s="46"/>
      <c r="BQ393" s="45"/>
      <c r="BR393" s="46"/>
      <c r="BS393" s="45"/>
      <c r="BT393" s="46"/>
      <c r="BU393" s="45"/>
    </row>
    <row r="394" spans="1:73" ht="15">
      <c r="A394" s="61" t="s">
        <v>238</v>
      </c>
      <c r="B394" s="61" t="s">
        <v>457</v>
      </c>
      <c r="C394" s="62" t="s">
        <v>11692</v>
      </c>
      <c r="D394" s="63">
        <v>3</v>
      </c>
      <c r="E394" s="64" t="s">
        <v>132</v>
      </c>
      <c r="F394" s="65">
        <v>32</v>
      </c>
      <c r="G394" s="62"/>
      <c r="H394" s="66"/>
      <c r="I394" s="67"/>
      <c r="J394" s="67"/>
      <c r="K394" s="31" t="s">
        <v>65</v>
      </c>
      <c r="L394" s="75">
        <v>394</v>
      </c>
      <c r="M394" s="75"/>
      <c r="N394" s="69"/>
      <c r="O394" s="77" t="s">
        <v>539</v>
      </c>
      <c r="P394" s="79">
        <v>45168.70282407408</v>
      </c>
      <c r="Q394" s="77" t="s">
        <v>591</v>
      </c>
      <c r="R394" s="77">
        <v>5</v>
      </c>
      <c r="S394" s="77">
        <v>9</v>
      </c>
      <c r="T394" s="77">
        <v>0</v>
      </c>
      <c r="U394" s="77">
        <v>0</v>
      </c>
      <c r="V394" s="77">
        <v>163</v>
      </c>
      <c r="W394" s="81" t="s">
        <v>698</v>
      </c>
      <c r="X394" s="83" t="str">
        <f>HYPERLINK("https://bit.ly/3L4QsRH")</f>
        <v>https://bit.ly/3L4QsRH</v>
      </c>
      <c r="Y394" s="77" t="s">
        <v>740</v>
      </c>
      <c r="Z394" s="77" t="s">
        <v>783</v>
      </c>
      <c r="AA394" s="77"/>
      <c r="AB394" s="77"/>
      <c r="AC394" s="81" t="s">
        <v>853</v>
      </c>
      <c r="AD394" s="77" t="s">
        <v>866</v>
      </c>
      <c r="AE394" s="83" t="str">
        <f>HYPERLINK("https://twitter.com/smr_foundation/status/1696928784489058742")</f>
        <v>https://twitter.com/smr_foundation/status/1696928784489058742</v>
      </c>
      <c r="AF394" s="79">
        <v>45168.70282407408</v>
      </c>
      <c r="AG394" s="85">
        <v>45168</v>
      </c>
      <c r="AH394" s="81" t="s">
        <v>919</v>
      </c>
      <c r="AI394" s="77" t="b">
        <v>0</v>
      </c>
      <c r="AJ394" s="77"/>
      <c r="AK394" s="77"/>
      <c r="AL394" s="77"/>
      <c r="AM394" s="77"/>
      <c r="AN394" s="77"/>
      <c r="AO394" s="77"/>
      <c r="AP394" s="77"/>
      <c r="AQ394" s="77"/>
      <c r="AR394" s="77"/>
      <c r="AS394" s="77"/>
      <c r="AT394" s="77"/>
      <c r="AU394" s="77"/>
      <c r="AV394" s="83" t="str">
        <f>HYPERLINK("https://pbs.twimg.com/profile_images/849133030237061120/6hUrNP0a_normal.jpg")</f>
        <v>https://pbs.twimg.com/profile_images/849133030237061120/6hUrNP0a_normal.jpg</v>
      </c>
      <c r="AW394" s="81" t="s">
        <v>1074</v>
      </c>
      <c r="AX394" s="81" t="s">
        <v>1074</v>
      </c>
      <c r="AY394" s="77"/>
      <c r="AZ394" s="81" t="s">
        <v>1190</v>
      </c>
      <c r="BA394" s="81" t="s">
        <v>1190</v>
      </c>
      <c r="BB394" s="81" t="s">
        <v>1190</v>
      </c>
      <c r="BC394" s="81" t="s">
        <v>1074</v>
      </c>
      <c r="BD394" s="77">
        <v>151934168</v>
      </c>
      <c r="BE394" s="77"/>
      <c r="BF394" s="77"/>
      <c r="BG394" s="77"/>
      <c r="BH394" s="77"/>
      <c r="BI394" s="77"/>
      <c r="BJ394">
        <v>1</v>
      </c>
      <c r="BK394" s="76" t="str">
        <f>REPLACE(INDEX(GroupVertices[Group],MATCH(Edges[[#This Row],[Vertex 1]],GroupVertices[Vertex],0)),1,1,"")</f>
        <v>3</v>
      </c>
      <c r="BL394" s="76" t="str">
        <f>REPLACE(INDEX(GroupVertices[Group],MATCH(Edges[[#This Row],[Vertex 2]],GroupVertices[Vertex],0)),1,1,"")</f>
        <v>3</v>
      </c>
      <c r="BM394" s="45"/>
      <c r="BN394" s="46"/>
      <c r="BO394" s="45"/>
      <c r="BP394" s="46"/>
      <c r="BQ394" s="45"/>
      <c r="BR394" s="46"/>
      <c r="BS394" s="45"/>
      <c r="BT394" s="46"/>
      <c r="BU394" s="45"/>
    </row>
    <row r="395" spans="1:73" ht="15">
      <c r="A395" s="61" t="s">
        <v>238</v>
      </c>
      <c r="B395" s="61" t="s">
        <v>458</v>
      </c>
      <c r="C395" s="62" t="s">
        <v>11692</v>
      </c>
      <c r="D395" s="63">
        <v>3</v>
      </c>
      <c r="E395" s="64" t="s">
        <v>132</v>
      </c>
      <c r="F395" s="65">
        <v>32</v>
      </c>
      <c r="G395" s="62"/>
      <c r="H395" s="66"/>
      <c r="I395" s="67"/>
      <c r="J395" s="67"/>
      <c r="K395" s="31" t="s">
        <v>65</v>
      </c>
      <c r="L395" s="75">
        <v>395</v>
      </c>
      <c r="M395" s="75"/>
      <c r="N395" s="69"/>
      <c r="O395" s="77" t="s">
        <v>539</v>
      </c>
      <c r="P395" s="79">
        <v>45168.70282407408</v>
      </c>
      <c r="Q395" s="77" t="s">
        <v>591</v>
      </c>
      <c r="R395" s="77">
        <v>5</v>
      </c>
      <c r="S395" s="77">
        <v>9</v>
      </c>
      <c r="T395" s="77">
        <v>0</v>
      </c>
      <c r="U395" s="77">
        <v>0</v>
      </c>
      <c r="V395" s="77">
        <v>163</v>
      </c>
      <c r="W395" s="81" t="s">
        <v>698</v>
      </c>
      <c r="X395" s="83" t="str">
        <f>HYPERLINK("https://bit.ly/3L4QsRH")</f>
        <v>https://bit.ly/3L4QsRH</v>
      </c>
      <c r="Y395" s="77" t="s">
        <v>740</v>
      </c>
      <c r="Z395" s="77" t="s">
        <v>783</v>
      </c>
      <c r="AA395" s="77"/>
      <c r="AB395" s="77"/>
      <c r="AC395" s="81" t="s">
        <v>853</v>
      </c>
      <c r="AD395" s="77" t="s">
        <v>866</v>
      </c>
      <c r="AE395" s="83" t="str">
        <f>HYPERLINK("https://twitter.com/smr_foundation/status/1696928784489058742")</f>
        <v>https://twitter.com/smr_foundation/status/1696928784489058742</v>
      </c>
      <c r="AF395" s="79">
        <v>45168.70282407408</v>
      </c>
      <c r="AG395" s="85">
        <v>45168</v>
      </c>
      <c r="AH395" s="81" t="s">
        <v>919</v>
      </c>
      <c r="AI395" s="77" t="b">
        <v>0</v>
      </c>
      <c r="AJ395" s="77"/>
      <c r="AK395" s="77"/>
      <c r="AL395" s="77"/>
      <c r="AM395" s="77"/>
      <c r="AN395" s="77"/>
      <c r="AO395" s="77"/>
      <c r="AP395" s="77"/>
      <c r="AQ395" s="77"/>
      <c r="AR395" s="77"/>
      <c r="AS395" s="77"/>
      <c r="AT395" s="77"/>
      <c r="AU395" s="77"/>
      <c r="AV395" s="83" t="str">
        <f>HYPERLINK("https://pbs.twimg.com/profile_images/849133030237061120/6hUrNP0a_normal.jpg")</f>
        <v>https://pbs.twimg.com/profile_images/849133030237061120/6hUrNP0a_normal.jpg</v>
      </c>
      <c r="AW395" s="81" t="s">
        <v>1074</v>
      </c>
      <c r="AX395" s="81" t="s">
        <v>1074</v>
      </c>
      <c r="AY395" s="77"/>
      <c r="AZ395" s="81" t="s">
        <v>1190</v>
      </c>
      <c r="BA395" s="81" t="s">
        <v>1190</v>
      </c>
      <c r="BB395" s="81" t="s">
        <v>1190</v>
      </c>
      <c r="BC395" s="81" t="s">
        <v>1074</v>
      </c>
      <c r="BD395" s="77">
        <v>151934168</v>
      </c>
      <c r="BE395" s="77"/>
      <c r="BF395" s="77"/>
      <c r="BG395" s="77"/>
      <c r="BH395" s="77"/>
      <c r="BI395" s="77"/>
      <c r="BJ395">
        <v>1</v>
      </c>
      <c r="BK395" s="76" t="str">
        <f>REPLACE(INDEX(GroupVertices[Group],MATCH(Edges[[#This Row],[Vertex 1]],GroupVertices[Vertex],0)),1,1,"")</f>
        <v>3</v>
      </c>
      <c r="BL395" s="76" t="str">
        <f>REPLACE(INDEX(GroupVertices[Group],MATCH(Edges[[#This Row],[Vertex 2]],GroupVertices[Vertex],0)),1,1,"")</f>
        <v>3</v>
      </c>
      <c r="BM395" s="45"/>
      <c r="BN395" s="46"/>
      <c r="BO395" s="45"/>
      <c r="BP395" s="46"/>
      <c r="BQ395" s="45"/>
      <c r="BR395" s="46"/>
      <c r="BS395" s="45"/>
      <c r="BT395" s="46"/>
      <c r="BU395" s="45"/>
    </row>
    <row r="396" spans="1:73" ht="15">
      <c r="A396" s="61" t="s">
        <v>238</v>
      </c>
      <c r="B396" s="61" t="s">
        <v>459</v>
      </c>
      <c r="C396" s="62" t="s">
        <v>11692</v>
      </c>
      <c r="D396" s="63">
        <v>3</v>
      </c>
      <c r="E396" s="64" t="s">
        <v>132</v>
      </c>
      <c r="F396" s="65">
        <v>32</v>
      </c>
      <c r="G396" s="62"/>
      <c r="H396" s="66"/>
      <c r="I396" s="67"/>
      <c r="J396" s="67"/>
      <c r="K396" s="31" t="s">
        <v>65</v>
      </c>
      <c r="L396" s="75">
        <v>396</v>
      </c>
      <c r="M396" s="75"/>
      <c r="N396" s="69"/>
      <c r="O396" s="77" t="s">
        <v>539</v>
      </c>
      <c r="P396" s="79">
        <v>45168.70282407408</v>
      </c>
      <c r="Q396" s="77" t="s">
        <v>591</v>
      </c>
      <c r="R396" s="77">
        <v>5</v>
      </c>
      <c r="S396" s="77">
        <v>9</v>
      </c>
      <c r="T396" s="77">
        <v>0</v>
      </c>
      <c r="U396" s="77">
        <v>0</v>
      </c>
      <c r="V396" s="77">
        <v>163</v>
      </c>
      <c r="W396" s="81" t="s">
        <v>698</v>
      </c>
      <c r="X396" s="83" t="str">
        <f>HYPERLINK("https://bit.ly/3L4QsRH")</f>
        <v>https://bit.ly/3L4QsRH</v>
      </c>
      <c r="Y396" s="77" t="s">
        <v>740</v>
      </c>
      <c r="Z396" s="77" t="s">
        <v>783</v>
      </c>
      <c r="AA396" s="77"/>
      <c r="AB396" s="77"/>
      <c r="AC396" s="81" t="s">
        <v>853</v>
      </c>
      <c r="AD396" s="77" t="s">
        <v>866</v>
      </c>
      <c r="AE396" s="83" t="str">
        <f>HYPERLINK("https://twitter.com/smr_foundation/status/1696928784489058742")</f>
        <v>https://twitter.com/smr_foundation/status/1696928784489058742</v>
      </c>
      <c r="AF396" s="79">
        <v>45168.70282407408</v>
      </c>
      <c r="AG396" s="85">
        <v>45168</v>
      </c>
      <c r="AH396" s="81" t="s">
        <v>919</v>
      </c>
      <c r="AI396" s="77" t="b">
        <v>0</v>
      </c>
      <c r="AJ396" s="77"/>
      <c r="AK396" s="77"/>
      <c r="AL396" s="77"/>
      <c r="AM396" s="77"/>
      <c r="AN396" s="77"/>
      <c r="AO396" s="77"/>
      <c r="AP396" s="77"/>
      <c r="AQ396" s="77"/>
      <c r="AR396" s="77"/>
      <c r="AS396" s="77"/>
      <c r="AT396" s="77"/>
      <c r="AU396" s="77"/>
      <c r="AV396" s="83" t="str">
        <f>HYPERLINK("https://pbs.twimg.com/profile_images/849133030237061120/6hUrNP0a_normal.jpg")</f>
        <v>https://pbs.twimg.com/profile_images/849133030237061120/6hUrNP0a_normal.jpg</v>
      </c>
      <c r="AW396" s="81" t="s">
        <v>1074</v>
      </c>
      <c r="AX396" s="81" t="s">
        <v>1074</v>
      </c>
      <c r="AY396" s="77"/>
      <c r="AZ396" s="81" t="s">
        <v>1190</v>
      </c>
      <c r="BA396" s="81" t="s">
        <v>1190</v>
      </c>
      <c r="BB396" s="81" t="s">
        <v>1190</v>
      </c>
      <c r="BC396" s="81" t="s">
        <v>1074</v>
      </c>
      <c r="BD396" s="77">
        <v>151934168</v>
      </c>
      <c r="BE396" s="77"/>
      <c r="BF396" s="77"/>
      <c r="BG396" s="77"/>
      <c r="BH396" s="77"/>
      <c r="BI396" s="77"/>
      <c r="BJ396">
        <v>1</v>
      </c>
      <c r="BK396" s="76" t="str">
        <f>REPLACE(INDEX(GroupVertices[Group],MATCH(Edges[[#This Row],[Vertex 1]],GroupVertices[Vertex],0)),1,1,"")</f>
        <v>3</v>
      </c>
      <c r="BL396" s="76" t="str">
        <f>REPLACE(INDEX(GroupVertices[Group],MATCH(Edges[[#This Row],[Vertex 2]],GroupVertices[Vertex],0)),1,1,"")</f>
        <v>3</v>
      </c>
      <c r="BM396" s="45"/>
      <c r="BN396" s="46"/>
      <c r="BO396" s="45"/>
      <c r="BP396" s="46"/>
      <c r="BQ396" s="45"/>
      <c r="BR396" s="46"/>
      <c r="BS396" s="45"/>
      <c r="BT396" s="46"/>
      <c r="BU396" s="45"/>
    </row>
    <row r="397" spans="1:73" ht="15">
      <c r="A397" s="61" t="s">
        <v>238</v>
      </c>
      <c r="B397" s="61" t="s">
        <v>460</v>
      </c>
      <c r="C397" s="62" t="s">
        <v>11692</v>
      </c>
      <c r="D397" s="63">
        <v>3</v>
      </c>
      <c r="E397" s="64" t="s">
        <v>132</v>
      </c>
      <c r="F397" s="65">
        <v>32</v>
      </c>
      <c r="G397" s="62"/>
      <c r="H397" s="66"/>
      <c r="I397" s="67"/>
      <c r="J397" s="67"/>
      <c r="K397" s="31" t="s">
        <v>65</v>
      </c>
      <c r="L397" s="75">
        <v>397</v>
      </c>
      <c r="M397" s="75"/>
      <c r="N397" s="69"/>
      <c r="O397" s="77" t="s">
        <v>539</v>
      </c>
      <c r="P397" s="79">
        <v>45168.70282407408</v>
      </c>
      <c r="Q397" s="77" t="s">
        <v>591</v>
      </c>
      <c r="R397" s="77">
        <v>5</v>
      </c>
      <c r="S397" s="77">
        <v>9</v>
      </c>
      <c r="T397" s="77">
        <v>0</v>
      </c>
      <c r="U397" s="77">
        <v>0</v>
      </c>
      <c r="V397" s="77">
        <v>163</v>
      </c>
      <c r="W397" s="81" t="s">
        <v>698</v>
      </c>
      <c r="X397" s="83" t="str">
        <f>HYPERLINK("https://bit.ly/3L4QsRH")</f>
        <v>https://bit.ly/3L4QsRH</v>
      </c>
      <c r="Y397" s="77" t="s">
        <v>740</v>
      </c>
      <c r="Z397" s="77" t="s">
        <v>783</v>
      </c>
      <c r="AA397" s="77"/>
      <c r="AB397" s="77"/>
      <c r="AC397" s="81" t="s">
        <v>853</v>
      </c>
      <c r="AD397" s="77" t="s">
        <v>866</v>
      </c>
      <c r="AE397" s="83" t="str">
        <f>HYPERLINK("https://twitter.com/smr_foundation/status/1696928784489058742")</f>
        <v>https://twitter.com/smr_foundation/status/1696928784489058742</v>
      </c>
      <c r="AF397" s="79">
        <v>45168.70282407408</v>
      </c>
      <c r="AG397" s="85">
        <v>45168</v>
      </c>
      <c r="AH397" s="81" t="s">
        <v>919</v>
      </c>
      <c r="AI397" s="77" t="b">
        <v>0</v>
      </c>
      <c r="AJ397" s="77"/>
      <c r="AK397" s="77"/>
      <c r="AL397" s="77"/>
      <c r="AM397" s="77"/>
      <c r="AN397" s="77"/>
      <c r="AO397" s="77"/>
      <c r="AP397" s="77"/>
      <c r="AQ397" s="77"/>
      <c r="AR397" s="77"/>
      <c r="AS397" s="77"/>
      <c r="AT397" s="77"/>
      <c r="AU397" s="77"/>
      <c r="AV397" s="83" t="str">
        <f>HYPERLINK("https://pbs.twimg.com/profile_images/849133030237061120/6hUrNP0a_normal.jpg")</f>
        <v>https://pbs.twimg.com/profile_images/849133030237061120/6hUrNP0a_normal.jpg</v>
      </c>
      <c r="AW397" s="81" t="s">
        <v>1074</v>
      </c>
      <c r="AX397" s="81" t="s">
        <v>1074</v>
      </c>
      <c r="AY397" s="77"/>
      <c r="AZ397" s="81" t="s">
        <v>1190</v>
      </c>
      <c r="BA397" s="81" t="s">
        <v>1190</v>
      </c>
      <c r="BB397" s="81" t="s">
        <v>1190</v>
      </c>
      <c r="BC397" s="81" t="s">
        <v>1074</v>
      </c>
      <c r="BD397" s="77">
        <v>151934168</v>
      </c>
      <c r="BE397" s="77"/>
      <c r="BF397" s="77"/>
      <c r="BG397" s="77"/>
      <c r="BH397" s="77"/>
      <c r="BI397" s="77"/>
      <c r="BJ397">
        <v>1</v>
      </c>
      <c r="BK397" s="76" t="str">
        <f>REPLACE(INDEX(GroupVertices[Group],MATCH(Edges[[#This Row],[Vertex 1]],GroupVertices[Vertex],0)),1,1,"")</f>
        <v>3</v>
      </c>
      <c r="BL397" s="76" t="str">
        <f>REPLACE(INDEX(GroupVertices[Group],MATCH(Edges[[#This Row],[Vertex 2]],GroupVertices[Vertex],0)),1,1,"")</f>
        <v>3</v>
      </c>
      <c r="BM397" s="45"/>
      <c r="BN397" s="46"/>
      <c r="BO397" s="45"/>
      <c r="BP397" s="46"/>
      <c r="BQ397" s="45"/>
      <c r="BR397" s="46"/>
      <c r="BS397" s="45"/>
      <c r="BT397" s="46"/>
      <c r="BU397" s="45"/>
    </row>
    <row r="398" spans="1:73" ht="15">
      <c r="A398" s="61" t="s">
        <v>238</v>
      </c>
      <c r="B398" s="61" t="s">
        <v>461</v>
      </c>
      <c r="C398" s="62" t="s">
        <v>11692</v>
      </c>
      <c r="D398" s="63">
        <v>3</v>
      </c>
      <c r="E398" s="64" t="s">
        <v>132</v>
      </c>
      <c r="F398" s="65">
        <v>32</v>
      </c>
      <c r="G398" s="62"/>
      <c r="H398" s="66"/>
      <c r="I398" s="67"/>
      <c r="J398" s="67"/>
      <c r="K398" s="31" t="s">
        <v>65</v>
      </c>
      <c r="L398" s="75">
        <v>398</v>
      </c>
      <c r="M398" s="75"/>
      <c r="N398" s="69"/>
      <c r="O398" s="77" t="s">
        <v>539</v>
      </c>
      <c r="P398" s="79">
        <v>45168.70282407408</v>
      </c>
      <c r="Q398" s="77" t="s">
        <v>591</v>
      </c>
      <c r="R398" s="77">
        <v>5</v>
      </c>
      <c r="S398" s="77">
        <v>9</v>
      </c>
      <c r="T398" s="77">
        <v>0</v>
      </c>
      <c r="U398" s="77">
        <v>0</v>
      </c>
      <c r="V398" s="77">
        <v>163</v>
      </c>
      <c r="W398" s="81" t="s">
        <v>698</v>
      </c>
      <c r="X398" s="83" t="str">
        <f>HYPERLINK("https://bit.ly/3L4QsRH")</f>
        <v>https://bit.ly/3L4QsRH</v>
      </c>
      <c r="Y398" s="77" t="s">
        <v>740</v>
      </c>
      <c r="Z398" s="77" t="s">
        <v>783</v>
      </c>
      <c r="AA398" s="77"/>
      <c r="AB398" s="77"/>
      <c r="AC398" s="81" t="s">
        <v>853</v>
      </c>
      <c r="AD398" s="77" t="s">
        <v>866</v>
      </c>
      <c r="AE398" s="83" t="str">
        <f>HYPERLINK("https://twitter.com/smr_foundation/status/1696928784489058742")</f>
        <v>https://twitter.com/smr_foundation/status/1696928784489058742</v>
      </c>
      <c r="AF398" s="79">
        <v>45168.70282407408</v>
      </c>
      <c r="AG398" s="85">
        <v>45168</v>
      </c>
      <c r="AH398" s="81" t="s">
        <v>919</v>
      </c>
      <c r="AI398" s="77" t="b">
        <v>0</v>
      </c>
      <c r="AJ398" s="77"/>
      <c r="AK398" s="77"/>
      <c r="AL398" s="77"/>
      <c r="AM398" s="77"/>
      <c r="AN398" s="77"/>
      <c r="AO398" s="77"/>
      <c r="AP398" s="77"/>
      <c r="AQ398" s="77"/>
      <c r="AR398" s="77"/>
      <c r="AS398" s="77"/>
      <c r="AT398" s="77"/>
      <c r="AU398" s="77"/>
      <c r="AV398" s="83" t="str">
        <f>HYPERLINK("https://pbs.twimg.com/profile_images/849133030237061120/6hUrNP0a_normal.jpg")</f>
        <v>https://pbs.twimg.com/profile_images/849133030237061120/6hUrNP0a_normal.jpg</v>
      </c>
      <c r="AW398" s="81" t="s">
        <v>1074</v>
      </c>
      <c r="AX398" s="81" t="s">
        <v>1074</v>
      </c>
      <c r="AY398" s="77"/>
      <c r="AZ398" s="81" t="s">
        <v>1190</v>
      </c>
      <c r="BA398" s="81" t="s">
        <v>1190</v>
      </c>
      <c r="BB398" s="81" t="s">
        <v>1190</v>
      </c>
      <c r="BC398" s="81" t="s">
        <v>1074</v>
      </c>
      <c r="BD398" s="77">
        <v>151934168</v>
      </c>
      <c r="BE398" s="77"/>
      <c r="BF398" s="77"/>
      <c r="BG398" s="77"/>
      <c r="BH398" s="77"/>
      <c r="BI398" s="77"/>
      <c r="BJ398">
        <v>1</v>
      </c>
      <c r="BK398" s="76" t="str">
        <f>REPLACE(INDEX(GroupVertices[Group],MATCH(Edges[[#This Row],[Vertex 1]],GroupVertices[Vertex],0)),1,1,"")</f>
        <v>3</v>
      </c>
      <c r="BL398" s="76" t="str">
        <f>REPLACE(INDEX(GroupVertices[Group],MATCH(Edges[[#This Row],[Vertex 2]],GroupVertices[Vertex],0)),1,1,"")</f>
        <v>3</v>
      </c>
      <c r="BM398" s="45"/>
      <c r="BN398" s="46"/>
      <c r="BO398" s="45"/>
      <c r="BP398" s="46"/>
      <c r="BQ398" s="45"/>
      <c r="BR398" s="46"/>
      <c r="BS398" s="45"/>
      <c r="BT398" s="46"/>
      <c r="BU398" s="45"/>
    </row>
    <row r="399" spans="1:73" ht="15">
      <c r="A399" s="61" t="s">
        <v>238</v>
      </c>
      <c r="B399" s="61" t="s">
        <v>462</v>
      </c>
      <c r="C399" s="62" t="s">
        <v>11692</v>
      </c>
      <c r="D399" s="63">
        <v>3</v>
      </c>
      <c r="E399" s="64" t="s">
        <v>132</v>
      </c>
      <c r="F399" s="65">
        <v>32</v>
      </c>
      <c r="G399" s="62"/>
      <c r="H399" s="66"/>
      <c r="I399" s="67"/>
      <c r="J399" s="67"/>
      <c r="K399" s="31" t="s">
        <v>65</v>
      </c>
      <c r="L399" s="75">
        <v>399</v>
      </c>
      <c r="M399" s="75"/>
      <c r="N399" s="69"/>
      <c r="O399" s="77" t="s">
        <v>539</v>
      </c>
      <c r="P399" s="79">
        <v>45168.70282407408</v>
      </c>
      <c r="Q399" s="77" t="s">
        <v>591</v>
      </c>
      <c r="R399" s="77">
        <v>5</v>
      </c>
      <c r="S399" s="77">
        <v>9</v>
      </c>
      <c r="T399" s="77">
        <v>0</v>
      </c>
      <c r="U399" s="77">
        <v>0</v>
      </c>
      <c r="V399" s="77">
        <v>163</v>
      </c>
      <c r="W399" s="81" t="s">
        <v>698</v>
      </c>
      <c r="X399" s="83" t="str">
        <f>HYPERLINK("https://bit.ly/3L4QsRH")</f>
        <v>https://bit.ly/3L4QsRH</v>
      </c>
      <c r="Y399" s="77" t="s">
        <v>740</v>
      </c>
      <c r="Z399" s="77" t="s">
        <v>783</v>
      </c>
      <c r="AA399" s="77"/>
      <c r="AB399" s="77"/>
      <c r="AC399" s="81" t="s">
        <v>853</v>
      </c>
      <c r="AD399" s="77" t="s">
        <v>866</v>
      </c>
      <c r="AE399" s="83" t="str">
        <f>HYPERLINK("https://twitter.com/smr_foundation/status/1696928784489058742")</f>
        <v>https://twitter.com/smr_foundation/status/1696928784489058742</v>
      </c>
      <c r="AF399" s="79">
        <v>45168.70282407408</v>
      </c>
      <c r="AG399" s="85">
        <v>45168</v>
      </c>
      <c r="AH399" s="81" t="s">
        <v>919</v>
      </c>
      <c r="AI399" s="77" t="b">
        <v>0</v>
      </c>
      <c r="AJ399" s="77"/>
      <c r="AK399" s="77"/>
      <c r="AL399" s="77"/>
      <c r="AM399" s="77"/>
      <c r="AN399" s="77"/>
      <c r="AO399" s="77"/>
      <c r="AP399" s="77"/>
      <c r="AQ399" s="77"/>
      <c r="AR399" s="77"/>
      <c r="AS399" s="77"/>
      <c r="AT399" s="77"/>
      <c r="AU399" s="77"/>
      <c r="AV399" s="83" t="str">
        <f>HYPERLINK("https://pbs.twimg.com/profile_images/849133030237061120/6hUrNP0a_normal.jpg")</f>
        <v>https://pbs.twimg.com/profile_images/849133030237061120/6hUrNP0a_normal.jpg</v>
      </c>
      <c r="AW399" s="81" t="s">
        <v>1074</v>
      </c>
      <c r="AX399" s="81" t="s">
        <v>1074</v>
      </c>
      <c r="AY399" s="77"/>
      <c r="AZ399" s="81" t="s">
        <v>1190</v>
      </c>
      <c r="BA399" s="81" t="s">
        <v>1190</v>
      </c>
      <c r="BB399" s="81" t="s">
        <v>1190</v>
      </c>
      <c r="BC399" s="81" t="s">
        <v>1074</v>
      </c>
      <c r="BD399" s="77">
        <v>151934168</v>
      </c>
      <c r="BE399" s="77"/>
      <c r="BF399" s="77"/>
      <c r="BG399" s="77"/>
      <c r="BH399" s="77"/>
      <c r="BI399" s="77"/>
      <c r="BJ399">
        <v>1</v>
      </c>
      <c r="BK399" s="76" t="str">
        <f>REPLACE(INDEX(GroupVertices[Group],MATCH(Edges[[#This Row],[Vertex 1]],GroupVertices[Vertex],0)),1,1,"")</f>
        <v>3</v>
      </c>
      <c r="BL399" s="76" t="str">
        <f>REPLACE(INDEX(GroupVertices[Group],MATCH(Edges[[#This Row],[Vertex 2]],GroupVertices[Vertex],0)),1,1,"")</f>
        <v>3</v>
      </c>
      <c r="BM399" s="45">
        <v>1</v>
      </c>
      <c r="BN399" s="46">
        <v>4.3478260869565215</v>
      </c>
      <c r="BO399" s="45">
        <v>0</v>
      </c>
      <c r="BP399" s="46">
        <v>0</v>
      </c>
      <c r="BQ399" s="45">
        <v>0</v>
      </c>
      <c r="BR399" s="46">
        <v>0</v>
      </c>
      <c r="BS399" s="45">
        <v>21</v>
      </c>
      <c r="BT399" s="46">
        <v>91.30434782608695</v>
      </c>
      <c r="BU399" s="45">
        <v>23</v>
      </c>
    </row>
    <row r="400" spans="1:73" ht="15">
      <c r="A400" s="61" t="s">
        <v>238</v>
      </c>
      <c r="B400" s="61" t="s">
        <v>463</v>
      </c>
      <c r="C400" s="62" t="s">
        <v>11692</v>
      </c>
      <c r="D400" s="63">
        <v>3</v>
      </c>
      <c r="E400" s="64" t="s">
        <v>132</v>
      </c>
      <c r="F400" s="65">
        <v>32</v>
      </c>
      <c r="G400" s="62"/>
      <c r="H400" s="66"/>
      <c r="I400" s="67"/>
      <c r="J400" s="67"/>
      <c r="K400" s="31" t="s">
        <v>65</v>
      </c>
      <c r="L400" s="75">
        <v>400</v>
      </c>
      <c r="M400" s="75"/>
      <c r="N400" s="69"/>
      <c r="O400" s="77" t="s">
        <v>543</v>
      </c>
      <c r="P400" s="79">
        <v>45168.15509259259</v>
      </c>
      <c r="Q400" s="77" t="s">
        <v>592</v>
      </c>
      <c r="R400" s="77">
        <v>2</v>
      </c>
      <c r="S400" s="77">
        <v>3</v>
      </c>
      <c r="T400" s="77">
        <v>0</v>
      </c>
      <c r="U400" s="77">
        <v>1</v>
      </c>
      <c r="V400" s="77">
        <v>305</v>
      </c>
      <c r="W400" s="81" t="s">
        <v>699</v>
      </c>
      <c r="X400" s="83" t="str">
        <f>HYPERLINK("https://bit.ly/3Z2OFCA")</f>
        <v>https://bit.ly/3Z2OFCA</v>
      </c>
      <c r="Y400" s="77" t="s">
        <v>740</v>
      </c>
      <c r="Z400" s="77" t="s">
        <v>784</v>
      </c>
      <c r="AA400" s="77" t="s">
        <v>832</v>
      </c>
      <c r="AB400" s="77" t="s">
        <v>848</v>
      </c>
      <c r="AC400" s="81" t="s">
        <v>853</v>
      </c>
      <c r="AD400" s="77" t="s">
        <v>866</v>
      </c>
      <c r="AE400" s="83" t="str">
        <f>HYPERLINK("https://twitter.com/smr_foundation/status/1696730293250736538")</f>
        <v>https://twitter.com/smr_foundation/status/1696730293250736538</v>
      </c>
      <c r="AF400" s="79">
        <v>45168.15509259259</v>
      </c>
      <c r="AG400" s="85">
        <v>45168</v>
      </c>
      <c r="AH400" s="81" t="s">
        <v>920</v>
      </c>
      <c r="AI400" s="77" t="b">
        <v>0</v>
      </c>
      <c r="AJ400" s="77"/>
      <c r="AK400" s="77"/>
      <c r="AL400" s="77"/>
      <c r="AM400" s="77"/>
      <c r="AN400" s="77"/>
      <c r="AO400" s="77"/>
      <c r="AP400" s="77"/>
      <c r="AQ400" s="77" t="s">
        <v>1011</v>
      </c>
      <c r="AR400" s="77"/>
      <c r="AS400" s="77"/>
      <c r="AT400" s="77"/>
      <c r="AU400" s="77"/>
      <c r="AV400" s="83" t="str">
        <f>HYPERLINK("https://pbs.twimg.com/media/F4v_IaLagAAQ39G.png")</f>
        <v>https://pbs.twimg.com/media/F4v_IaLagAAQ39G.png</v>
      </c>
      <c r="AW400" s="81" t="s">
        <v>1075</v>
      </c>
      <c r="AX400" s="81" t="s">
        <v>1076</v>
      </c>
      <c r="AY400" s="81" t="s">
        <v>1179</v>
      </c>
      <c r="AZ400" s="81" t="s">
        <v>1076</v>
      </c>
      <c r="BA400" s="81" t="s">
        <v>1190</v>
      </c>
      <c r="BB400" s="81" t="s">
        <v>1190</v>
      </c>
      <c r="BC400" s="81" t="s">
        <v>1076</v>
      </c>
      <c r="BD400" s="77">
        <v>151934168</v>
      </c>
      <c r="BE400" s="77"/>
      <c r="BF400" s="77"/>
      <c r="BG400" s="77"/>
      <c r="BH400" s="77"/>
      <c r="BI400" s="77"/>
      <c r="BJ400">
        <v>1</v>
      </c>
      <c r="BK400" s="76" t="str">
        <f>REPLACE(INDEX(GroupVertices[Group],MATCH(Edges[[#This Row],[Vertex 1]],GroupVertices[Vertex],0)),1,1,"")</f>
        <v>3</v>
      </c>
      <c r="BL400" s="76" t="str">
        <f>REPLACE(INDEX(GroupVertices[Group],MATCH(Edges[[#This Row],[Vertex 2]],GroupVertices[Vertex],0)),1,1,"")</f>
        <v>3</v>
      </c>
      <c r="BM400" s="45"/>
      <c r="BN400" s="46"/>
      <c r="BO400" s="45"/>
      <c r="BP400" s="46"/>
      <c r="BQ400" s="45"/>
      <c r="BR400" s="46"/>
      <c r="BS400" s="45"/>
      <c r="BT400" s="46"/>
      <c r="BU400" s="45"/>
    </row>
    <row r="401" spans="1:73" ht="15">
      <c r="A401" s="61" t="s">
        <v>238</v>
      </c>
      <c r="B401" s="61" t="s">
        <v>463</v>
      </c>
      <c r="C401" s="62" t="s">
        <v>11692</v>
      </c>
      <c r="D401" s="63">
        <v>3</v>
      </c>
      <c r="E401" s="64" t="s">
        <v>132</v>
      </c>
      <c r="F401" s="65">
        <v>32</v>
      </c>
      <c r="G401" s="62"/>
      <c r="H401" s="66"/>
      <c r="I401" s="67"/>
      <c r="J401" s="67"/>
      <c r="K401" s="31" t="s">
        <v>65</v>
      </c>
      <c r="L401" s="75">
        <v>401</v>
      </c>
      <c r="M401" s="75"/>
      <c r="N401" s="69"/>
      <c r="O401" s="77" t="s">
        <v>539</v>
      </c>
      <c r="P401" s="79">
        <v>45168.1540625</v>
      </c>
      <c r="Q401" s="77" t="s">
        <v>593</v>
      </c>
      <c r="R401" s="77">
        <v>3</v>
      </c>
      <c r="S401" s="77">
        <v>7</v>
      </c>
      <c r="T401" s="77">
        <v>2</v>
      </c>
      <c r="U401" s="77">
        <v>1</v>
      </c>
      <c r="V401" s="77">
        <v>306</v>
      </c>
      <c r="W401" s="81" t="s">
        <v>700</v>
      </c>
      <c r="X401" s="83" t="str">
        <f>HYPERLINK("https://bit.ly/3Z2OFCA")</f>
        <v>https://bit.ly/3Z2OFCA</v>
      </c>
      <c r="Y401" s="77" t="s">
        <v>740</v>
      </c>
      <c r="Z401" s="77" t="s">
        <v>784</v>
      </c>
      <c r="AA401" s="77"/>
      <c r="AB401" s="77"/>
      <c r="AC401" s="81" t="s">
        <v>853</v>
      </c>
      <c r="AD401" s="77" t="s">
        <v>859</v>
      </c>
      <c r="AE401" s="83" t="str">
        <f>HYPERLINK("https://twitter.com/smr_foundation/status/1696729921341853809")</f>
        <v>https://twitter.com/smr_foundation/status/1696729921341853809</v>
      </c>
      <c r="AF401" s="79">
        <v>45168.1540625</v>
      </c>
      <c r="AG401" s="85">
        <v>45168</v>
      </c>
      <c r="AH401" s="81" t="s">
        <v>921</v>
      </c>
      <c r="AI401" s="77" t="b">
        <v>0</v>
      </c>
      <c r="AJ401" s="77"/>
      <c r="AK401" s="77"/>
      <c r="AL401" s="77"/>
      <c r="AM401" s="77"/>
      <c r="AN401" s="77"/>
      <c r="AO401" s="77"/>
      <c r="AP401" s="77"/>
      <c r="AQ401" s="77"/>
      <c r="AR401" s="77"/>
      <c r="AS401" s="77"/>
      <c r="AT401" s="77"/>
      <c r="AU401" s="77"/>
      <c r="AV401" s="83" t="str">
        <f>HYPERLINK("https://pbs.twimg.com/profile_images/849133030237061120/6hUrNP0a_normal.jpg")</f>
        <v>https://pbs.twimg.com/profile_images/849133030237061120/6hUrNP0a_normal.jpg</v>
      </c>
      <c r="AW401" s="81" t="s">
        <v>1076</v>
      </c>
      <c r="AX401" s="81" t="s">
        <v>1076</v>
      </c>
      <c r="AY401" s="77"/>
      <c r="AZ401" s="81" t="s">
        <v>1190</v>
      </c>
      <c r="BA401" s="81" t="s">
        <v>1190</v>
      </c>
      <c r="BB401" s="81" t="s">
        <v>1190</v>
      </c>
      <c r="BC401" s="81" t="s">
        <v>1076</v>
      </c>
      <c r="BD401" s="77">
        <v>151934168</v>
      </c>
      <c r="BE401" s="77"/>
      <c r="BF401" s="77"/>
      <c r="BG401" s="77"/>
      <c r="BH401" s="77"/>
      <c r="BI401" s="77"/>
      <c r="BJ401">
        <v>1</v>
      </c>
      <c r="BK401" s="76" t="str">
        <f>REPLACE(INDEX(GroupVertices[Group],MATCH(Edges[[#This Row],[Vertex 1]],GroupVertices[Vertex],0)),1,1,"")</f>
        <v>3</v>
      </c>
      <c r="BL401" s="76" t="str">
        <f>REPLACE(INDEX(GroupVertices[Group],MATCH(Edges[[#This Row],[Vertex 2]],GroupVertices[Vertex],0)),1,1,"")</f>
        <v>3</v>
      </c>
      <c r="BM401" s="45"/>
      <c r="BN401" s="46"/>
      <c r="BO401" s="45"/>
      <c r="BP401" s="46"/>
      <c r="BQ401" s="45"/>
      <c r="BR401" s="46"/>
      <c r="BS401" s="45"/>
      <c r="BT401" s="46"/>
      <c r="BU401" s="45"/>
    </row>
    <row r="402" spans="1:73" ht="15">
      <c r="A402" s="61" t="s">
        <v>238</v>
      </c>
      <c r="B402" s="61" t="s">
        <v>464</v>
      </c>
      <c r="C402" s="62" t="s">
        <v>11692</v>
      </c>
      <c r="D402" s="63">
        <v>3</v>
      </c>
      <c r="E402" s="64" t="s">
        <v>132</v>
      </c>
      <c r="F402" s="65">
        <v>32</v>
      </c>
      <c r="G402" s="62"/>
      <c r="H402" s="66"/>
      <c r="I402" s="67"/>
      <c r="J402" s="67"/>
      <c r="K402" s="31" t="s">
        <v>65</v>
      </c>
      <c r="L402" s="75">
        <v>402</v>
      </c>
      <c r="M402" s="75"/>
      <c r="N402" s="69"/>
      <c r="O402" s="77" t="s">
        <v>543</v>
      </c>
      <c r="P402" s="79">
        <v>45168.15509259259</v>
      </c>
      <c r="Q402" s="77" t="s">
        <v>592</v>
      </c>
      <c r="R402" s="77">
        <v>2</v>
      </c>
      <c r="S402" s="77">
        <v>3</v>
      </c>
      <c r="T402" s="77">
        <v>0</v>
      </c>
      <c r="U402" s="77">
        <v>1</v>
      </c>
      <c r="V402" s="77">
        <v>305</v>
      </c>
      <c r="W402" s="81" t="s">
        <v>699</v>
      </c>
      <c r="X402" s="83" t="str">
        <f>HYPERLINK("https://bit.ly/3Z2OFCA")</f>
        <v>https://bit.ly/3Z2OFCA</v>
      </c>
      <c r="Y402" s="77" t="s">
        <v>740</v>
      </c>
      <c r="Z402" s="77" t="s">
        <v>784</v>
      </c>
      <c r="AA402" s="77" t="s">
        <v>832</v>
      </c>
      <c r="AB402" s="77" t="s">
        <v>848</v>
      </c>
      <c r="AC402" s="81" t="s">
        <v>853</v>
      </c>
      <c r="AD402" s="77" t="s">
        <v>866</v>
      </c>
      <c r="AE402" s="83" t="str">
        <f>HYPERLINK("https://twitter.com/smr_foundation/status/1696730293250736538")</f>
        <v>https://twitter.com/smr_foundation/status/1696730293250736538</v>
      </c>
      <c r="AF402" s="79">
        <v>45168.15509259259</v>
      </c>
      <c r="AG402" s="85">
        <v>45168</v>
      </c>
      <c r="AH402" s="81" t="s">
        <v>920</v>
      </c>
      <c r="AI402" s="77" t="b">
        <v>0</v>
      </c>
      <c r="AJ402" s="77"/>
      <c r="AK402" s="77"/>
      <c r="AL402" s="77"/>
      <c r="AM402" s="77"/>
      <c r="AN402" s="77"/>
      <c r="AO402" s="77"/>
      <c r="AP402" s="77"/>
      <c r="AQ402" s="77" t="s">
        <v>1011</v>
      </c>
      <c r="AR402" s="77"/>
      <c r="AS402" s="77"/>
      <c r="AT402" s="77"/>
      <c r="AU402" s="77"/>
      <c r="AV402" s="83" t="str">
        <f>HYPERLINK("https://pbs.twimg.com/media/F4v_IaLagAAQ39G.png")</f>
        <v>https://pbs.twimg.com/media/F4v_IaLagAAQ39G.png</v>
      </c>
      <c r="AW402" s="81" t="s">
        <v>1075</v>
      </c>
      <c r="AX402" s="81" t="s">
        <v>1076</v>
      </c>
      <c r="AY402" s="81" t="s">
        <v>1179</v>
      </c>
      <c r="AZ402" s="81" t="s">
        <v>1076</v>
      </c>
      <c r="BA402" s="81" t="s">
        <v>1190</v>
      </c>
      <c r="BB402" s="81" t="s">
        <v>1190</v>
      </c>
      <c r="BC402" s="81" t="s">
        <v>1076</v>
      </c>
      <c r="BD402" s="77">
        <v>151934168</v>
      </c>
      <c r="BE402" s="77"/>
      <c r="BF402" s="77"/>
      <c r="BG402" s="77"/>
      <c r="BH402" s="77"/>
      <c r="BI402" s="77"/>
      <c r="BJ402">
        <v>1</v>
      </c>
      <c r="BK402" s="76" t="str">
        <f>REPLACE(INDEX(GroupVertices[Group],MATCH(Edges[[#This Row],[Vertex 1]],GroupVertices[Vertex],0)),1,1,"")</f>
        <v>3</v>
      </c>
      <c r="BL402" s="76" t="str">
        <f>REPLACE(INDEX(GroupVertices[Group],MATCH(Edges[[#This Row],[Vertex 2]],GroupVertices[Vertex],0)),1,1,"")</f>
        <v>3</v>
      </c>
      <c r="BM402" s="45"/>
      <c r="BN402" s="46"/>
      <c r="BO402" s="45"/>
      <c r="BP402" s="46"/>
      <c r="BQ402" s="45"/>
      <c r="BR402" s="46"/>
      <c r="BS402" s="45"/>
      <c r="BT402" s="46"/>
      <c r="BU402" s="45"/>
    </row>
    <row r="403" spans="1:73" ht="15">
      <c r="A403" s="61" t="s">
        <v>238</v>
      </c>
      <c r="B403" s="61" t="s">
        <v>464</v>
      </c>
      <c r="C403" s="62" t="s">
        <v>11692</v>
      </c>
      <c r="D403" s="63">
        <v>3</v>
      </c>
      <c r="E403" s="64" t="s">
        <v>132</v>
      </c>
      <c r="F403" s="65">
        <v>32</v>
      </c>
      <c r="G403" s="62"/>
      <c r="H403" s="66"/>
      <c r="I403" s="67"/>
      <c r="J403" s="67"/>
      <c r="K403" s="31" t="s">
        <v>65</v>
      </c>
      <c r="L403" s="75">
        <v>403</v>
      </c>
      <c r="M403" s="75"/>
      <c r="N403" s="69"/>
      <c r="O403" s="77" t="s">
        <v>539</v>
      </c>
      <c r="P403" s="79">
        <v>45168.1540625</v>
      </c>
      <c r="Q403" s="77" t="s">
        <v>593</v>
      </c>
      <c r="R403" s="77">
        <v>3</v>
      </c>
      <c r="S403" s="77">
        <v>7</v>
      </c>
      <c r="T403" s="77">
        <v>2</v>
      </c>
      <c r="U403" s="77">
        <v>1</v>
      </c>
      <c r="V403" s="77">
        <v>306</v>
      </c>
      <c r="W403" s="81" t="s">
        <v>700</v>
      </c>
      <c r="X403" s="83" t="str">
        <f>HYPERLINK("https://bit.ly/3Z2OFCA")</f>
        <v>https://bit.ly/3Z2OFCA</v>
      </c>
      <c r="Y403" s="77" t="s">
        <v>740</v>
      </c>
      <c r="Z403" s="77" t="s">
        <v>784</v>
      </c>
      <c r="AA403" s="77"/>
      <c r="AB403" s="77"/>
      <c r="AC403" s="81" t="s">
        <v>853</v>
      </c>
      <c r="AD403" s="77" t="s">
        <v>859</v>
      </c>
      <c r="AE403" s="83" t="str">
        <f>HYPERLINK("https://twitter.com/smr_foundation/status/1696729921341853809")</f>
        <v>https://twitter.com/smr_foundation/status/1696729921341853809</v>
      </c>
      <c r="AF403" s="79">
        <v>45168.1540625</v>
      </c>
      <c r="AG403" s="85">
        <v>45168</v>
      </c>
      <c r="AH403" s="81" t="s">
        <v>921</v>
      </c>
      <c r="AI403" s="77" t="b">
        <v>0</v>
      </c>
      <c r="AJ403" s="77"/>
      <c r="AK403" s="77"/>
      <c r="AL403" s="77"/>
      <c r="AM403" s="77"/>
      <c r="AN403" s="77"/>
      <c r="AO403" s="77"/>
      <c r="AP403" s="77"/>
      <c r="AQ403" s="77"/>
      <c r="AR403" s="77"/>
      <c r="AS403" s="77"/>
      <c r="AT403" s="77"/>
      <c r="AU403" s="77"/>
      <c r="AV403" s="83" t="str">
        <f>HYPERLINK("https://pbs.twimg.com/profile_images/849133030237061120/6hUrNP0a_normal.jpg")</f>
        <v>https://pbs.twimg.com/profile_images/849133030237061120/6hUrNP0a_normal.jpg</v>
      </c>
      <c r="AW403" s="81" t="s">
        <v>1076</v>
      </c>
      <c r="AX403" s="81" t="s">
        <v>1076</v>
      </c>
      <c r="AY403" s="77"/>
      <c r="AZ403" s="81" t="s">
        <v>1190</v>
      </c>
      <c r="BA403" s="81" t="s">
        <v>1190</v>
      </c>
      <c r="BB403" s="81" t="s">
        <v>1190</v>
      </c>
      <c r="BC403" s="81" t="s">
        <v>1076</v>
      </c>
      <c r="BD403" s="77">
        <v>151934168</v>
      </c>
      <c r="BE403" s="77"/>
      <c r="BF403" s="77"/>
      <c r="BG403" s="77"/>
      <c r="BH403" s="77"/>
      <c r="BI403" s="77"/>
      <c r="BJ403">
        <v>1</v>
      </c>
      <c r="BK403" s="76" t="str">
        <f>REPLACE(INDEX(GroupVertices[Group],MATCH(Edges[[#This Row],[Vertex 1]],GroupVertices[Vertex],0)),1,1,"")</f>
        <v>3</v>
      </c>
      <c r="BL403" s="76" t="str">
        <f>REPLACE(INDEX(GroupVertices[Group],MATCH(Edges[[#This Row],[Vertex 2]],GroupVertices[Vertex],0)),1,1,"")</f>
        <v>3</v>
      </c>
      <c r="BM403" s="45"/>
      <c r="BN403" s="46"/>
      <c r="BO403" s="45"/>
      <c r="BP403" s="46"/>
      <c r="BQ403" s="45"/>
      <c r="BR403" s="46"/>
      <c r="BS403" s="45"/>
      <c r="BT403" s="46"/>
      <c r="BU403" s="45"/>
    </row>
    <row r="404" spans="1:73" ht="15">
      <c r="A404" s="61" t="s">
        <v>238</v>
      </c>
      <c r="B404" s="61" t="s">
        <v>465</v>
      </c>
      <c r="C404" s="62" t="s">
        <v>11692</v>
      </c>
      <c r="D404" s="63">
        <v>3</v>
      </c>
      <c r="E404" s="64" t="s">
        <v>132</v>
      </c>
      <c r="F404" s="65">
        <v>32</v>
      </c>
      <c r="G404" s="62"/>
      <c r="H404" s="66"/>
      <c r="I404" s="67"/>
      <c r="J404" s="67"/>
      <c r="K404" s="31" t="s">
        <v>65</v>
      </c>
      <c r="L404" s="75">
        <v>404</v>
      </c>
      <c r="M404" s="75"/>
      <c r="N404" s="69"/>
      <c r="O404" s="77" t="s">
        <v>543</v>
      </c>
      <c r="P404" s="79">
        <v>45168.15509259259</v>
      </c>
      <c r="Q404" s="77" t="s">
        <v>592</v>
      </c>
      <c r="R404" s="77">
        <v>2</v>
      </c>
      <c r="S404" s="77">
        <v>3</v>
      </c>
      <c r="T404" s="77">
        <v>0</v>
      </c>
      <c r="U404" s="77">
        <v>1</v>
      </c>
      <c r="V404" s="77">
        <v>305</v>
      </c>
      <c r="W404" s="81" t="s">
        <v>699</v>
      </c>
      <c r="X404" s="83" t="str">
        <f>HYPERLINK("https://bit.ly/3Z2OFCA")</f>
        <v>https://bit.ly/3Z2OFCA</v>
      </c>
      <c r="Y404" s="77" t="s">
        <v>740</v>
      </c>
      <c r="Z404" s="77" t="s">
        <v>784</v>
      </c>
      <c r="AA404" s="77" t="s">
        <v>832</v>
      </c>
      <c r="AB404" s="77" t="s">
        <v>848</v>
      </c>
      <c r="AC404" s="81" t="s">
        <v>853</v>
      </c>
      <c r="AD404" s="77" t="s">
        <v>866</v>
      </c>
      <c r="AE404" s="83" t="str">
        <f>HYPERLINK("https://twitter.com/smr_foundation/status/1696730293250736538")</f>
        <v>https://twitter.com/smr_foundation/status/1696730293250736538</v>
      </c>
      <c r="AF404" s="79">
        <v>45168.15509259259</v>
      </c>
      <c r="AG404" s="85">
        <v>45168</v>
      </c>
      <c r="AH404" s="81" t="s">
        <v>920</v>
      </c>
      <c r="AI404" s="77" t="b">
        <v>0</v>
      </c>
      <c r="AJ404" s="77"/>
      <c r="AK404" s="77"/>
      <c r="AL404" s="77"/>
      <c r="AM404" s="77"/>
      <c r="AN404" s="77"/>
      <c r="AO404" s="77"/>
      <c r="AP404" s="77"/>
      <c r="AQ404" s="77" t="s">
        <v>1011</v>
      </c>
      <c r="AR404" s="77"/>
      <c r="AS404" s="77"/>
      <c r="AT404" s="77"/>
      <c r="AU404" s="77"/>
      <c r="AV404" s="83" t="str">
        <f>HYPERLINK("https://pbs.twimg.com/media/F4v_IaLagAAQ39G.png")</f>
        <v>https://pbs.twimg.com/media/F4v_IaLagAAQ39G.png</v>
      </c>
      <c r="AW404" s="81" t="s">
        <v>1075</v>
      </c>
      <c r="AX404" s="81" t="s">
        <v>1076</v>
      </c>
      <c r="AY404" s="81" t="s">
        <v>1179</v>
      </c>
      <c r="AZ404" s="81" t="s">
        <v>1076</v>
      </c>
      <c r="BA404" s="81" t="s">
        <v>1190</v>
      </c>
      <c r="BB404" s="81" t="s">
        <v>1190</v>
      </c>
      <c r="BC404" s="81" t="s">
        <v>1076</v>
      </c>
      <c r="BD404" s="77">
        <v>151934168</v>
      </c>
      <c r="BE404" s="77"/>
      <c r="BF404" s="77"/>
      <c r="BG404" s="77"/>
      <c r="BH404" s="77"/>
      <c r="BI404" s="77"/>
      <c r="BJ404">
        <v>1</v>
      </c>
      <c r="BK404" s="76" t="str">
        <f>REPLACE(INDEX(GroupVertices[Group],MATCH(Edges[[#This Row],[Vertex 1]],GroupVertices[Vertex],0)),1,1,"")</f>
        <v>3</v>
      </c>
      <c r="BL404" s="76" t="str">
        <f>REPLACE(INDEX(GroupVertices[Group],MATCH(Edges[[#This Row],[Vertex 2]],GroupVertices[Vertex],0)),1,1,"")</f>
        <v>3</v>
      </c>
      <c r="BM404" s="45"/>
      <c r="BN404" s="46"/>
      <c r="BO404" s="45"/>
      <c r="BP404" s="46"/>
      <c r="BQ404" s="45"/>
      <c r="BR404" s="46"/>
      <c r="BS404" s="45"/>
      <c r="BT404" s="46"/>
      <c r="BU404" s="45"/>
    </row>
    <row r="405" spans="1:73" ht="15">
      <c r="A405" s="61" t="s">
        <v>238</v>
      </c>
      <c r="B405" s="61" t="s">
        <v>465</v>
      </c>
      <c r="C405" s="62" t="s">
        <v>11692</v>
      </c>
      <c r="D405" s="63">
        <v>3</v>
      </c>
      <c r="E405" s="64" t="s">
        <v>132</v>
      </c>
      <c r="F405" s="65">
        <v>32</v>
      </c>
      <c r="G405" s="62"/>
      <c r="H405" s="66"/>
      <c r="I405" s="67"/>
      <c r="J405" s="67"/>
      <c r="K405" s="31" t="s">
        <v>65</v>
      </c>
      <c r="L405" s="75">
        <v>405</v>
      </c>
      <c r="M405" s="75"/>
      <c r="N405" s="69"/>
      <c r="O405" s="77" t="s">
        <v>539</v>
      </c>
      <c r="P405" s="79">
        <v>45168.1540625</v>
      </c>
      <c r="Q405" s="77" t="s">
        <v>593</v>
      </c>
      <c r="R405" s="77">
        <v>3</v>
      </c>
      <c r="S405" s="77">
        <v>7</v>
      </c>
      <c r="T405" s="77">
        <v>2</v>
      </c>
      <c r="U405" s="77">
        <v>1</v>
      </c>
      <c r="V405" s="77">
        <v>306</v>
      </c>
      <c r="W405" s="81" t="s">
        <v>700</v>
      </c>
      <c r="X405" s="83" t="str">
        <f>HYPERLINK("https://bit.ly/3Z2OFCA")</f>
        <v>https://bit.ly/3Z2OFCA</v>
      </c>
      <c r="Y405" s="77" t="s">
        <v>740</v>
      </c>
      <c r="Z405" s="77" t="s">
        <v>784</v>
      </c>
      <c r="AA405" s="77"/>
      <c r="AB405" s="77"/>
      <c r="AC405" s="81" t="s">
        <v>853</v>
      </c>
      <c r="AD405" s="77" t="s">
        <v>859</v>
      </c>
      <c r="AE405" s="83" t="str">
        <f>HYPERLINK("https://twitter.com/smr_foundation/status/1696729921341853809")</f>
        <v>https://twitter.com/smr_foundation/status/1696729921341853809</v>
      </c>
      <c r="AF405" s="79">
        <v>45168.1540625</v>
      </c>
      <c r="AG405" s="85">
        <v>45168</v>
      </c>
      <c r="AH405" s="81" t="s">
        <v>921</v>
      </c>
      <c r="AI405" s="77" t="b">
        <v>0</v>
      </c>
      <c r="AJ405" s="77"/>
      <c r="AK405" s="77"/>
      <c r="AL405" s="77"/>
      <c r="AM405" s="77"/>
      <c r="AN405" s="77"/>
      <c r="AO405" s="77"/>
      <c r="AP405" s="77"/>
      <c r="AQ405" s="77"/>
      <c r="AR405" s="77"/>
      <c r="AS405" s="77"/>
      <c r="AT405" s="77"/>
      <c r="AU405" s="77"/>
      <c r="AV405" s="83" t="str">
        <f>HYPERLINK("https://pbs.twimg.com/profile_images/849133030237061120/6hUrNP0a_normal.jpg")</f>
        <v>https://pbs.twimg.com/profile_images/849133030237061120/6hUrNP0a_normal.jpg</v>
      </c>
      <c r="AW405" s="81" t="s">
        <v>1076</v>
      </c>
      <c r="AX405" s="81" t="s">
        <v>1076</v>
      </c>
      <c r="AY405" s="77"/>
      <c r="AZ405" s="81" t="s">
        <v>1190</v>
      </c>
      <c r="BA405" s="81" t="s">
        <v>1190</v>
      </c>
      <c r="BB405" s="81" t="s">
        <v>1190</v>
      </c>
      <c r="BC405" s="81" t="s">
        <v>1076</v>
      </c>
      <c r="BD405" s="77">
        <v>151934168</v>
      </c>
      <c r="BE405" s="77"/>
      <c r="BF405" s="77"/>
      <c r="BG405" s="77"/>
      <c r="BH405" s="77"/>
      <c r="BI405" s="77"/>
      <c r="BJ405">
        <v>1</v>
      </c>
      <c r="BK405" s="76" t="str">
        <f>REPLACE(INDEX(GroupVertices[Group],MATCH(Edges[[#This Row],[Vertex 1]],GroupVertices[Vertex],0)),1,1,"")</f>
        <v>3</v>
      </c>
      <c r="BL405" s="76" t="str">
        <f>REPLACE(INDEX(GroupVertices[Group],MATCH(Edges[[#This Row],[Vertex 2]],GroupVertices[Vertex],0)),1,1,"")</f>
        <v>3</v>
      </c>
      <c r="BM405" s="45"/>
      <c r="BN405" s="46"/>
      <c r="BO405" s="45"/>
      <c r="BP405" s="46"/>
      <c r="BQ405" s="45"/>
      <c r="BR405" s="46"/>
      <c r="BS405" s="45"/>
      <c r="BT405" s="46"/>
      <c r="BU405" s="45"/>
    </row>
    <row r="406" spans="1:73" ht="15">
      <c r="A406" s="61" t="s">
        <v>238</v>
      </c>
      <c r="B406" s="61" t="s">
        <v>466</v>
      </c>
      <c r="C406" s="62" t="s">
        <v>11692</v>
      </c>
      <c r="D406" s="63">
        <v>3</v>
      </c>
      <c r="E406" s="64" t="s">
        <v>132</v>
      </c>
      <c r="F406" s="65">
        <v>32</v>
      </c>
      <c r="G406" s="62"/>
      <c r="H406" s="66"/>
      <c r="I406" s="67"/>
      <c r="J406" s="67"/>
      <c r="K406" s="31" t="s">
        <v>65</v>
      </c>
      <c r="L406" s="75">
        <v>406</v>
      </c>
      <c r="M406" s="75"/>
      <c r="N406" s="69"/>
      <c r="O406" s="77" t="s">
        <v>543</v>
      </c>
      <c r="P406" s="79">
        <v>45168.15509259259</v>
      </c>
      <c r="Q406" s="77" t="s">
        <v>592</v>
      </c>
      <c r="R406" s="77">
        <v>2</v>
      </c>
      <c r="S406" s="77">
        <v>3</v>
      </c>
      <c r="T406" s="77">
        <v>0</v>
      </c>
      <c r="U406" s="77">
        <v>1</v>
      </c>
      <c r="V406" s="77">
        <v>305</v>
      </c>
      <c r="W406" s="81" t="s">
        <v>699</v>
      </c>
      <c r="X406" s="83" t="str">
        <f>HYPERLINK("https://bit.ly/3Z2OFCA")</f>
        <v>https://bit.ly/3Z2OFCA</v>
      </c>
      <c r="Y406" s="77" t="s">
        <v>740</v>
      </c>
      <c r="Z406" s="77" t="s">
        <v>784</v>
      </c>
      <c r="AA406" s="77" t="s">
        <v>832</v>
      </c>
      <c r="AB406" s="77" t="s">
        <v>848</v>
      </c>
      <c r="AC406" s="81" t="s">
        <v>853</v>
      </c>
      <c r="AD406" s="77" t="s">
        <v>866</v>
      </c>
      <c r="AE406" s="83" t="str">
        <f>HYPERLINK("https://twitter.com/smr_foundation/status/1696730293250736538")</f>
        <v>https://twitter.com/smr_foundation/status/1696730293250736538</v>
      </c>
      <c r="AF406" s="79">
        <v>45168.15509259259</v>
      </c>
      <c r="AG406" s="85">
        <v>45168</v>
      </c>
      <c r="AH406" s="81" t="s">
        <v>920</v>
      </c>
      <c r="AI406" s="77" t="b">
        <v>0</v>
      </c>
      <c r="AJ406" s="77"/>
      <c r="AK406" s="77"/>
      <c r="AL406" s="77"/>
      <c r="AM406" s="77"/>
      <c r="AN406" s="77"/>
      <c r="AO406" s="77"/>
      <c r="AP406" s="77"/>
      <c r="AQ406" s="77" t="s">
        <v>1011</v>
      </c>
      <c r="AR406" s="77"/>
      <c r="AS406" s="77"/>
      <c r="AT406" s="77"/>
      <c r="AU406" s="77"/>
      <c r="AV406" s="83" t="str">
        <f>HYPERLINK("https://pbs.twimg.com/media/F4v_IaLagAAQ39G.png")</f>
        <v>https://pbs.twimg.com/media/F4v_IaLagAAQ39G.png</v>
      </c>
      <c r="AW406" s="81" t="s">
        <v>1075</v>
      </c>
      <c r="AX406" s="81" t="s">
        <v>1076</v>
      </c>
      <c r="AY406" s="81" t="s">
        <v>1179</v>
      </c>
      <c r="AZ406" s="81" t="s">
        <v>1076</v>
      </c>
      <c r="BA406" s="81" t="s">
        <v>1190</v>
      </c>
      <c r="BB406" s="81" t="s">
        <v>1190</v>
      </c>
      <c r="BC406" s="81" t="s">
        <v>1076</v>
      </c>
      <c r="BD406" s="77">
        <v>151934168</v>
      </c>
      <c r="BE406" s="77"/>
      <c r="BF406" s="77"/>
      <c r="BG406" s="77"/>
      <c r="BH406" s="77"/>
      <c r="BI406" s="77"/>
      <c r="BJ406">
        <v>1</v>
      </c>
      <c r="BK406" s="76" t="str">
        <f>REPLACE(INDEX(GroupVertices[Group],MATCH(Edges[[#This Row],[Vertex 1]],GroupVertices[Vertex],0)),1,1,"")</f>
        <v>3</v>
      </c>
      <c r="BL406" s="76" t="str">
        <f>REPLACE(INDEX(GroupVertices[Group],MATCH(Edges[[#This Row],[Vertex 2]],GroupVertices[Vertex],0)),1,1,"")</f>
        <v>3</v>
      </c>
      <c r="BM406" s="45"/>
      <c r="BN406" s="46"/>
      <c r="BO406" s="45"/>
      <c r="BP406" s="46"/>
      <c r="BQ406" s="45"/>
      <c r="BR406" s="46"/>
      <c r="BS406" s="45"/>
      <c r="BT406" s="46"/>
      <c r="BU406" s="45"/>
    </row>
    <row r="407" spans="1:73" ht="15">
      <c r="A407" s="61" t="s">
        <v>238</v>
      </c>
      <c r="B407" s="61" t="s">
        <v>466</v>
      </c>
      <c r="C407" s="62" t="s">
        <v>11692</v>
      </c>
      <c r="D407" s="63">
        <v>3</v>
      </c>
      <c r="E407" s="64" t="s">
        <v>132</v>
      </c>
      <c r="F407" s="65">
        <v>32</v>
      </c>
      <c r="G407" s="62"/>
      <c r="H407" s="66"/>
      <c r="I407" s="67"/>
      <c r="J407" s="67"/>
      <c r="K407" s="31" t="s">
        <v>65</v>
      </c>
      <c r="L407" s="75">
        <v>407</v>
      </c>
      <c r="M407" s="75"/>
      <c r="N407" s="69"/>
      <c r="O407" s="77" t="s">
        <v>539</v>
      </c>
      <c r="P407" s="79">
        <v>45168.1540625</v>
      </c>
      <c r="Q407" s="77" t="s">
        <v>593</v>
      </c>
      <c r="R407" s="77">
        <v>3</v>
      </c>
      <c r="S407" s="77">
        <v>7</v>
      </c>
      <c r="T407" s="77">
        <v>2</v>
      </c>
      <c r="U407" s="77">
        <v>1</v>
      </c>
      <c r="V407" s="77">
        <v>306</v>
      </c>
      <c r="W407" s="81" t="s">
        <v>700</v>
      </c>
      <c r="X407" s="83" t="str">
        <f>HYPERLINK("https://bit.ly/3Z2OFCA")</f>
        <v>https://bit.ly/3Z2OFCA</v>
      </c>
      <c r="Y407" s="77" t="s">
        <v>740</v>
      </c>
      <c r="Z407" s="77" t="s">
        <v>784</v>
      </c>
      <c r="AA407" s="77"/>
      <c r="AB407" s="77"/>
      <c r="AC407" s="81" t="s">
        <v>853</v>
      </c>
      <c r="AD407" s="77" t="s">
        <v>859</v>
      </c>
      <c r="AE407" s="83" t="str">
        <f>HYPERLINK("https://twitter.com/smr_foundation/status/1696729921341853809")</f>
        <v>https://twitter.com/smr_foundation/status/1696729921341853809</v>
      </c>
      <c r="AF407" s="79">
        <v>45168.1540625</v>
      </c>
      <c r="AG407" s="85">
        <v>45168</v>
      </c>
      <c r="AH407" s="81" t="s">
        <v>921</v>
      </c>
      <c r="AI407" s="77" t="b">
        <v>0</v>
      </c>
      <c r="AJ407" s="77"/>
      <c r="AK407" s="77"/>
      <c r="AL407" s="77"/>
      <c r="AM407" s="77"/>
      <c r="AN407" s="77"/>
      <c r="AO407" s="77"/>
      <c r="AP407" s="77"/>
      <c r="AQ407" s="77"/>
      <c r="AR407" s="77"/>
      <c r="AS407" s="77"/>
      <c r="AT407" s="77"/>
      <c r="AU407" s="77"/>
      <c r="AV407" s="83" t="str">
        <f>HYPERLINK("https://pbs.twimg.com/profile_images/849133030237061120/6hUrNP0a_normal.jpg")</f>
        <v>https://pbs.twimg.com/profile_images/849133030237061120/6hUrNP0a_normal.jpg</v>
      </c>
      <c r="AW407" s="81" t="s">
        <v>1076</v>
      </c>
      <c r="AX407" s="81" t="s">
        <v>1076</v>
      </c>
      <c r="AY407" s="77"/>
      <c r="AZ407" s="81" t="s">
        <v>1190</v>
      </c>
      <c r="BA407" s="81" t="s">
        <v>1190</v>
      </c>
      <c r="BB407" s="81" t="s">
        <v>1190</v>
      </c>
      <c r="BC407" s="81" t="s">
        <v>1076</v>
      </c>
      <c r="BD407" s="77">
        <v>151934168</v>
      </c>
      <c r="BE407" s="77"/>
      <c r="BF407" s="77"/>
      <c r="BG407" s="77"/>
      <c r="BH407" s="77"/>
      <c r="BI407" s="77"/>
      <c r="BJ407">
        <v>1</v>
      </c>
      <c r="BK407" s="76" t="str">
        <f>REPLACE(INDEX(GroupVertices[Group],MATCH(Edges[[#This Row],[Vertex 1]],GroupVertices[Vertex],0)),1,1,"")</f>
        <v>3</v>
      </c>
      <c r="BL407" s="76" t="str">
        <f>REPLACE(INDEX(GroupVertices[Group],MATCH(Edges[[#This Row],[Vertex 2]],GroupVertices[Vertex],0)),1,1,"")</f>
        <v>3</v>
      </c>
      <c r="BM407" s="45"/>
      <c r="BN407" s="46"/>
      <c r="BO407" s="45"/>
      <c r="BP407" s="46"/>
      <c r="BQ407" s="45"/>
      <c r="BR407" s="46"/>
      <c r="BS407" s="45"/>
      <c r="BT407" s="46"/>
      <c r="BU407" s="45"/>
    </row>
    <row r="408" spans="1:73" ht="15">
      <c r="A408" s="61" t="s">
        <v>238</v>
      </c>
      <c r="B408" s="61" t="s">
        <v>467</v>
      </c>
      <c r="C408" s="62" t="s">
        <v>11692</v>
      </c>
      <c r="D408" s="63">
        <v>3</v>
      </c>
      <c r="E408" s="64" t="s">
        <v>132</v>
      </c>
      <c r="F408" s="65">
        <v>32</v>
      </c>
      <c r="G408" s="62"/>
      <c r="H408" s="66"/>
      <c r="I408" s="67"/>
      <c r="J408" s="67"/>
      <c r="K408" s="31" t="s">
        <v>65</v>
      </c>
      <c r="L408" s="75">
        <v>408</v>
      </c>
      <c r="M408" s="75"/>
      <c r="N408" s="69"/>
      <c r="O408" s="77" t="s">
        <v>543</v>
      </c>
      <c r="P408" s="79">
        <v>45168.15509259259</v>
      </c>
      <c r="Q408" s="77" t="s">
        <v>592</v>
      </c>
      <c r="R408" s="77">
        <v>2</v>
      </c>
      <c r="S408" s="77">
        <v>3</v>
      </c>
      <c r="T408" s="77">
        <v>0</v>
      </c>
      <c r="U408" s="77">
        <v>1</v>
      </c>
      <c r="V408" s="77">
        <v>305</v>
      </c>
      <c r="W408" s="81" t="s">
        <v>699</v>
      </c>
      <c r="X408" s="83" t="str">
        <f>HYPERLINK("https://bit.ly/3Z2OFCA")</f>
        <v>https://bit.ly/3Z2OFCA</v>
      </c>
      <c r="Y408" s="77" t="s">
        <v>740</v>
      </c>
      <c r="Z408" s="77" t="s">
        <v>784</v>
      </c>
      <c r="AA408" s="77" t="s">
        <v>832</v>
      </c>
      <c r="AB408" s="77" t="s">
        <v>848</v>
      </c>
      <c r="AC408" s="81" t="s">
        <v>853</v>
      </c>
      <c r="AD408" s="77" t="s">
        <v>866</v>
      </c>
      <c r="AE408" s="83" t="str">
        <f>HYPERLINK("https://twitter.com/smr_foundation/status/1696730293250736538")</f>
        <v>https://twitter.com/smr_foundation/status/1696730293250736538</v>
      </c>
      <c r="AF408" s="79">
        <v>45168.15509259259</v>
      </c>
      <c r="AG408" s="85">
        <v>45168</v>
      </c>
      <c r="AH408" s="81" t="s">
        <v>920</v>
      </c>
      <c r="AI408" s="77" t="b">
        <v>0</v>
      </c>
      <c r="AJ408" s="77"/>
      <c r="AK408" s="77"/>
      <c r="AL408" s="77"/>
      <c r="AM408" s="77"/>
      <c r="AN408" s="77"/>
      <c r="AO408" s="77"/>
      <c r="AP408" s="77"/>
      <c r="AQ408" s="77" t="s">
        <v>1011</v>
      </c>
      <c r="AR408" s="77"/>
      <c r="AS408" s="77"/>
      <c r="AT408" s="77"/>
      <c r="AU408" s="77"/>
      <c r="AV408" s="83" t="str">
        <f>HYPERLINK("https://pbs.twimg.com/media/F4v_IaLagAAQ39G.png")</f>
        <v>https://pbs.twimg.com/media/F4v_IaLagAAQ39G.png</v>
      </c>
      <c r="AW408" s="81" t="s">
        <v>1075</v>
      </c>
      <c r="AX408" s="81" t="s">
        <v>1076</v>
      </c>
      <c r="AY408" s="81" t="s">
        <v>1179</v>
      </c>
      <c r="AZ408" s="81" t="s">
        <v>1076</v>
      </c>
      <c r="BA408" s="81" t="s">
        <v>1190</v>
      </c>
      <c r="BB408" s="81" t="s">
        <v>1190</v>
      </c>
      <c r="BC408" s="81" t="s">
        <v>1076</v>
      </c>
      <c r="BD408" s="77">
        <v>151934168</v>
      </c>
      <c r="BE408" s="77"/>
      <c r="BF408" s="77"/>
      <c r="BG408" s="77"/>
      <c r="BH408" s="77"/>
      <c r="BI408" s="77"/>
      <c r="BJ408">
        <v>1</v>
      </c>
      <c r="BK408" s="76" t="str">
        <f>REPLACE(INDEX(GroupVertices[Group],MATCH(Edges[[#This Row],[Vertex 1]],GroupVertices[Vertex],0)),1,1,"")</f>
        <v>3</v>
      </c>
      <c r="BL408" s="76" t="str">
        <f>REPLACE(INDEX(GroupVertices[Group],MATCH(Edges[[#This Row],[Vertex 2]],GroupVertices[Vertex],0)),1,1,"")</f>
        <v>3</v>
      </c>
      <c r="BM408" s="45"/>
      <c r="BN408" s="46"/>
      <c r="BO408" s="45"/>
      <c r="BP408" s="46"/>
      <c r="BQ408" s="45"/>
      <c r="BR408" s="46"/>
      <c r="BS408" s="45"/>
      <c r="BT408" s="46"/>
      <c r="BU408" s="45"/>
    </row>
    <row r="409" spans="1:73" ht="15">
      <c r="A409" s="61" t="s">
        <v>238</v>
      </c>
      <c r="B409" s="61" t="s">
        <v>467</v>
      </c>
      <c r="C409" s="62" t="s">
        <v>11692</v>
      </c>
      <c r="D409" s="63">
        <v>3</v>
      </c>
      <c r="E409" s="64" t="s">
        <v>132</v>
      </c>
      <c r="F409" s="65">
        <v>32</v>
      </c>
      <c r="G409" s="62"/>
      <c r="H409" s="66"/>
      <c r="I409" s="67"/>
      <c r="J409" s="67"/>
      <c r="K409" s="31" t="s">
        <v>65</v>
      </c>
      <c r="L409" s="75">
        <v>409</v>
      </c>
      <c r="M409" s="75"/>
      <c r="N409" s="69"/>
      <c r="O409" s="77" t="s">
        <v>539</v>
      </c>
      <c r="P409" s="79">
        <v>45168.1540625</v>
      </c>
      <c r="Q409" s="77" t="s">
        <v>593</v>
      </c>
      <c r="R409" s="77">
        <v>3</v>
      </c>
      <c r="S409" s="77">
        <v>7</v>
      </c>
      <c r="T409" s="77">
        <v>2</v>
      </c>
      <c r="U409" s="77">
        <v>1</v>
      </c>
      <c r="V409" s="77">
        <v>306</v>
      </c>
      <c r="W409" s="81" t="s">
        <v>700</v>
      </c>
      <c r="X409" s="83" t="str">
        <f>HYPERLINK("https://bit.ly/3Z2OFCA")</f>
        <v>https://bit.ly/3Z2OFCA</v>
      </c>
      <c r="Y409" s="77" t="s">
        <v>740</v>
      </c>
      <c r="Z409" s="77" t="s">
        <v>784</v>
      </c>
      <c r="AA409" s="77"/>
      <c r="AB409" s="77"/>
      <c r="AC409" s="81" t="s">
        <v>853</v>
      </c>
      <c r="AD409" s="77" t="s">
        <v>859</v>
      </c>
      <c r="AE409" s="83" t="str">
        <f>HYPERLINK("https://twitter.com/smr_foundation/status/1696729921341853809")</f>
        <v>https://twitter.com/smr_foundation/status/1696729921341853809</v>
      </c>
      <c r="AF409" s="79">
        <v>45168.1540625</v>
      </c>
      <c r="AG409" s="85">
        <v>45168</v>
      </c>
      <c r="AH409" s="81" t="s">
        <v>921</v>
      </c>
      <c r="AI409" s="77" t="b">
        <v>0</v>
      </c>
      <c r="AJ409" s="77"/>
      <c r="AK409" s="77"/>
      <c r="AL409" s="77"/>
      <c r="AM409" s="77"/>
      <c r="AN409" s="77"/>
      <c r="AO409" s="77"/>
      <c r="AP409" s="77"/>
      <c r="AQ409" s="77"/>
      <c r="AR409" s="77"/>
      <c r="AS409" s="77"/>
      <c r="AT409" s="77"/>
      <c r="AU409" s="77"/>
      <c r="AV409" s="83" t="str">
        <f>HYPERLINK("https://pbs.twimg.com/profile_images/849133030237061120/6hUrNP0a_normal.jpg")</f>
        <v>https://pbs.twimg.com/profile_images/849133030237061120/6hUrNP0a_normal.jpg</v>
      </c>
      <c r="AW409" s="81" t="s">
        <v>1076</v>
      </c>
      <c r="AX409" s="81" t="s">
        <v>1076</v>
      </c>
      <c r="AY409" s="77"/>
      <c r="AZ409" s="81" t="s">
        <v>1190</v>
      </c>
      <c r="BA409" s="81" t="s">
        <v>1190</v>
      </c>
      <c r="BB409" s="81" t="s">
        <v>1190</v>
      </c>
      <c r="BC409" s="81" t="s">
        <v>1076</v>
      </c>
      <c r="BD409" s="77">
        <v>151934168</v>
      </c>
      <c r="BE409" s="77"/>
      <c r="BF409" s="77"/>
      <c r="BG409" s="77"/>
      <c r="BH409" s="77"/>
      <c r="BI409" s="77"/>
      <c r="BJ409">
        <v>1</v>
      </c>
      <c r="BK409" s="76" t="str">
        <f>REPLACE(INDEX(GroupVertices[Group],MATCH(Edges[[#This Row],[Vertex 1]],GroupVertices[Vertex],0)),1,1,"")</f>
        <v>3</v>
      </c>
      <c r="BL409" s="76" t="str">
        <f>REPLACE(INDEX(GroupVertices[Group],MATCH(Edges[[#This Row],[Vertex 2]],GroupVertices[Vertex],0)),1,1,"")</f>
        <v>3</v>
      </c>
      <c r="BM409" s="45"/>
      <c r="BN409" s="46"/>
      <c r="BO409" s="45"/>
      <c r="BP409" s="46"/>
      <c r="BQ409" s="45"/>
      <c r="BR409" s="46"/>
      <c r="BS409" s="45"/>
      <c r="BT409" s="46"/>
      <c r="BU409" s="45"/>
    </row>
    <row r="410" spans="1:73" ht="15">
      <c r="A410" s="61" t="s">
        <v>238</v>
      </c>
      <c r="B410" s="61" t="s">
        <v>468</v>
      </c>
      <c r="C410" s="62" t="s">
        <v>11692</v>
      </c>
      <c r="D410" s="63">
        <v>3</v>
      </c>
      <c r="E410" s="64" t="s">
        <v>132</v>
      </c>
      <c r="F410" s="65">
        <v>32</v>
      </c>
      <c r="G410" s="62"/>
      <c r="H410" s="66"/>
      <c r="I410" s="67"/>
      <c r="J410" s="67"/>
      <c r="K410" s="31" t="s">
        <v>65</v>
      </c>
      <c r="L410" s="75">
        <v>410</v>
      </c>
      <c r="M410" s="75"/>
      <c r="N410" s="69"/>
      <c r="O410" s="77" t="s">
        <v>543</v>
      </c>
      <c r="P410" s="79">
        <v>45168.15509259259</v>
      </c>
      <c r="Q410" s="77" t="s">
        <v>592</v>
      </c>
      <c r="R410" s="77">
        <v>2</v>
      </c>
      <c r="S410" s="77">
        <v>3</v>
      </c>
      <c r="T410" s="77">
        <v>0</v>
      </c>
      <c r="U410" s="77">
        <v>1</v>
      </c>
      <c r="V410" s="77">
        <v>305</v>
      </c>
      <c r="W410" s="81" t="s">
        <v>699</v>
      </c>
      <c r="X410" s="83" t="str">
        <f>HYPERLINK("https://bit.ly/3Z2OFCA")</f>
        <v>https://bit.ly/3Z2OFCA</v>
      </c>
      <c r="Y410" s="77" t="s">
        <v>740</v>
      </c>
      <c r="Z410" s="77" t="s">
        <v>784</v>
      </c>
      <c r="AA410" s="77" t="s">
        <v>832</v>
      </c>
      <c r="AB410" s="77" t="s">
        <v>848</v>
      </c>
      <c r="AC410" s="81" t="s">
        <v>853</v>
      </c>
      <c r="AD410" s="77" t="s">
        <v>866</v>
      </c>
      <c r="AE410" s="83" t="str">
        <f>HYPERLINK("https://twitter.com/smr_foundation/status/1696730293250736538")</f>
        <v>https://twitter.com/smr_foundation/status/1696730293250736538</v>
      </c>
      <c r="AF410" s="79">
        <v>45168.15509259259</v>
      </c>
      <c r="AG410" s="85">
        <v>45168</v>
      </c>
      <c r="AH410" s="81" t="s">
        <v>920</v>
      </c>
      <c r="AI410" s="77" t="b">
        <v>0</v>
      </c>
      <c r="AJ410" s="77"/>
      <c r="AK410" s="77"/>
      <c r="AL410" s="77"/>
      <c r="AM410" s="77"/>
      <c r="AN410" s="77"/>
      <c r="AO410" s="77"/>
      <c r="AP410" s="77"/>
      <c r="AQ410" s="77" t="s">
        <v>1011</v>
      </c>
      <c r="AR410" s="77"/>
      <c r="AS410" s="77"/>
      <c r="AT410" s="77"/>
      <c r="AU410" s="77"/>
      <c r="AV410" s="83" t="str">
        <f>HYPERLINK("https://pbs.twimg.com/media/F4v_IaLagAAQ39G.png")</f>
        <v>https://pbs.twimg.com/media/F4v_IaLagAAQ39G.png</v>
      </c>
      <c r="AW410" s="81" t="s">
        <v>1075</v>
      </c>
      <c r="AX410" s="81" t="s">
        <v>1076</v>
      </c>
      <c r="AY410" s="81" t="s">
        <v>1179</v>
      </c>
      <c r="AZ410" s="81" t="s">
        <v>1076</v>
      </c>
      <c r="BA410" s="81" t="s">
        <v>1190</v>
      </c>
      <c r="BB410" s="81" t="s">
        <v>1190</v>
      </c>
      <c r="BC410" s="81" t="s">
        <v>1076</v>
      </c>
      <c r="BD410" s="77">
        <v>151934168</v>
      </c>
      <c r="BE410" s="77"/>
      <c r="BF410" s="77"/>
      <c r="BG410" s="77"/>
      <c r="BH410" s="77"/>
      <c r="BI410" s="77"/>
      <c r="BJ410">
        <v>1</v>
      </c>
      <c r="BK410" s="76" t="str">
        <f>REPLACE(INDEX(GroupVertices[Group],MATCH(Edges[[#This Row],[Vertex 1]],GroupVertices[Vertex],0)),1,1,"")</f>
        <v>3</v>
      </c>
      <c r="BL410" s="76" t="str">
        <f>REPLACE(INDEX(GroupVertices[Group],MATCH(Edges[[#This Row],[Vertex 2]],GroupVertices[Vertex],0)),1,1,"")</f>
        <v>3</v>
      </c>
      <c r="BM410" s="45"/>
      <c r="BN410" s="46"/>
      <c r="BO410" s="45"/>
      <c r="BP410" s="46"/>
      <c r="BQ410" s="45"/>
      <c r="BR410" s="46"/>
      <c r="BS410" s="45"/>
      <c r="BT410" s="46"/>
      <c r="BU410" s="45"/>
    </row>
    <row r="411" spans="1:73" ht="15">
      <c r="A411" s="61" t="s">
        <v>238</v>
      </c>
      <c r="B411" s="61" t="s">
        <v>468</v>
      </c>
      <c r="C411" s="62" t="s">
        <v>11692</v>
      </c>
      <c r="D411" s="63">
        <v>3</v>
      </c>
      <c r="E411" s="64" t="s">
        <v>132</v>
      </c>
      <c r="F411" s="65">
        <v>32</v>
      </c>
      <c r="G411" s="62"/>
      <c r="H411" s="66"/>
      <c r="I411" s="67"/>
      <c r="J411" s="67"/>
      <c r="K411" s="31" t="s">
        <v>65</v>
      </c>
      <c r="L411" s="75">
        <v>411</v>
      </c>
      <c r="M411" s="75"/>
      <c r="N411" s="69"/>
      <c r="O411" s="77" t="s">
        <v>539</v>
      </c>
      <c r="P411" s="79">
        <v>45168.1540625</v>
      </c>
      <c r="Q411" s="77" t="s">
        <v>593</v>
      </c>
      <c r="R411" s="77">
        <v>3</v>
      </c>
      <c r="S411" s="77">
        <v>7</v>
      </c>
      <c r="T411" s="77">
        <v>2</v>
      </c>
      <c r="U411" s="77">
        <v>1</v>
      </c>
      <c r="V411" s="77">
        <v>306</v>
      </c>
      <c r="W411" s="81" t="s">
        <v>700</v>
      </c>
      <c r="X411" s="83" t="str">
        <f>HYPERLINK("https://bit.ly/3Z2OFCA")</f>
        <v>https://bit.ly/3Z2OFCA</v>
      </c>
      <c r="Y411" s="77" t="s">
        <v>740</v>
      </c>
      <c r="Z411" s="77" t="s">
        <v>784</v>
      </c>
      <c r="AA411" s="77"/>
      <c r="AB411" s="77"/>
      <c r="AC411" s="81" t="s">
        <v>853</v>
      </c>
      <c r="AD411" s="77" t="s">
        <v>859</v>
      </c>
      <c r="AE411" s="83" t="str">
        <f>HYPERLINK("https://twitter.com/smr_foundation/status/1696729921341853809")</f>
        <v>https://twitter.com/smr_foundation/status/1696729921341853809</v>
      </c>
      <c r="AF411" s="79">
        <v>45168.1540625</v>
      </c>
      <c r="AG411" s="85">
        <v>45168</v>
      </c>
      <c r="AH411" s="81" t="s">
        <v>921</v>
      </c>
      <c r="AI411" s="77" t="b">
        <v>0</v>
      </c>
      <c r="AJ411" s="77"/>
      <c r="AK411" s="77"/>
      <c r="AL411" s="77"/>
      <c r="AM411" s="77"/>
      <c r="AN411" s="77"/>
      <c r="AO411" s="77"/>
      <c r="AP411" s="77"/>
      <c r="AQ411" s="77"/>
      <c r="AR411" s="77"/>
      <c r="AS411" s="77"/>
      <c r="AT411" s="77"/>
      <c r="AU411" s="77"/>
      <c r="AV411" s="83" t="str">
        <f>HYPERLINK("https://pbs.twimg.com/profile_images/849133030237061120/6hUrNP0a_normal.jpg")</f>
        <v>https://pbs.twimg.com/profile_images/849133030237061120/6hUrNP0a_normal.jpg</v>
      </c>
      <c r="AW411" s="81" t="s">
        <v>1076</v>
      </c>
      <c r="AX411" s="81" t="s">
        <v>1076</v>
      </c>
      <c r="AY411" s="77"/>
      <c r="AZ411" s="81" t="s">
        <v>1190</v>
      </c>
      <c r="BA411" s="81" t="s">
        <v>1190</v>
      </c>
      <c r="BB411" s="81" t="s">
        <v>1190</v>
      </c>
      <c r="BC411" s="81" t="s">
        <v>1076</v>
      </c>
      <c r="BD411" s="77">
        <v>151934168</v>
      </c>
      <c r="BE411" s="77"/>
      <c r="BF411" s="77"/>
      <c r="BG411" s="77"/>
      <c r="BH411" s="77"/>
      <c r="BI411" s="77"/>
      <c r="BJ411">
        <v>1</v>
      </c>
      <c r="BK411" s="76" t="str">
        <f>REPLACE(INDEX(GroupVertices[Group],MATCH(Edges[[#This Row],[Vertex 1]],GroupVertices[Vertex],0)),1,1,"")</f>
        <v>3</v>
      </c>
      <c r="BL411" s="76" t="str">
        <f>REPLACE(INDEX(GroupVertices[Group],MATCH(Edges[[#This Row],[Vertex 2]],GroupVertices[Vertex],0)),1,1,"")</f>
        <v>3</v>
      </c>
      <c r="BM411" s="45"/>
      <c r="BN411" s="46"/>
      <c r="BO411" s="45"/>
      <c r="BP411" s="46"/>
      <c r="BQ411" s="45"/>
      <c r="BR411" s="46"/>
      <c r="BS411" s="45"/>
      <c r="BT411" s="46"/>
      <c r="BU411" s="45"/>
    </row>
    <row r="412" spans="1:73" ht="15">
      <c r="A412" s="61" t="s">
        <v>238</v>
      </c>
      <c r="B412" s="61" t="s">
        <v>469</v>
      </c>
      <c r="C412" s="62" t="s">
        <v>11692</v>
      </c>
      <c r="D412" s="63">
        <v>3</v>
      </c>
      <c r="E412" s="64" t="s">
        <v>132</v>
      </c>
      <c r="F412" s="65">
        <v>32</v>
      </c>
      <c r="G412" s="62"/>
      <c r="H412" s="66"/>
      <c r="I412" s="67"/>
      <c r="J412" s="67"/>
      <c r="K412" s="31" t="s">
        <v>65</v>
      </c>
      <c r="L412" s="75">
        <v>412</v>
      </c>
      <c r="M412" s="75"/>
      <c r="N412" s="69"/>
      <c r="O412" s="77" t="s">
        <v>543</v>
      </c>
      <c r="P412" s="79">
        <v>45168.15509259259</v>
      </c>
      <c r="Q412" s="77" t="s">
        <v>592</v>
      </c>
      <c r="R412" s="77">
        <v>2</v>
      </c>
      <c r="S412" s="77">
        <v>3</v>
      </c>
      <c r="T412" s="77">
        <v>0</v>
      </c>
      <c r="U412" s="77">
        <v>1</v>
      </c>
      <c r="V412" s="77">
        <v>305</v>
      </c>
      <c r="W412" s="81" t="s">
        <v>699</v>
      </c>
      <c r="X412" s="83" t="str">
        <f>HYPERLINK("https://bit.ly/3Z2OFCA")</f>
        <v>https://bit.ly/3Z2OFCA</v>
      </c>
      <c r="Y412" s="77" t="s">
        <v>740</v>
      </c>
      <c r="Z412" s="77" t="s">
        <v>784</v>
      </c>
      <c r="AA412" s="77" t="s">
        <v>832</v>
      </c>
      <c r="AB412" s="77" t="s">
        <v>848</v>
      </c>
      <c r="AC412" s="81" t="s">
        <v>853</v>
      </c>
      <c r="AD412" s="77" t="s">
        <v>866</v>
      </c>
      <c r="AE412" s="83" t="str">
        <f>HYPERLINK("https://twitter.com/smr_foundation/status/1696730293250736538")</f>
        <v>https://twitter.com/smr_foundation/status/1696730293250736538</v>
      </c>
      <c r="AF412" s="79">
        <v>45168.15509259259</v>
      </c>
      <c r="AG412" s="85">
        <v>45168</v>
      </c>
      <c r="AH412" s="81" t="s">
        <v>920</v>
      </c>
      <c r="AI412" s="77" t="b">
        <v>0</v>
      </c>
      <c r="AJ412" s="77"/>
      <c r="AK412" s="77"/>
      <c r="AL412" s="77"/>
      <c r="AM412" s="77"/>
      <c r="AN412" s="77"/>
      <c r="AO412" s="77"/>
      <c r="AP412" s="77"/>
      <c r="AQ412" s="77" t="s">
        <v>1011</v>
      </c>
      <c r="AR412" s="77"/>
      <c r="AS412" s="77"/>
      <c r="AT412" s="77"/>
      <c r="AU412" s="77"/>
      <c r="AV412" s="83" t="str">
        <f>HYPERLINK("https://pbs.twimg.com/media/F4v_IaLagAAQ39G.png")</f>
        <v>https://pbs.twimg.com/media/F4v_IaLagAAQ39G.png</v>
      </c>
      <c r="AW412" s="81" t="s">
        <v>1075</v>
      </c>
      <c r="AX412" s="81" t="s">
        <v>1076</v>
      </c>
      <c r="AY412" s="81" t="s">
        <v>1179</v>
      </c>
      <c r="AZ412" s="81" t="s">
        <v>1076</v>
      </c>
      <c r="BA412" s="81" t="s">
        <v>1190</v>
      </c>
      <c r="BB412" s="81" t="s">
        <v>1190</v>
      </c>
      <c r="BC412" s="81" t="s">
        <v>1076</v>
      </c>
      <c r="BD412" s="77">
        <v>151934168</v>
      </c>
      <c r="BE412" s="77"/>
      <c r="BF412" s="77"/>
      <c r="BG412" s="77"/>
      <c r="BH412" s="77"/>
      <c r="BI412" s="77"/>
      <c r="BJ412">
        <v>1</v>
      </c>
      <c r="BK412" s="76" t="str">
        <f>REPLACE(INDEX(GroupVertices[Group],MATCH(Edges[[#This Row],[Vertex 1]],GroupVertices[Vertex],0)),1,1,"")</f>
        <v>3</v>
      </c>
      <c r="BL412" s="76" t="str">
        <f>REPLACE(INDEX(GroupVertices[Group],MATCH(Edges[[#This Row],[Vertex 2]],GroupVertices[Vertex],0)),1,1,"")</f>
        <v>3</v>
      </c>
      <c r="BM412" s="45"/>
      <c r="BN412" s="46"/>
      <c r="BO412" s="45"/>
      <c r="BP412" s="46"/>
      <c r="BQ412" s="45"/>
      <c r="BR412" s="46"/>
      <c r="BS412" s="45"/>
      <c r="BT412" s="46"/>
      <c r="BU412" s="45"/>
    </row>
    <row r="413" spans="1:73" ht="15">
      <c r="A413" s="61" t="s">
        <v>238</v>
      </c>
      <c r="B413" s="61" t="s">
        <v>469</v>
      </c>
      <c r="C413" s="62" t="s">
        <v>11692</v>
      </c>
      <c r="D413" s="63">
        <v>3</v>
      </c>
      <c r="E413" s="64" t="s">
        <v>132</v>
      </c>
      <c r="F413" s="65">
        <v>32</v>
      </c>
      <c r="G413" s="62"/>
      <c r="H413" s="66"/>
      <c r="I413" s="67"/>
      <c r="J413" s="67"/>
      <c r="K413" s="31" t="s">
        <v>65</v>
      </c>
      <c r="L413" s="75">
        <v>413</v>
      </c>
      <c r="M413" s="75"/>
      <c r="N413" s="69"/>
      <c r="O413" s="77" t="s">
        <v>539</v>
      </c>
      <c r="P413" s="79">
        <v>45168.1540625</v>
      </c>
      <c r="Q413" s="77" t="s">
        <v>593</v>
      </c>
      <c r="R413" s="77">
        <v>3</v>
      </c>
      <c r="S413" s="77">
        <v>7</v>
      </c>
      <c r="T413" s="77">
        <v>2</v>
      </c>
      <c r="U413" s="77">
        <v>1</v>
      </c>
      <c r="V413" s="77">
        <v>306</v>
      </c>
      <c r="W413" s="81" t="s">
        <v>700</v>
      </c>
      <c r="X413" s="83" t="str">
        <f>HYPERLINK("https://bit.ly/3Z2OFCA")</f>
        <v>https://bit.ly/3Z2OFCA</v>
      </c>
      <c r="Y413" s="77" t="s">
        <v>740</v>
      </c>
      <c r="Z413" s="77" t="s">
        <v>784</v>
      </c>
      <c r="AA413" s="77"/>
      <c r="AB413" s="77"/>
      <c r="AC413" s="81" t="s">
        <v>853</v>
      </c>
      <c r="AD413" s="77" t="s">
        <v>859</v>
      </c>
      <c r="AE413" s="83" t="str">
        <f>HYPERLINK("https://twitter.com/smr_foundation/status/1696729921341853809")</f>
        <v>https://twitter.com/smr_foundation/status/1696729921341853809</v>
      </c>
      <c r="AF413" s="79">
        <v>45168.1540625</v>
      </c>
      <c r="AG413" s="85">
        <v>45168</v>
      </c>
      <c r="AH413" s="81" t="s">
        <v>921</v>
      </c>
      <c r="AI413" s="77" t="b">
        <v>0</v>
      </c>
      <c r="AJ413" s="77"/>
      <c r="AK413" s="77"/>
      <c r="AL413" s="77"/>
      <c r="AM413" s="77"/>
      <c r="AN413" s="77"/>
      <c r="AO413" s="77"/>
      <c r="AP413" s="77"/>
      <c r="AQ413" s="77"/>
      <c r="AR413" s="77"/>
      <c r="AS413" s="77"/>
      <c r="AT413" s="77"/>
      <c r="AU413" s="77"/>
      <c r="AV413" s="83" t="str">
        <f>HYPERLINK("https://pbs.twimg.com/profile_images/849133030237061120/6hUrNP0a_normal.jpg")</f>
        <v>https://pbs.twimg.com/profile_images/849133030237061120/6hUrNP0a_normal.jpg</v>
      </c>
      <c r="AW413" s="81" t="s">
        <v>1076</v>
      </c>
      <c r="AX413" s="81" t="s">
        <v>1076</v>
      </c>
      <c r="AY413" s="77"/>
      <c r="AZ413" s="81" t="s">
        <v>1190</v>
      </c>
      <c r="BA413" s="81" t="s">
        <v>1190</v>
      </c>
      <c r="BB413" s="81" t="s">
        <v>1190</v>
      </c>
      <c r="BC413" s="81" t="s">
        <v>1076</v>
      </c>
      <c r="BD413" s="77">
        <v>151934168</v>
      </c>
      <c r="BE413" s="77"/>
      <c r="BF413" s="77"/>
      <c r="BG413" s="77"/>
      <c r="BH413" s="77"/>
      <c r="BI413" s="77"/>
      <c r="BJ413">
        <v>1</v>
      </c>
      <c r="BK413" s="76" t="str">
        <f>REPLACE(INDEX(GroupVertices[Group],MATCH(Edges[[#This Row],[Vertex 1]],GroupVertices[Vertex],0)),1,1,"")</f>
        <v>3</v>
      </c>
      <c r="BL413" s="76" t="str">
        <f>REPLACE(INDEX(GroupVertices[Group],MATCH(Edges[[#This Row],[Vertex 2]],GroupVertices[Vertex],0)),1,1,"")</f>
        <v>3</v>
      </c>
      <c r="BM413" s="45"/>
      <c r="BN413" s="46"/>
      <c r="BO413" s="45"/>
      <c r="BP413" s="46"/>
      <c r="BQ413" s="45"/>
      <c r="BR413" s="46"/>
      <c r="BS413" s="45"/>
      <c r="BT413" s="46"/>
      <c r="BU413" s="45"/>
    </row>
    <row r="414" spans="1:73" ht="15">
      <c r="A414" s="61" t="s">
        <v>238</v>
      </c>
      <c r="B414" s="61" t="s">
        <v>470</v>
      </c>
      <c r="C414" s="62" t="s">
        <v>11692</v>
      </c>
      <c r="D414" s="63">
        <v>3</v>
      </c>
      <c r="E414" s="64" t="s">
        <v>132</v>
      </c>
      <c r="F414" s="65">
        <v>32</v>
      </c>
      <c r="G414" s="62"/>
      <c r="H414" s="66"/>
      <c r="I414" s="67"/>
      <c r="J414" s="67"/>
      <c r="K414" s="31" t="s">
        <v>65</v>
      </c>
      <c r="L414" s="75">
        <v>414</v>
      </c>
      <c r="M414" s="75"/>
      <c r="N414" s="69"/>
      <c r="O414" s="77" t="s">
        <v>543</v>
      </c>
      <c r="P414" s="79">
        <v>45168.15509259259</v>
      </c>
      <c r="Q414" s="77" t="s">
        <v>592</v>
      </c>
      <c r="R414" s="77">
        <v>2</v>
      </c>
      <c r="S414" s="77">
        <v>3</v>
      </c>
      <c r="T414" s="77">
        <v>0</v>
      </c>
      <c r="U414" s="77">
        <v>1</v>
      </c>
      <c r="V414" s="77">
        <v>305</v>
      </c>
      <c r="W414" s="81" t="s">
        <v>699</v>
      </c>
      <c r="X414" s="83" t="str">
        <f>HYPERLINK("https://bit.ly/3Z2OFCA")</f>
        <v>https://bit.ly/3Z2OFCA</v>
      </c>
      <c r="Y414" s="77" t="s">
        <v>740</v>
      </c>
      <c r="Z414" s="77" t="s">
        <v>784</v>
      </c>
      <c r="AA414" s="77" t="s">
        <v>832</v>
      </c>
      <c r="AB414" s="77" t="s">
        <v>848</v>
      </c>
      <c r="AC414" s="81" t="s">
        <v>853</v>
      </c>
      <c r="AD414" s="77" t="s">
        <v>866</v>
      </c>
      <c r="AE414" s="83" t="str">
        <f>HYPERLINK("https://twitter.com/smr_foundation/status/1696730293250736538")</f>
        <v>https://twitter.com/smr_foundation/status/1696730293250736538</v>
      </c>
      <c r="AF414" s="79">
        <v>45168.15509259259</v>
      </c>
      <c r="AG414" s="85">
        <v>45168</v>
      </c>
      <c r="AH414" s="81" t="s">
        <v>920</v>
      </c>
      <c r="AI414" s="77" t="b">
        <v>0</v>
      </c>
      <c r="AJ414" s="77"/>
      <c r="AK414" s="77"/>
      <c r="AL414" s="77"/>
      <c r="AM414" s="77"/>
      <c r="AN414" s="77"/>
      <c r="AO414" s="77"/>
      <c r="AP414" s="77"/>
      <c r="AQ414" s="77" t="s">
        <v>1011</v>
      </c>
      <c r="AR414" s="77"/>
      <c r="AS414" s="77"/>
      <c r="AT414" s="77"/>
      <c r="AU414" s="77"/>
      <c r="AV414" s="83" t="str">
        <f>HYPERLINK("https://pbs.twimg.com/media/F4v_IaLagAAQ39G.png")</f>
        <v>https://pbs.twimg.com/media/F4v_IaLagAAQ39G.png</v>
      </c>
      <c r="AW414" s="81" t="s">
        <v>1075</v>
      </c>
      <c r="AX414" s="81" t="s">
        <v>1076</v>
      </c>
      <c r="AY414" s="81" t="s">
        <v>1179</v>
      </c>
      <c r="AZ414" s="81" t="s">
        <v>1076</v>
      </c>
      <c r="BA414" s="81" t="s">
        <v>1190</v>
      </c>
      <c r="BB414" s="81" t="s">
        <v>1190</v>
      </c>
      <c r="BC414" s="81" t="s">
        <v>1076</v>
      </c>
      <c r="BD414" s="77">
        <v>151934168</v>
      </c>
      <c r="BE414" s="77"/>
      <c r="BF414" s="77"/>
      <c r="BG414" s="77"/>
      <c r="BH414" s="77"/>
      <c r="BI414" s="77"/>
      <c r="BJ414">
        <v>1</v>
      </c>
      <c r="BK414" s="76" t="str">
        <f>REPLACE(INDEX(GroupVertices[Group],MATCH(Edges[[#This Row],[Vertex 1]],GroupVertices[Vertex],0)),1,1,"")</f>
        <v>3</v>
      </c>
      <c r="BL414" s="76" t="str">
        <f>REPLACE(INDEX(GroupVertices[Group],MATCH(Edges[[#This Row],[Vertex 2]],GroupVertices[Vertex],0)),1,1,"")</f>
        <v>3</v>
      </c>
      <c r="BM414" s="45"/>
      <c r="BN414" s="46"/>
      <c r="BO414" s="45"/>
      <c r="BP414" s="46"/>
      <c r="BQ414" s="45"/>
      <c r="BR414" s="46"/>
      <c r="BS414" s="45"/>
      <c r="BT414" s="46"/>
      <c r="BU414" s="45"/>
    </row>
    <row r="415" spans="1:73" ht="15">
      <c r="A415" s="61" t="s">
        <v>238</v>
      </c>
      <c r="B415" s="61" t="s">
        <v>470</v>
      </c>
      <c r="C415" s="62" t="s">
        <v>11692</v>
      </c>
      <c r="D415" s="63">
        <v>3</v>
      </c>
      <c r="E415" s="64" t="s">
        <v>132</v>
      </c>
      <c r="F415" s="65">
        <v>32</v>
      </c>
      <c r="G415" s="62"/>
      <c r="H415" s="66"/>
      <c r="I415" s="67"/>
      <c r="J415" s="67"/>
      <c r="K415" s="31" t="s">
        <v>65</v>
      </c>
      <c r="L415" s="75">
        <v>415</v>
      </c>
      <c r="M415" s="75"/>
      <c r="N415" s="69"/>
      <c r="O415" s="77" t="s">
        <v>539</v>
      </c>
      <c r="P415" s="79">
        <v>45168.1540625</v>
      </c>
      <c r="Q415" s="77" t="s">
        <v>593</v>
      </c>
      <c r="R415" s="77">
        <v>3</v>
      </c>
      <c r="S415" s="77">
        <v>7</v>
      </c>
      <c r="T415" s="77">
        <v>2</v>
      </c>
      <c r="U415" s="77">
        <v>1</v>
      </c>
      <c r="V415" s="77">
        <v>306</v>
      </c>
      <c r="W415" s="81" t="s">
        <v>700</v>
      </c>
      <c r="X415" s="83" t="str">
        <f>HYPERLINK("https://bit.ly/3Z2OFCA")</f>
        <v>https://bit.ly/3Z2OFCA</v>
      </c>
      <c r="Y415" s="77" t="s">
        <v>740</v>
      </c>
      <c r="Z415" s="77" t="s">
        <v>784</v>
      </c>
      <c r="AA415" s="77"/>
      <c r="AB415" s="77"/>
      <c r="AC415" s="81" t="s">
        <v>853</v>
      </c>
      <c r="AD415" s="77" t="s">
        <v>859</v>
      </c>
      <c r="AE415" s="83" t="str">
        <f>HYPERLINK("https://twitter.com/smr_foundation/status/1696729921341853809")</f>
        <v>https://twitter.com/smr_foundation/status/1696729921341853809</v>
      </c>
      <c r="AF415" s="79">
        <v>45168.1540625</v>
      </c>
      <c r="AG415" s="85">
        <v>45168</v>
      </c>
      <c r="AH415" s="81" t="s">
        <v>921</v>
      </c>
      <c r="AI415" s="77" t="b">
        <v>0</v>
      </c>
      <c r="AJ415" s="77"/>
      <c r="AK415" s="77"/>
      <c r="AL415" s="77"/>
      <c r="AM415" s="77"/>
      <c r="AN415" s="77"/>
      <c r="AO415" s="77"/>
      <c r="AP415" s="77"/>
      <c r="AQ415" s="77"/>
      <c r="AR415" s="77"/>
      <c r="AS415" s="77"/>
      <c r="AT415" s="77"/>
      <c r="AU415" s="77"/>
      <c r="AV415" s="83" t="str">
        <f>HYPERLINK("https://pbs.twimg.com/profile_images/849133030237061120/6hUrNP0a_normal.jpg")</f>
        <v>https://pbs.twimg.com/profile_images/849133030237061120/6hUrNP0a_normal.jpg</v>
      </c>
      <c r="AW415" s="81" t="s">
        <v>1076</v>
      </c>
      <c r="AX415" s="81" t="s">
        <v>1076</v>
      </c>
      <c r="AY415" s="77"/>
      <c r="AZ415" s="81" t="s">
        <v>1190</v>
      </c>
      <c r="BA415" s="81" t="s">
        <v>1190</v>
      </c>
      <c r="BB415" s="81" t="s">
        <v>1190</v>
      </c>
      <c r="BC415" s="81" t="s">
        <v>1076</v>
      </c>
      <c r="BD415" s="77">
        <v>151934168</v>
      </c>
      <c r="BE415" s="77"/>
      <c r="BF415" s="77"/>
      <c r="BG415" s="77"/>
      <c r="BH415" s="77"/>
      <c r="BI415" s="77"/>
      <c r="BJ415">
        <v>1</v>
      </c>
      <c r="BK415" s="76" t="str">
        <f>REPLACE(INDEX(GroupVertices[Group],MATCH(Edges[[#This Row],[Vertex 1]],GroupVertices[Vertex],0)),1,1,"")</f>
        <v>3</v>
      </c>
      <c r="BL415" s="76" t="str">
        <f>REPLACE(INDEX(GroupVertices[Group],MATCH(Edges[[#This Row],[Vertex 2]],GroupVertices[Vertex],0)),1,1,"")</f>
        <v>3</v>
      </c>
      <c r="BM415" s="45"/>
      <c r="BN415" s="46"/>
      <c r="BO415" s="45"/>
      <c r="BP415" s="46"/>
      <c r="BQ415" s="45"/>
      <c r="BR415" s="46"/>
      <c r="BS415" s="45"/>
      <c r="BT415" s="46"/>
      <c r="BU415" s="45"/>
    </row>
    <row r="416" spans="1:73" ht="15">
      <c r="A416" s="61" t="s">
        <v>228</v>
      </c>
      <c r="B416" s="61" t="s">
        <v>235</v>
      </c>
      <c r="C416" s="62" t="s">
        <v>11692</v>
      </c>
      <c r="D416" s="63">
        <v>3</v>
      </c>
      <c r="E416" s="64" t="s">
        <v>132</v>
      </c>
      <c r="F416" s="65">
        <v>32</v>
      </c>
      <c r="G416" s="62"/>
      <c r="H416" s="66"/>
      <c r="I416" s="67"/>
      <c r="J416" s="67"/>
      <c r="K416" s="31" t="s">
        <v>66</v>
      </c>
      <c r="L416" s="75">
        <v>416</v>
      </c>
      <c r="M416" s="75"/>
      <c r="N416" s="69"/>
      <c r="O416" s="77" t="s">
        <v>539</v>
      </c>
      <c r="P416" s="79">
        <v>45149.00141203704</v>
      </c>
      <c r="Q416" s="77" t="s">
        <v>560</v>
      </c>
      <c r="R416" s="77">
        <v>2</v>
      </c>
      <c r="S416" s="77">
        <v>10</v>
      </c>
      <c r="T416" s="77">
        <v>0</v>
      </c>
      <c r="U416" s="77">
        <v>1</v>
      </c>
      <c r="V416" s="77">
        <v>729</v>
      </c>
      <c r="W416" s="81" t="s">
        <v>673</v>
      </c>
      <c r="X416" s="83" t="str">
        <f>HYPERLINK("https://bit.ly/3QzmnNR")</f>
        <v>https://bit.ly/3QzmnNR</v>
      </c>
      <c r="Y416" s="77" t="s">
        <v>740</v>
      </c>
      <c r="Z416" s="77" t="s">
        <v>758</v>
      </c>
      <c r="AA416" s="77"/>
      <c r="AB416" s="77"/>
      <c r="AC416" s="81" t="s">
        <v>853</v>
      </c>
      <c r="AD416" s="77" t="s">
        <v>859</v>
      </c>
      <c r="AE416" s="83" t="str">
        <f>HYPERLINK("https://twitter.com/nodexl/status/1689789233823887360")</f>
        <v>https://twitter.com/nodexl/status/1689789233823887360</v>
      </c>
      <c r="AF416" s="79">
        <v>45149.00141203704</v>
      </c>
      <c r="AG416" s="85">
        <v>45149</v>
      </c>
      <c r="AH416" s="81" t="s">
        <v>887</v>
      </c>
      <c r="AI416" s="77" t="b">
        <v>0</v>
      </c>
      <c r="AJ416" s="77"/>
      <c r="AK416" s="77"/>
      <c r="AL416" s="77"/>
      <c r="AM416" s="77"/>
      <c r="AN416" s="77"/>
      <c r="AO416" s="77"/>
      <c r="AP416" s="77"/>
      <c r="AQ416" s="77"/>
      <c r="AR416" s="77"/>
      <c r="AS416" s="77"/>
      <c r="AT416" s="77"/>
      <c r="AU416" s="77"/>
      <c r="AV416" s="83" t="str">
        <f>HYPERLINK("https://pbs.twimg.com/profile_images/849132774661308416/pa2Uplq1_normal.jpg")</f>
        <v>https://pbs.twimg.com/profile_images/849132774661308416/pa2Uplq1_normal.jpg</v>
      </c>
      <c r="AW416" s="81" t="s">
        <v>1042</v>
      </c>
      <c r="AX416" s="81" t="s">
        <v>1042</v>
      </c>
      <c r="AY416" s="77"/>
      <c r="AZ416" s="81" t="s">
        <v>1190</v>
      </c>
      <c r="BA416" s="81" t="s">
        <v>1190</v>
      </c>
      <c r="BB416" s="81" t="s">
        <v>1190</v>
      </c>
      <c r="BC416" s="81" t="s">
        <v>1042</v>
      </c>
      <c r="BD416" s="77">
        <v>87606674</v>
      </c>
      <c r="BE416" s="77"/>
      <c r="BF416" s="77"/>
      <c r="BG416" s="77"/>
      <c r="BH416" s="77"/>
      <c r="BI416" s="77"/>
      <c r="BJ416">
        <v>1</v>
      </c>
      <c r="BK416" s="76" t="str">
        <f>REPLACE(INDEX(GroupVertices[Group],MATCH(Edges[[#This Row],[Vertex 1]],GroupVertices[Vertex],0)),1,1,"")</f>
        <v>2</v>
      </c>
      <c r="BL416" s="76" t="str">
        <f>REPLACE(INDEX(GroupVertices[Group],MATCH(Edges[[#This Row],[Vertex 2]],GroupVertices[Vertex],0)),1,1,"")</f>
        <v>2</v>
      </c>
      <c r="BM416" s="45">
        <v>1</v>
      </c>
      <c r="BN416" s="46">
        <v>4</v>
      </c>
      <c r="BO416" s="45">
        <v>0</v>
      </c>
      <c r="BP416" s="46">
        <v>0</v>
      </c>
      <c r="BQ416" s="45">
        <v>0</v>
      </c>
      <c r="BR416" s="46">
        <v>0</v>
      </c>
      <c r="BS416" s="45">
        <v>23</v>
      </c>
      <c r="BT416" s="46">
        <v>92</v>
      </c>
      <c r="BU416" s="45">
        <v>25</v>
      </c>
    </row>
    <row r="417" spans="1:73" ht="15">
      <c r="A417" s="61" t="s">
        <v>235</v>
      </c>
      <c r="B417" s="61" t="s">
        <v>228</v>
      </c>
      <c r="C417" s="62" t="s">
        <v>11693</v>
      </c>
      <c r="D417" s="63">
        <v>4.4</v>
      </c>
      <c r="E417" s="64" t="s">
        <v>132</v>
      </c>
      <c r="F417" s="65">
        <v>27.6</v>
      </c>
      <c r="G417" s="62"/>
      <c r="H417" s="66"/>
      <c r="I417" s="67"/>
      <c r="J417" s="67"/>
      <c r="K417" s="31" t="s">
        <v>66</v>
      </c>
      <c r="L417" s="75">
        <v>417</v>
      </c>
      <c r="M417" s="75"/>
      <c r="N417" s="69"/>
      <c r="O417" s="77" t="s">
        <v>544</v>
      </c>
      <c r="P417" s="79">
        <v>45148.727951388886</v>
      </c>
      <c r="Q417" s="77" t="s">
        <v>584</v>
      </c>
      <c r="R417" s="77">
        <v>1</v>
      </c>
      <c r="S417" s="77">
        <v>8</v>
      </c>
      <c r="T417" s="77">
        <v>1</v>
      </c>
      <c r="U417" s="77">
        <v>1</v>
      </c>
      <c r="V417" s="77">
        <v>884</v>
      </c>
      <c r="W417" s="81" t="s">
        <v>692</v>
      </c>
      <c r="X417" s="77"/>
      <c r="Y417" s="77"/>
      <c r="Z417" s="77" t="s">
        <v>778</v>
      </c>
      <c r="AA417" s="77"/>
      <c r="AB417" s="77"/>
      <c r="AC417" s="81" t="s">
        <v>857</v>
      </c>
      <c r="AD417" s="77" t="s">
        <v>859</v>
      </c>
      <c r="AE417" s="83" t="str">
        <f>HYPERLINK("https://twitter.com/jeremyhl/status/1689690132457103360")</f>
        <v>https://twitter.com/jeremyhl/status/1689690132457103360</v>
      </c>
      <c r="AF417" s="79">
        <v>45148.727951388886</v>
      </c>
      <c r="AG417" s="85">
        <v>45148</v>
      </c>
      <c r="AH417" s="81" t="s">
        <v>912</v>
      </c>
      <c r="AI417" s="77"/>
      <c r="AJ417" s="77"/>
      <c r="AK417" s="77"/>
      <c r="AL417" s="77"/>
      <c r="AM417" s="77"/>
      <c r="AN417" s="77"/>
      <c r="AO417" s="77"/>
      <c r="AP417" s="77"/>
      <c r="AQ417" s="77"/>
      <c r="AR417" s="77"/>
      <c r="AS417" s="77"/>
      <c r="AT417" s="77"/>
      <c r="AU417" s="77"/>
      <c r="AV417" s="83" t="str">
        <f>HYPERLINK("https://pbs.twimg.com/profile_images/912667889395798022/pMoB2qc8_normal.jpg")</f>
        <v>https://pbs.twimg.com/profile_images/912667889395798022/pMoB2qc8_normal.jpg</v>
      </c>
      <c r="AW417" s="81" t="s">
        <v>1067</v>
      </c>
      <c r="AX417" s="81" t="s">
        <v>1067</v>
      </c>
      <c r="AY417" s="77"/>
      <c r="AZ417" s="81" t="s">
        <v>1190</v>
      </c>
      <c r="BA417" s="81" t="s">
        <v>1068</v>
      </c>
      <c r="BB417" s="81" t="s">
        <v>1190</v>
      </c>
      <c r="BC417" s="81" t="s">
        <v>1068</v>
      </c>
      <c r="BD417" s="77">
        <v>12006842</v>
      </c>
      <c r="BE417" s="77"/>
      <c r="BF417" s="77"/>
      <c r="BG417" s="77"/>
      <c r="BH417" s="77"/>
      <c r="BI417" s="77"/>
      <c r="BJ417">
        <v>2</v>
      </c>
      <c r="BK417" s="76" t="str">
        <f>REPLACE(INDEX(GroupVertices[Group],MATCH(Edges[[#This Row],[Vertex 1]],GroupVertices[Vertex],0)),1,1,"")</f>
        <v>2</v>
      </c>
      <c r="BL417" s="76" t="str">
        <f>REPLACE(INDEX(GroupVertices[Group],MATCH(Edges[[#This Row],[Vertex 2]],GroupVertices[Vertex],0)),1,1,"")</f>
        <v>2</v>
      </c>
      <c r="BM417" s="45"/>
      <c r="BN417" s="46"/>
      <c r="BO417" s="45"/>
      <c r="BP417" s="46"/>
      <c r="BQ417" s="45"/>
      <c r="BR417" s="46"/>
      <c r="BS417" s="45"/>
      <c r="BT417" s="46"/>
      <c r="BU417" s="45"/>
    </row>
    <row r="418" spans="1:73" ht="15">
      <c r="A418" s="61" t="s">
        <v>235</v>
      </c>
      <c r="B418" s="61" t="s">
        <v>228</v>
      </c>
      <c r="C418" s="62" t="s">
        <v>11692</v>
      </c>
      <c r="D418" s="63">
        <v>3</v>
      </c>
      <c r="E418" s="64" t="s">
        <v>132</v>
      </c>
      <c r="F418" s="65">
        <v>32</v>
      </c>
      <c r="G418" s="62"/>
      <c r="H418" s="66"/>
      <c r="I418" s="67"/>
      <c r="J418" s="67"/>
      <c r="K418" s="31" t="s">
        <v>66</v>
      </c>
      <c r="L418" s="75">
        <v>418</v>
      </c>
      <c r="M418" s="75"/>
      <c r="N418" s="69"/>
      <c r="O418" s="77" t="s">
        <v>539</v>
      </c>
      <c r="P418" s="79">
        <v>45149.15255787037</v>
      </c>
      <c r="Q418" s="77" t="s">
        <v>586</v>
      </c>
      <c r="R418" s="77">
        <v>4</v>
      </c>
      <c r="S418" s="77">
        <v>6</v>
      </c>
      <c r="T418" s="77">
        <v>0</v>
      </c>
      <c r="U418" s="77">
        <v>0</v>
      </c>
      <c r="V418" s="77">
        <v>377</v>
      </c>
      <c r="W418" s="81" t="s">
        <v>694</v>
      </c>
      <c r="X418"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418" s="77" t="s">
        <v>744</v>
      </c>
      <c r="Z418" s="77" t="s">
        <v>779</v>
      </c>
      <c r="AA418" s="77" t="s">
        <v>831</v>
      </c>
      <c r="AB418" s="77" t="s">
        <v>848</v>
      </c>
      <c r="AC418" s="81" t="s">
        <v>857</v>
      </c>
      <c r="AD418" s="77" t="s">
        <v>859</v>
      </c>
      <c r="AE418" s="83" t="str">
        <f>HYPERLINK("https://twitter.com/jeremyhl/status/1689844008007176192")</f>
        <v>https://twitter.com/jeremyhl/status/1689844008007176192</v>
      </c>
      <c r="AF418" s="79">
        <v>45149.15255787037</v>
      </c>
      <c r="AG418" s="85">
        <v>45149</v>
      </c>
      <c r="AH418" s="81" t="s">
        <v>914</v>
      </c>
      <c r="AI418" s="77" t="b">
        <v>0</v>
      </c>
      <c r="AJ418" s="77"/>
      <c r="AK418" s="77"/>
      <c r="AL418" s="77"/>
      <c r="AM418" s="77"/>
      <c r="AN418" s="77"/>
      <c r="AO418" s="77"/>
      <c r="AP418" s="77"/>
      <c r="AQ418" s="77" t="s">
        <v>1010</v>
      </c>
      <c r="AR418" s="77"/>
      <c r="AS418" s="77"/>
      <c r="AT418" s="77"/>
      <c r="AU418" s="77"/>
      <c r="AV418" s="83" t="str">
        <f>HYPERLINK("https://pbs.twimg.com/media/F3OIK0KXwAAino2.jpg")</f>
        <v>https://pbs.twimg.com/media/F3OIK0KXwAAino2.jpg</v>
      </c>
      <c r="AW418" s="81" t="s">
        <v>1069</v>
      </c>
      <c r="AX418" s="81" t="s">
        <v>1069</v>
      </c>
      <c r="AY418" s="77"/>
      <c r="AZ418" s="81" t="s">
        <v>1190</v>
      </c>
      <c r="BA418" s="81" t="s">
        <v>1190</v>
      </c>
      <c r="BB418" s="81" t="s">
        <v>1190</v>
      </c>
      <c r="BC418" s="81" t="s">
        <v>1069</v>
      </c>
      <c r="BD418" s="77">
        <v>12006842</v>
      </c>
      <c r="BE418" s="77"/>
      <c r="BF418" s="77"/>
      <c r="BG418" s="77"/>
      <c r="BH418" s="77"/>
      <c r="BI418" s="77"/>
      <c r="BJ418">
        <v>1</v>
      </c>
      <c r="BK418" s="76" t="str">
        <f>REPLACE(INDEX(GroupVertices[Group],MATCH(Edges[[#This Row],[Vertex 1]],GroupVertices[Vertex],0)),1,1,"")</f>
        <v>2</v>
      </c>
      <c r="BL418" s="76" t="str">
        <f>REPLACE(INDEX(GroupVertices[Group],MATCH(Edges[[#This Row],[Vertex 2]],GroupVertices[Vertex],0)),1,1,"")</f>
        <v>2</v>
      </c>
      <c r="BM418" s="45"/>
      <c r="BN418" s="46"/>
      <c r="BO418" s="45"/>
      <c r="BP418" s="46"/>
      <c r="BQ418" s="45"/>
      <c r="BR418" s="46"/>
      <c r="BS418" s="45"/>
      <c r="BT418" s="46"/>
      <c r="BU418" s="45"/>
    </row>
    <row r="419" spans="1:73" ht="15">
      <c r="A419" s="61" t="s">
        <v>235</v>
      </c>
      <c r="B419" s="61" t="s">
        <v>471</v>
      </c>
      <c r="C419" s="62" t="s">
        <v>11692</v>
      </c>
      <c r="D419" s="63">
        <v>3</v>
      </c>
      <c r="E419" s="64" t="s">
        <v>132</v>
      </c>
      <c r="F419" s="65">
        <v>32</v>
      </c>
      <c r="G419" s="62"/>
      <c r="H419" s="66"/>
      <c r="I419" s="67"/>
      <c r="J419" s="67"/>
      <c r="K419" s="31" t="s">
        <v>65</v>
      </c>
      <c r="L419" s="75">
        <v>419</v>
      </c>
      <c r="M419" s="75"/>
      <c r="N419" s="69"/>
      <c r="O419" s="77" t="s">
        <v>539</v>
      </c>
      <c r="P419" s="79">
        <v>45149.15255787037</v>
      </c>
      <c r="Q419" s="77" t="s">
        <v>586</v>
      </c>
      <c r="R419" s="77">
        <v>4</v>
      </c>
      <c r="S419" s="77">
        <v>6</v>
      </c>
      <c r="T419" s="77">
        <v>0</v>
      </c>
      <c r="U419" s="77">
        <v>0</v>
      </c>
      <c r="V419" s="77">
        <v>377</v>
      </c>
      <c r="W419" s="81" t="s">
        <v>694</v>
      </c>
      <c r="X419"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419" s="77" t="s">
        <v>744</v>
      </c>
      <c r="Z419" s="77" t="s">
        <v>779</v>
      </c>
      <c r="AA419" s="77" t="s">
        <v>831</v>
      </c>
      <c r="AB419" s="77" t="s">
        <v>848</v>
      </c>
      <c r="AC419" s="81" t="s">
        <v>857</v>
      </c>
      <c r="AD419" s="77" t="s">
        <v>859</v>
      </c>
      <c r="AE419" s="83" t="str">
        <f>HYPERLINK("https://twitter.com/jeremyhl/status/1689844008007176192")</f>
        <v>https://twitter.com/jeremyhl/status/1689844008007176192</v>
      </c>
      <c r="AF419" s="79">
        <v>45149.15255787037</v>
      </c>
      <c r="AG419" s="85">
        <v>45149</v>
      </c>
      <c r="AH419" s="81" t="s">
        <v>914</v>
      </c>
      <c r="AI419" s="77" t="b">
        <v>0</v>
      </c>
      <c r="AJ419" s="77"/>
      <c r="AK419" s="77"/>
      <c r="AL419" s="77"/>
      <c r="AM419" s="77"/>
      <c r="AN419" s="77"/>
      <c r="AO419" s="77"/>
      <c r="AP419" s="77"/>
      <c r="AQ419" s="77" t="s">
        <v>1010</v>
      </c>
      <c r="AR419" s="77"/>
      <c r="AS419" s="77"/>
      <c r="AT419" s="77"/>
      <c r="AU419" s="77"/>
      <c r="AV419" s="83" t="str">
        <f>HYPERLINK("https://pbs.twimg.com/media/F3OIK0KXwAAino2.jpg")</f>
        <v>https://pbs.twimg.com/media/F3OIK0KXwAAino2.jpg</v>
      </c>
      <c r="AW419" s="81" t="s">
        <v>1069</v>
      </c>
      <c r="AX419" s="81" t="s">
        <v>1069</v>
      </c>
      <c r="AY419" s="77"/>
      <c r="AZ419" s="81" t="s">
        <v>1190</v>
      </c>
      <c r="BA419" s="81" t="s">
        <v>1190</v>
      </c>
      <c r="BB419" s="81" t="s">
        <v>1190</v>
      </c>
      <c r="BC419" s="81" t="s">
        <v>1069</v>
      </c>
      <c r="BD419" s="77">
        <v>12006842</v>
      </c>
      <c r="BE419" s="77"/>
      <c r="BF419" s="77"/>
      <c r="BG419" s="77"/>
      <c r="BH419" s="77"/>
      <c r="BI419" s="77"/>
      <c r="BJ419">
        <v>1</v>
      </c>
      <c r="BK419" s="76" t="str">
        <f>REPLACE(INDEX(GroupVertices[Group],MATCH(Edges[[#This Row],[Vertex 1]],GroupVertices[Vertex],0)),1,1,"")</f>
        <v>2</v>
      </c>
      <c r="BL419" s="76" t="str">
        <f>REPLACE(INDEX(GroupVertices[Group],MATCH(Edges[[#This Row],[Vertex 2]],GroupVertices[Vertex],0)),1,1,"")</f>
        <v>9</v>
      </c>
      <c r="BM419" s="45">
        <v>1</v>
      </c>
      <c r="BN419" s="46">
        <v>7.142857142857143</v>
      </c>
      <c r="BO419" s="45">
        <v>0</v>
      </c>
      <c r="BP419" s="46">
        <v>0</v>
      </c>
      <c r="BQ419" s="45">
        <v>0</v>
      </c>
      <c r="BR419" s="46">
        <v>0</v>
      </c>
      <c r="BS419" s="45">
        <v>10</v>
      </c>
      <c r="BT419" s="46">
        <v>71.42857142857143</v>
      </c>
      <c r="BU419" s="45">
        <v>14</v>
      </c>
    </row>
    <row r="420" spans="1:73" ht="15">
      <c r="A420" s="61" t="s">
        <v>235</v>
      </c>
      <c r="B420" s="61" t="s">
        <v>228</v>
      </c>
      <c r="C420" s="62" t="s">
        <v>11693</v>
      </c>
      <c r="D420" s="63">
        <v>4.4</v>
      </c>
      <c r="E420" s="64" t="s">
        <v>132</v>
      </c>
      <c r="F420" s="65">
        <v>27.6</v>
      </c>
      <c r="G420" s="62"/>
      <c r="H420" s="66"/>
      <c r="I420" s="67"/>
      <c r="J420" s="67"/>
      <c r="K420" s="31" t="s">
        <v>66</v>
      </c>
      <c r="L420" s="75">
        <v>420</v>
      </c>
      <c r="M420" s="75"/>
      <c r="N420" s="69"/>
      <c r="O420" s="77" t="s">
        <v>544</v>
      </c>
      <c r="P420" s="79">
        <v>45161.14805555555</v>
      </c>
      <c r="Q420" s="77" t="s">
        <v>594</v>
      </c>
      <c r="R420" s="77">
        <v>0</v>
      </c>
      <c r="S420" s="77">
        <v>6</v>
      </c>
      <c r="T420" s="77">
        <v>0</v>
      </c>
      <c r="U420" s="77">
        <v>0</v>
      </c>
      <c r="V420" s="77">
        <v>152</v>
      </c>
      <c r="W420" s="77"/>
      <c r="X420" s="77"/>
      <c r="Y420" s="77"/>
      <c r="Z420" s="77" t="s">
        <v>228</v>
      </c>
      <c r="AA420" s="77"/>
      <c r="AB420" s="77"/>
      <c r="AC420" s="81" t="s">
        <v>857</v>
      </c>
      <c r="AD420" s="77" t="s">
        <v>859</v>
      </c>
      <c r="AE420" s="83" t="str">
        <f>HYPERLINK("https://twitter.com/jeremyhl/status/1694191029631467891")</f>
        <v>https://twitter.com/jeremyhl/status/1694191029631467891</v>
      </c>
      <c r="AF420" s="79">
        <v>45161.14805555555</v>
      </c>
      <c r="AG420" s="85">
        <v>45161</v>
      </c>
      <c r="AH420" s="81" t="s">
        <v>922</v>
      </c>
      <c r="AI420" s="77"/>
      <c r="AJ420" s="77"/>
      <c r="AK420" s="77"/>
      <c r="AL420" s="77"/>
      <c r="AM420" s="77"/>
      <c r="AN420" s="77"/>
      <c r="AO420" s="77"/>
      <c r="AP420" s="77"/>
      <c r="AQ420" s="77"/>
      <c r="AR420" s="77"/>
      <c r="AS420" s="77"/>
      <c r="AT420" s="77"/>
      <c r="AU420" s="77"/>
      <c r="AV420" s="83" t="str">
        <f>HYPERLINK("https://pbs.twimg.com/profile_images/912667889395798022/pMoB2qc8_normal.jpg")</f>
        <v>https://pbs.twimg.com/profile_images/912667889395798022/pMoB2qc8_normal.jpg</v>
      </c>
      <c r="AW420" s="81" t="s">
        <v>1077</v>
      </c>
      <c r="AX420" s="81" t="s">
        <v>1077</v>
      </c>
      <c r="AY420" s="77"/>
      <c r="AZ420" s="81" t="s">
        <v>1190</v>
      </c>
      <c r="BA420" s="81" t="s">
        <v>1082</v>
      </c>
      <c r="BB420" s="81" t="s">
        <v>1190</v>
      </c>
      <c r="BC420" s="81" t="s">
        <v>1082</v>
      </c>
      <c r="BD420" s="77">
        <v>12006842</v>
      </c>
      <c r="BE420" s="77"/>
      <c r="BF420" s="77"/>
      <c r="BG420" s="77"/>
      <c r="BH420" s="77"/>
      <c r="BI420" s="77"/>
      <c r="BJ420">
        <v>2</v>
      </c>
      <c r="BK420" s="76" t="str">
        <f>REPLACE(INDEX(GroupVertices[Group],MATCH(Edges[[#This Row],[Vertex 1]],GroupVertices[Vertex],0)),1,1,"")</f>
        <v>2</v>
      </c>
      <c r="BL420" s="76" t="str">
        <f>REPLACE(INDEX(GroupVertices[Group],MATCH(Edges[[#This Row],[Vertex 2]],GroupVertices[Vertex],0)),1,1,"")</f>
        <v>2</v>
      </c>
      <c r="BM420" s="45"/>
      <c r="BN420" s="46"/>
      <c r="BO420" s="45"/>
      <c r="BP420" s="46"/>
      <c r="BQ420" s="45"/>
      <c r="BR420" s="46"/>
      <c r="BS420" s="45"/>
      <c r="BT420" s="46"/>
      <c r="BU420" s="45"/>
    </row>
    <row r="421" spans="1:73" ht="15">
      <c r="A421" s="61" t="s">
        <v>235</v>
      </c>
      <c r="B421" s="61" t="s">
        <v>238</v>
      </c>
      <c r="C421" s="62" t="s">
        <v>11692</v>
      </c>
      <c r="D421" s="63">
        <v>3</v>
      </c>
      <c r="E421" s="64" t="s">
        <v>132</v>
      </c>
      <c r="F421" s="65">
        <v>32</v>
      </c>
      <c r="G421" s="62"/>
      <c r="H421" s="66"/>
      <c r="I421" s="67"/>
      <c r="J421" s="67"/>
      <c r="K421" s="31" t="s">
        <v>66</v>
      </c>
      <c r="L421" s="75">
        <v>421</v>
      </c>
      <c r="M421" s="75"/>
      <c r="N421" s="69"/>
      <c r="O421" s="77" t="s">
        <v>542</v>
      </c>
      <c r="P421" s="79">
        <v>45161.14805555555</v>
      </c>
      <c r="Q421" s="77" t="s">
        <v>594</v>
      </c>
      <c r="R421" s="77">
        <v>0</v>
      </c>
      <c r="S421" s="77">
        <v>6</v>
      </c>
      <c r="T421" s="77">
        <v>0</v>
      </c>
      <c r="U421" s="77">
        <v>0</v>
      </c>
      <c r="V421" s="77">
        <v>152</v>
      </c>
      <c r="W421" s="77"/>
      <c r="X421" s="77"/>
      <c r="Y421" s="77"/>
      <c r="Z421" s="77" t="s">
        <v>228</v>
      </c>
      <c r="AA421" s="77"/>
      <c r="AB421" s="77"/>
      <c r="AC421" s="81" t="s">
        <v>857</v>
      </c>
      <c r="AD421" s="77" t="s">
        <v>859</v>
      </c>
      <c r="AE421" s="83" t="str">
        <f>HYPERLINK("https://twitter.com/jeremyhl/status/1694191029631467891")</f>
        <v>https://twitter.com/jeremyhl/status/1694191029631467891</v>
      </c>
      <c r="AF421" s="79">
        <v>45161.14805555555</v>
      </c>
      <c r="AG421" s="85">
        <v>45161</v>
      </c>
      <c r="AH421" s="81" t="s">
        <v>922</v>
      </c>
      <c r="AI421" s="77"/>
      <c r="AJ421" s="77"/>
      <c r="AK421" s="77"/>
      <c r="AL421" s="77"/>
      <c r="AM421" s="77"/>
      <c r="AN421" s="77"/>
      <c r="AO421" s="77"/>
      <c r="AP421" s="77"/>
      <c r="AQ421" s="77"/>
      <c r="AR421" s="77"/>
      <c r="AS421" s="77"/>
      <c r="AT421" s="77"/>
      <c r="AU421" s="77"/>
      <c r="AV421" s="83" t="str">
        <f>HYPERLINK("https://pbs.twimg.com/profile_images/912667889395798022/pMoB2qc8_normal.jpg")</f>
        <v>https://pbs.twimg.com/profile_images/912667889395798022/pMoB2qc8_normal.jpg</v>
      </c>
      <c r="AW421" s="81" t="s">
        <v>1077</v>
      </c>
      <c r="AX421" s="81" t="s">
        <v>1077</v>
      </c>
      <c r="AY421" s="77"/>
      <c r="AZ421" s="81" t="s">
        <v>1190</v>
      </c>
      <c r="BA421" s="81" t="s">
        <v>1082</v>
      </c>
      <c r="BB421" s="81" t="s">
        <v>1190</v>
      </c>
      <c r="BC421" s="81" t="s">
        <v>1082</v>
      </c>
      <c r="BD421" s="77">
        <v>12006842</v>
      </c>
      <c r="BE421" s="77"/>
      <c r="BF421" s="77"/>
      <c r="BG421" s="77"/>
      <c r="BH421" s="77"/>
      <c r="BI421" s="77"/>
      <c r="BJ421">
        <v>1</v>
      </c>
      <c r="BK421" s="76" t="str">
        <f>REPLACE(INDEX(GroupVertices[Group],MATCH(Edges[[#This Row],[Vertex 1]],GroupVertices[Vertex],0)),1,1,"")</f>
        <v>2</v>
      </c>
      <c r="BL421" s="76" t="str">
        <f>REPLACE(INDEX(GroupVertices[Group],MATCH(Edges[[#This Row],[Vertex 2]],GroupVertices[Vertex],0)),1,1,"")</f>
        <v>3</v>
      </c>
      <c r="BM421" s="45">
        <v>1</v>
      </c>
      <c r="BN421" s="46">
        <v>12.5</v>
      </c>
      <c r="BO421" s="45">
        <v>0</v>
      </c>
      <c r="BP421" s="46">
        <v>0</v>
      </c>
      <c r="BQ421" s="45">
        <v>0</v>
      </c>
      <c r="BR421" s="46">
        <v>0</v>
      </c>
      <c r="BS421" s="45">
        <v>5</v>
      </c>
      <c r="BT421" s="46">
        <v>62.5</v>
      </c>
      <c r="BU421" s="45">
        <v>8</v>
      </c>
    </row>
    <row r="422" spans="1:73" ht="15">
      <c r="A422" s="61" t="s">
        <v>238</v>
      </c>
      <c r="B422" s="61" t="s">
        <v>235</v>
      </c>
      <c r="C422" s="62" t="s">
        <v>11692</v>
      </c>
      <c r="D422" s="63">
        <v>3</v>
      </c>
      <c r="E422" s="64" t="s">
        <v>132</v>
      </c>
      <c r="F422" s="65">
        <v>32</v>
      </c>
      <c r="G422" s="62"/>
      <c r="H422" s="66"/>
      <c r="I422" s="67"/>
      <c r="J422" s="67"/>
      <c r="K422" s="31" t="s">
        <v>66</v>
      </c>
      <c r="L422" s="75">
        <v>422</v>
      </c>
      <c r="M422" s="75"/>
      <c r="N422" s="69"/>
      <c r="O422" s="77" t="s">
        <v>539</v>
      </c>
      <c r="P422" s="79">
        <v>45168.1540625</v>
      </c>
      <c r="Q422" s="77" t="s">
        <v>593</v>
      </c>
      <c r="R422" s="77">
        <v>3</v>
      </c>
      <c r="S422" s="77">
        <v>7</v>
      </c>
      <c r="T422" s="77">
        <v>2</v>
      </c>
      <c r="U422" s="77">
        <v>1</v>
      </c>
      <c r="V422" s="77">
        <v>306</v>
      </c>
      <c r="W422" s="81" t="s">
        <v>700</v>
      </c>
      <c r="X422" s="83" t="str">
        <f>HYPERLINK("https://bit.ly/3Z2OFCA")</f>
        <v>https://bit.ly/3Z2OFCA</v>
      </c>
      <c r="Y422" s="77" t="s">
        <v>740</v>
      </c>
      <c r="Z422" s="77" t="s">
        <v>784</v>
      </c>
      <c r="AA422" s="77"/>
      <c r="AB422" s="77"/>
      <c r="AC422" s="81" t="s">
        <v>853</v>
      </c>
      <c r="AD422" s="77" t="s">
        <v>859</v>
      </c>
      <c r="AE422" s="83" t="str">
        <f>HYPERLINK("https://twitter.com/smr_foundation/status/1696729921341853809")</f>
        <v>https://twitter.com/smr_foundation/status/1696729921341853809</v>
      </c>
      <c r="AF422" s="79">
        <v>45168.1540625</v>
      </c>
      <c r="AG422" s="85">
        <v>45168</v>
      </c>
      <c r="AH422" s="81" t="s">
        <v>921</v>
      </c>
      <c r="AI422" s="77" t="b">
        <v>0</v>
      </c>
      <c r="AJ422" s="77"/>
      <c r="AK422" s="77"/>
      <c r="AL422" s="77"/>
      <c r="AM422" s="77"/>
      <c r="AN422" s="77"/>
      <c r="AO422" s="77"/>
      <c r="AP422" s="77"/>
      <c r="AQ422" s="77"/>
      <c r="AR422" s="77"/>
      <c r="AS422" s="77"/>
      <c r="AT422" s="77"/>
      <c r="AU422" s="77"/>
      <c r="AV422" s="83" t="str">
        <f>HYPERLINK("https://pbs.twimg.com/profile_images/849133030237061120/6hUrNP0a_normal.jpg")</f>
        <v>https://pbs.twimg.com/profile_images/849133030237061120/6hUrNP0a_normal.jpg</v>
      </c>
      <c r="AW422" s="81" t="s">
        <v>1076</v>
      </c>
      <c r="AX422" s="81" t="s">
        <v>1076</v>
      </c>
      <c r="AY422" s="77"/>
      <c r="AZ422" s="81" t="s">
        <v>1190</v>
      </c>
      <c r="BA422" s="81" t="s">
        <v>1190</v>
      </c>
      <c r="BB422" s="81" t="s">
        <v>1190</v>
      </c>
      <c r="BC422" s="81" t="s">
        <v>1076</v>
      </c>
      <c r="BD422" s="77">
        <v>151934168</v>
      </c>
      <c r="BE422" s="77"/>
      <c r="BF422" s="77"/>
      <c r="BG422" s="77"/>
      <c r="BH422" s="77"/>
      <c r="BI422" s="77"/>
      <c r="BJ422">
        <v>1</v>
      </c>
      <c r="BK422" s="76" t="str">
        <f>REPLACE(INDEX(GroupVertices[Group],MATCH(Edges[[#This Row],[Vertex 1]],GroupVertices[Vertex],0)),1,1,"")</f>
        <v>3</v>
      </c>
      <c r="BL422" s="76" t="str">
        <f>REPLACE(INDEX(GroupVertices[Group],MATCH(Edges[[#This Row],[Vertex 2]],GroupVertices[Vertex],0)),1,1,"")</f>
        <v>2</v>
      </c>
      <c r="BM422" s="45"/>
      <c r="BN422" s="46"/>
      <c r="BO422" s="45"/>
      <c r="BP422" s="46"/>
      <c r="BQ422" s="45"/>
      <c r="BR422" s="46"/>
      <c r="BS422" s="45"/>
      <c r="BT422" s="46"/>
      <c r="BU422" s="45"/>
    </row>
    <row r="423" spans="1:73" ht="15">
      <c r="A423" s="61" t="s">
        <v>229</v>
      </c>
      <c r="B423" s="61" t="s">
        <v>238</v>
      </c>
      <c r="C423" s="62" t="s">
        <v>11696</v>
      </c>
      <c r="D423" s="63">
        <v>8.6</v>
      </c>
      <c r="E423" s="64" t="s">
        <v>136</v>
      </c>
      <c r="F423" s="65">
        <v>14.399999999999999</v>
      </c>
      <c r="G423" s="62"/>
      <c r="H423" s="66"/>
      <c r="I423" s="67"/>
      <c r="J423" s="67"/>
      <c r="K423" s="31" t="s">
        <v>65</v>
      </c>
      <c r="L423" s="75">
        <v>423</v>
      </c>
      <c r="M423" s="75"/>
      <c r="N423" s="69"/>
      <c r="O423" s="77" t="s">
        <v>543</v>
      </c>
      <c r="P423" s="79">
        <v>45161.32444444444</v>
      </c>
      <c r="Q423" s="77" t="s">
        <v>595</v>
      </c>
      <c r="R423" s="77">
        <v>1</v>
      </c>
      <c r="S423" s="77">
        <v>1</v>
      </c>
      <c r="T423" s="77">
        <v>1</v>
      </c>
      <c r="U423" s="77">
        <v>0</v>
      </c>
      <c r="V423" s="77">
        <v>98</v>
      </c>
      <c r="W423" s="81" t="s">
        <v>701</v>
      </c>
      <c r="X423" s="77"/>
      <c r="Y423" s="77"/>
      <c r="Z423" s="77" t="s">
        <v>785</v>
      </c>
      <c r="AA423" s="77"/>
      <c r="AB423" s="77"/>
      <c r="AC423" s="81" t="s">
        <v>853</v>
      </c>
      <c r="AD423" s="77" t="s">
        <v>860</v>
      </c>
      <c r="AE423" s="83" t="str">
        <f>HYPERLINK("https://twitter.com/mihkal/status/1694254950790918501")</f>
        <v>https://twitter.com/mihkal/status/1694254950790918501</v>
      </c>
      <c r="AF423" s="79">
        <v>45161.32444444444</v>
      </c>
      <c r="AG423" s="85">
        <v>45161</v>
      </c>
      <c r="AH423" s="81" t="s">
        <v>923</v>
      </c>
      <c r="AI423" s="77"/>
      <c r="AJ423" s="77"/>
      <c r="AK423" s="77"/>
      <c r="AL423" s="77"/>
      <c r="AM423" s="77"/>
      <c r="AN423" s="77"/>
      <c r="AO423" s="77"/>
      <c r="AP423" s="77"/>
      <c r="AQ423" s="77"/>
      <c r="AR423" s="77"/>
      <c r="AS423" s="77"/>
      <c r="AT423" s="77"/>
      <c r="AU423" s="77"/>
      <c r="AV423" s="83" t="str">
        <f>HYPERLINK("https://pbs.twimg.com/profile_images/1663227887837757440/XOjtFF4W_normal.jpg")</f>
        <v>https://pbs.twimg.com/profile_images/1663227887837757440/XOjtFF4W_normal.jpg</v>
      </c>
      <c r="AW423" s="81" t="s">
        <v>1078</v>
      </c>
      <c r="AX423" s="81" t="s">
        <v>1158</v>
      </c>
      <c r="AY423" s="81" t="s">
        <v>1180</v>
      </c>
      <c r="AZ423" s="81" t="s">
        <v>1194</v>
      </c>
      <c r="BA423" s="81" t="s">
        <v>1190</v>
      </c>
      <c r="BB423" s="81" t="s">
        <v>1190</v>
      </c>
      <c r="BC423" s="81" t="s">
        <v>1194</v>
      </c>
      <c r="BD423" s="77">
        <v>24256031</v>
      </c>
      <c r="BE423" s="77"/>
      <c r="BF423" s="77"/>
      <c r="BG423" s="77"/>
      <c r="BH423" s="77"/>
      <c r="BI423" s="77"/>
      <c r="BJ423">
        <v>5</v>
      </c>
      <c r="BK423" s="76" t="str">
        <f>REPLACE(INDEX(GroupVertices[Group],MATCH(Edges[[#This Row],[Vertex 1]],GroupVertices[Vertex],0)),1,1,"")</f>
        <v>1</v>
      </c>
      <c r="BL423" s="76" t="str">
        <f>REPLACE(INDEX(GroupVertices[Group],MATCH(Edges[[#This Row],[Vertex 2]],GroupVertices[Vertex],0)),1,1,"")</f>
        <v>3</v>
      </c>
      <c r="BM423" s="45"/>
      <c r="BN423" s="46"/>
      <c r="BO423" s="45"/>
      <c r="BP423" s="46"/>
      <c r="BQ423" s="45"/>
      <c r="BR423" s="46"/>
      <c r="BS423" s="45"/>
      <c r="BT423" s="46"/>
      <c r="BU423" s="45"/>
    </row>
    <row r="424" spans="1:73" ht="15">
      <c r="A424" s="61" t="s">
        <v>229</v>
      </c>
      <c r="B424" s="61" t="s">
        <v>238</v>
      </c>
      <c r="C424" s="62" t="s">
        <v>11696</v>
      </c>
      <c r="D424" s="63">
        <v>8.6</v>
      </c>
      <c r="E424" s="64" t="s">
        <v>136</v>
      </c>
      <c r="F424" s="65">
        <v>14.399999999999999</v>
      </c>
      <c r="G424" s="62"/>
      <c r="H424" s="66"/>
      <c r="I424" s="67"/>
      <c r="J424" s="67"/>
      <c r="K424" s="31" t="s">
        <v>65</v>
      </c>
      <c r="L424" s="75">
        <v>424</v>
      </c>
      <c r="M424" s="75"/>
      <c r="N424" s="69"/>
      <c r="O424" s="77" t="s">
        <v>543</v>
      </c>
      <c r="P424" s="79">
        <v>45161.33721064815</v>
      </c>
      <c r="Q424" s="77" t="s">
        <v>596</v>
      </c>
      <c r="R424" s="77">
        <v>0</v>
      </c>
      <c r="S424" s="77">
        <v>1</v>
      </c>
      <c r="T424" s="77">
        <v>1</v>
      </c>
      <c r="U424" s="77">
        <v>0</v>
      </c>
      <c r="V424" s="77">
        <v>39</v>
      </c>
      <c r="W424" s="81" t="s">
        <v>702</v>
      </c>
      <c r="X424" s="77"/>
      <c r="Y424" s="77"/>
      <c r="Z424" s="77" t="s">
        <v>786</v>
      </c>
      <c r="AA424" s="77"/>
      <c r="AB424" s="77"/>
      <c r="AC424" s="81" t="s">
        <v>853</v>
      </c>
      <c r="AD424" s="77" t="s">
        <v>860</v>
      </c>
      <c r="AE424" s="83" t="str">
        <f>HYPERLINK("https://twitter.com/mihkal/status/1694259577104019568")</f>
        <v>https://twitter.com/mihkal/status/1694259577104019568</v>
      </c>
      <c r="AF424" s="79">
        <v>45161.33721064815</v>
      </c>
      <c r="AG424" s="85">
        <v>45161</v>
      </c>
      <c r="AH424" s="81" t="s">
        <v>924</v>
      </c>
      <c r="AI424" s="77"/>
      <c r="AJ424" s="77"/>
      <c r="AK424" s="77"/>
      <c r="AL424" s="77"/>
      <c r="AM424" s="77"/>
      <c r="AN424" s="77"/>
      <c r="AO424" s="77"/>
      <c r="AP424" s="77"/>
      <c r="AQ424" s="77"/>
      <c r="AR424" s="77"/>
      <c r="AS424" s="77"/>
      <c r="AT424" s="77"/>
      <c r="AU424" s="77"/>
      <c r="AV424" s="83" t="str">
        <f>HYPERLINK("https://pbs.twimg.com/profile_images/1663227887837757440/XOjtFF4W_normal.jpg")</f>
        <v>https://pbs.twimg.com/profile_images/1663227887837757440/XOjtFF4W_normal.jpg</v>
      </c>
      <c r="AW424" s="81" t="s">
        <v>1079</v>
      </c>
      <c r="AX424" s="81" t="s">
        <v>1158</v>
      </c>
      <c r="AY424" s="81" t="s">
        <v>1169</v>
      </c>
      <c r="AZ424" s="81" t="s">
        <v>1078</v>
      </c>
      <c r="BA424" s="81" t="s">
        <v>1190</v>
      </c>
      <c r="BB424" s="81" t="s">
        <v>1190</v>
      </c>
      <c r="BC424" s="81" t="s">
        <v>1078</v>
      </c>
      <c r="BD424" s="77">
        <v>24256031</v>
      </c>
      <c r="BE424" s="77"/>
      <c r="BF424" s="77"/>
      <c r="BG424" s="77"/>
      <c r="BH424" s="77"/>
      <c r="BI424" s="77"/>
      <c r="BJ424">
        <v>5</v>
      </c>
      <c r="BK424" s="76" t="str">
        <f>REPLACE(INDEX(GroupVertices[Group],MATCH(Edges[[#This Row],[Vertex 1]],GroupVertices[Vertex],0)),1,1,"")</f>
        <v>1</v>
      </c>
      <c r="BL424" s="76" t="str">
        <f>REPLACE(INDEX(GroupVertices[Group],MATCH(Edges[[#This Row],[Vertex 2]],GroupVertices[Vertex],0)),1,1,"")</f>
        <v>3</v>
      </c>
      <c r="BM424" s="45"/>
      <c r="BN424" s="46"/>
      <c r="BO424" s="45"/>
      <c r="BP424" s="46"/>
      <c r="BQ424" s="45"/>
      <c r="BR424" s="46"/>
      <c r="BS424" s="45"/>
      <c r="BT424" s="46"/>
      <c r="BU424" s="45"/>
    </row>
    <row r="425" spans="1:73" ht="15">
      <c r="A425" s="61" t="s">
        <v>229</v>
      </c>
      <c r="B425" s="61" t="s">
        <v>238</v>
      </c>
      <c r="C425" s="62" t="s">
        <v>11696</v>
      </c>
      <c r="D425" s="63">
        <v>8.6</v>
      </c>
      <c r="E425" s="64" t="s">
        <v>136</v>
      </c>
      <c r="F425" s="65">
        <v>14.399999999999999</v>
      </c>
      <c r="G425" s="62"/>
      <c r="H425" s="66"/>
      <c r="I425" s="67"/>
      <c r="J425" s="67"/>
      <c r="K425" s="31" t="s">
        <v>65</v>
      </c>
      <c r="L425" s="75">
        <v>425</v>
      </c>
      <c r="M425" s="75"/>
      <c r="N425" s="69"/>
      <c r="O425" s="77" t="s">
        <v>543</v>
      </c>
      <c r="P425" s="79">
        <v>45161.33939814815</v>
      </c>
      <c r="Q425" s="77" t="s">
        <v>597</v>
      </c>
      <c r="R425" s="77">
        <v>0</v>
      </c>
      <c r="S425" s="77">
        <v>2</v>
      </c>
      <c r="T425" s="77">
        <v>0</v>
      </c>
      <c r="U425" s="77">
        <v>0</v>
      </c>
      <c r="V425" s="77">
        <v>64</v>
      </c>
      <c r="W425" s="81" t="s">
        <v>702</v>
      </c>
      <c r="X425" s="83" t="str">
        <f>HYPERLINK("https://drive.google.com/file/d/1V8VDKgqRE3Ait1LOwdKrF73c0Y2BEvse/view?usp=sharing")</f>
        <v>https://drive.google.com/file/d/1V8VDKgqRE3Ait1LOwdKrF73c0Y2BEvse/view?usp=sharing</v>
      </c>
      <c r="Y425" s="77" t="s">
        <v>739</v>
      </c>
      <c r="Z425" s="77" t="s">
        <v>787</v>
      </c>
      <c r="AA425" s="77"/>
      <c r="AB425" s="77"/>
      <c r="AC425" s="81" t="s">
        <v>853</v>
      </c>
      <c r="AD425" s="77" t="s">
        <v>860</v>
      </c>
      <c r="AE425" s="83" t="str">
        <f>HYPERLINK("https://twitter.com/mihkal/status/1694260369382903812")</f>
        <v>https://twitter.com/mihkal/status/1694260369382903812</v>
      </c>
      <c r="AF425" s="79">
        <v>45161.33939814815</v>
      </c>
      <c r="AG425" s="85">
        <v>45161</v>
      </c>
      <c r="AH425" s="81" t="s">
        <v>925</v>
      </c>
      <c r="AI425" s="77" t="b">
        <v>0</v>
      </c>
      <c r="AJ425" s="77"/>
      <c r="AK425" s="77"/>
      <c r="AL425" s="77"/>
      <c r="AM425" s="77"/>
      <c r="AN425" s="77"/>
      <c r="AO425" s="77"/>
      <c r="AP425" s="77"/>
      <c r="AQ425" s="77"/>
      <c r="AR425" s="77"/>
      <c r="AS425" s="77"/>
      <c r="AT425" s="77"/>
      <c r="AU425" s="77"/>
      <c r="AV425" s="83" t="str">
        <f>HYPERLINK("https://pbs.twimg.com/profile_images/1663227887837757440/XOjtFF4W_normal.jpg")</f>
        <v>https://pbs.twimg.com/profile_images/1663227887837757440/XOjtFF4W_normal.jpg</v>
      </c>
      <c r="AW425" s="81" t="s">
        <v>1080</v>
      </c>
      <c r="AX425" s="81" t="s">
        <v>1158</v>
      </c>
      <c r="AY425" s="81" t="s">
        <v>1169</v>
      </c>
      <c r="AZ425" s="81" t="s">
        <v>1081</v>
      </c>
      <c r="BA425" s="81" t="s">
        <v>1190</v>
      </c>
      <c r="BB425" s="81" t="s">
        <v>1190</v>
      </c>
      <c r="BC425" s="81" t="s">
        <v>1081</v>
      </c>
      <c r="BD425" s="77">
        <v>24256031</v>
      </c>
      <c r="BE425" s="77"/>
      <c r="BF425" s="77"/>
      <c r="BG425" s="77"/>
      <c r="BH425" s="77"/>
      <c r="BI425" s="77"/>
      <c r="BJ425">
        <v>5</v>
      </c>
      <c r="BK425" s="76" t="str">
        <f>REPLACE(INDEX(GroupVertices[Group],MATCH(Edges[[#This Row],[Vertex 1]],GroupVertices[Vertex],0)),1,1,"")</f>
        <v>1</v>
      </c>
      <c r="BL425" s="76" t="str">
        <f>REPLACE(INDEX(GroupVertices[Group],MATCH(Edges[[#This Row],[Vertex 2]],GroupVertices[Vertex],0)),1,1,"")</f>
        <v>3</v>
      </c>
      <c r="BM425" s="45"/>
      <c r="BN425" s="46"/>
      <c r="BO425" s="45"/>
      <c r="BP425" s="46"/>
      <c r="BQ425" s="45"/>
      <c r="BR425" s="46"/>
      <c r="BS425" s="45"/>
      <c r="BT425" s="46"/>
      <c r="BU425" s="45"/>
    </row>
    <row r="426" spans="1:73" ht="15">
      <c r="A426" s="61" t="s">
        <v>229</v>
      </c>
      <c r="B426" s="61" t="s">
        <v>238</v>
      </c>
      <c r="C426" s="62" t="s">
        <v>11696</v>
      </c>
      <c r="D426" s="63">
        <v>8.6</v>
      </c>
      <c r="E426" s="64" t="s">
        <v>136</v>
      </c>
      <c r="F426" s="65">
        <v>14.399999999999999</v>
      </c>
      <c r="G426" s="62"/>
      <c r="H426" s="66"/>
      <c r="I426" s="67"/>
      <c r="J426" s="67"/>
      <c r="K426" s="31" t="s">
        <v>65</v>
      </c>
      <c r="L426" s="75">
        <v>426</v>
      </c>
      <c r="M426" s="75"/>
      <c r="N426" s="69"/>
      <c r="O426" s="77" t="s">
        <v>543</v>
      </c>
      <c r="P426" s="79">
        <v>45161.33829861111</v>
      </c>
      <c r="Q426" s="77" t="s">
        <v>598</v>
      </c>
      <c r="R426" s="77">
        <v>1</v>
      </c>
      <c r="S426" s="77">
        <v>4</v>
      </c>
      <c r="T426" s="77">
        <v>1</v>
      </c>
      <c r="U426" s="77">
        <v>1</v>
      </c>
      <c r="V426" s="77">
        <v>186</v>
      </c>
      <c r="W426" s="81" t="s">
        <v>703</v>
      </c>
      <c r="X426" s="83" t="str">
        <f>HYPERLINK("https://nodexlgraphgallery.org/Pages/Graph.aspx?graphID=292277")</f>
        <v>https://nodexlgraphgallery.org/Pages/Graph.aspx?graphID=292277</v>
      </c>
      <c r="Y426" s="77" t="s">
        <v>732</v>
      </c>
      <c r="Z426" s="77" t="s">
        <v>788</v>
      </c>
      <c r="AA426" s="77"/>
      <c r="AB426" s="77"/>
      <c r="AC426" s="81" t="s">
        <v>853</v>
      </c>
      <c r="AD426" s="77" t="s">
        <v>860</v>
      </c>
      <c r="AE426" s="83" t="str">
        <f>HYPERLINK("https://twitter.com/mihkal/status/1694259968608735298")</f>
        <v>https://twitter.com/mihkal/status/1694259968608735298</v>
      </c>
      <c r="AF426" s="79">
        <v>45161.33829861111</v>
      </c>
      <c r="AG426" s="85">
        <v>45161</v>
      </c>
      <c r="AH426" s="81" t="s">
        <v>926</v>
      </c>
      <c r="AI426" s="77" t="b">
        <v>0</v>
      </c>
      <c r="AJ426" s="77"/>
      <c r="AK426" s="77"/>
      <c r="AL426" s="77"/>
      <c r="AM426" s="77"/>
      <c r="AN426" s="77"/>
      <c r="AO426" s="77"/>
      <c r="AP426" s="77"/>
      <c r="AQ426" s="77"/>
      <c r="AR426" s="77"/>
      <c r="AS426" s="77"/>
      <c r="AT426" s="77"/>
      <c r="AU426" s="77"/>
      <c r="AV426" s="83" t="str">
        <f>HYPERLINK("https://pbs.twimg.com/profile_images/1663227887837757440/XOjtFF4W_normal.jpg")</f>
        <v>https://pbs.twimg.com/profile_images/1663227887837757440/XOjtFF4W_normal.jpg</v>
      </c>
      <c r="AW426" s="81" t="s">
        <v>1081</v>
      </c>
      <c r="AX426" s="81" t="s">
        <v>1158</v>
      </c>
      <c r="AY426" s="81" t="s">
        <v>1169</v>
      </c>
      <c r="AZ426" s="81" t="s">
        <v>1079</v>
      </c>
      <c r="BA426" s="81" t="s">
        <v>1190</v>
      </c>
      <c r="BB426" s="81" t="s">
        <v>1190</v>
      </c>
      <c r="BC426" s="81" t="s">
        <v>1079</v>
      </c>
      <c r="BD426" s="77">
        <v>24256031</v>
      </c>
      <c r="BE426" s="77"/>
      <c r="BF426" s="77"/>
      <c r="BG426" s="77"/>
      <c r="BH426" s="77"/>
      <c r="BI426" s="77"/>
      <c r="BJ426">
        <v>5</v>
      </c>
      <c r="BK426" s="76" t="str">
        <f>REPLACE(INDEX(GroupVertices[Group],MATCH(Edges[[#This Row],[Vertex 1]],GroupVertices[Vertex],0)),1,1,"")</f>
        <v>1</v>
      </c>
      <c r="BL426" s="76" t="str">
        <f>REPLACE(INDEX(GroupVertices[Group],MATCH(Edges[[#This Row],[Vertex 2]],GroupVertices[Vertex],0)),1,1,"")</f>
        <v>3</v>
      </c>
      <c r="BM426" s="45"/>
      <c r="BN426" s="46"/>
      <c r="BO426" s="45"/>
      <c r="BP426" s="46"/>
      <c r="BQ426" s="45"/>
      <c r="BR426" s="46"/>
      <c r="BS426" s="45"/>
      <c r="BT426" s="46"/>
      <c r="BU426" s="45"/>
    </row>
    <row r="427" spans="1:73" ht="15">
      <c r="A427" s="61" t="s">
        <v>229</v>
      </c>
      <c r="B427" s="61" t="s">
        <v>238</v>
      </c>
      <c r="C427" s="62" t="s">
        <v>11696</v>
      </c>
      <c r="D427" s="63">
        <v>8.6</v>
      </c>
      <c r="E427" s="64" t="s">
        <v>136</v>
      </c>
      <c r="F427" s="65">
        <v>14.399999999999999</v>
      </c>
      <c r="G427" s="62"/>
      <c r="H427" s="66"/>
      <c r="I427" s="67"/>
      <c r="J427" s="67"/>
      <c r="K427" s="31" t="s">
        <v>65</v>
      </c>
      <c r="L427" s="75">
        <v>427</v>
      </c>
      <c r="M427" s="75"/>
      <c r="N427" s="69"/>
      <c r="O427" s="77" t="s">
        <v>543</v>
      </c>
      <c r="P427" s="79">
        <v>45161.33829861111</v>
      </c>
      <c r="Q427" s="77" t="s">
        <v>598</v>
      </c>
      <c r="R427" s="77">
        <v>1</v>
      </c>
      <c r="S427" s="77">
        <v>4</v>
      </c>
      <c r="T427" s="77">
        <v>1</v>
      </c>
      <c r="U427" s="77">
        <v>1</v>
      </c>
      <c r="V427" s="77">
        <v>186</v>
      </c>
      <c r="W427" s="81" t="s">
        <v>703</v>
      </c>
      <c r="X427" s="83" t="str">
        <f>HYPERLINK("https://nodexlgraphgallery.org/Pages/Graph.aspx?graphID=292277")</f>
        <v>https://nodexlgraphgallery.org/Pages/Graph.aspx?graphID=292277</v>
      </c>
      <c r="Y427" s="77" t="s">
        <v>732</v>
      </c>
      <c r="Z427" s="77" t="s">
        <v>788</v>
      </c>
      <c r="AA427" s="77"/>
      <c r="AB427" s="77"/>
      <c r="AC427" s="81" t="s">
        <v>853</v>
      </c>
      <c r="AD427" s="77" t="s">
        <v>860</v>
      </c>
      <c r="AE427" s="83" t="str">
        <f>HYPERLINK("https://twitter.com/mihkal/status/1694259968608735298")</f>
        <v>https://twitter.com/mihkal/status/1694259968608735298</v>
      </c>
      <c r="AF427" s="79">
        <v>45161.33829861111</v>
      </c>
      <c r="AG427" s="85">
        <v>45161</v>
      </c>
      <c r="AH427" s="81" t="s">
        <v>926</v>
      </c>
      <c r="AI427" s="77" t="b">
        <v>0</v>
      </c>
      <c r="AJ427" s="77"/>
      <c r="AK427" s="77"/>
      <c r="AL427" s="77"/>
      <c r="AM427" s="77"/>
      <c r="AN427" s="77"/>
      <c r="AO427" s="77"/>
      <c r="AP427" s="77"/>
      <c r="AQ427" s="77"/>
      <c r="AR427" s="77"/>
      <c r="AS427" s="77"/>
      <c r="AT427" s="77"/>
      <c r="AU427" s="77"/>
      <c r="AV427" s="83" t="str">
        <f>HYPERLINK("https://pbs.twimg.com/profile_images/1663227887837757440/XOjtFF4W_normal.jpg")</f>
        <v>https://pbs.twimg.com/profile_images/1663227887837757440/XOjtFF4W_normal.jpg</v>
      </c>
      <c r="AW427" s="81" t="s">
        <v>1081</v>
      </c>
      <c r="AX427" s="81" t="s">
        <v>1158</v>
      </c>
      <c r="AY427" s="81" t="s">
        <v>1169</v>
      </c>
      <c r="AZ427" s="81" t="s">
        <v>1079</v>
      </c>
      <c r="BA427" s="81" t="s">
        <v>1190</v>
      </c>
      <c r="BB427" s="81" t="s">
        <v>1190</v>
      </c>
      <c r="BC427" s="81" t="s">
        <v>1079</v>
      </c>
      <c r="BD427" s="77">
        <v>24256031</v>
      </c>
      <c r="BE427" s="77"/>
      <c r="BF427" s="77"/>
      <c r="BG427" s="77"/>
      <c r="BH427" s="77"/>
      <c r="BI427" s="77"/>
      <c r="BJ427">
        <v>5</v>
      </c>
      <c r="BK427" s="76" t="str">
        <f>REPLACE(INDEX(GroupVertices[Group],MATCH(Edges[[#This Row],[Vertex 1]],GroupVertices[Vertex],0)),1,1,"")</f>
        <v>1</v>
      </c>
      <c r="BL427" s="76" t="str">
        <f>REPLACE(INDEX(GroupVertices[Group],MATCH(Edges[[#This Row],[Vertex 2]],GroupVertices[Vertex],0)),1,1,"")</f>
        <v>3</v>
      </c>
      <c r="BM427" s="45"/>
      <c r="BN427" s="46"/>
      <c r="BO427" s="45"/>
      <c r="BP427" s="46"/>
      <c r="BQ427" s="45"/>
      <c r="BR427" s="46"/>
      <c r="BS427" s="45"/>
      <c r="BT427" s="46"/>
      <c r="BU427" s="45"/>
    </row>
    <row r="428" spans="1:73" ht="15">
      <c r="A428" s="61" t="s">
        <v>238</v>
      </c>
      <c r="B428" s="61" t="s">
        <v>238</v>
      </c>
      <c r="C428" s="62" t="s">
        <v>11693</v>
      </c>
      <c r="D428" s="63">
        <v>4.4</v>
      </c>
      <c r="E428" s="64" t="s">
        <v>132</v>
      </c>
      <c r="F428" s="65">
        <v>27.6</v>
      </c>
      <c r="G428" s="62"/>
      <c r="H428" s="66"/>
      <c r="I428" s="67"/>
      <c r="J428" s="67"/>
      <c r="K428" s="31" t="s">
        <v>65</v>
      </c>
      <c r="L428" s="75">
        <v>428</v>
      </c>
      <c r="M428" s="75"/>
      <c r="N428" s="69"/>
      <c r="O428" s="77" t="s">
        <v>540</v>
      </c>
      <c r="P428" s="79">
        <v>45161.14496527778</v>
      </c>
      <c r="Q428" s="77" t="s">
        <v>599</v>
      </c>
      <c r="R428" s="77">
        <v>1</v>
      </c>
      <c r="S428" s="77">
        <v>3</v>
      </c>
      <c r="T428" s="77">
        <v>0</v>
      </c>
      <c r="U428" s="77">
        <v>1</v>
      </c>
      <c r="V428" s="77">
        <v>428</v>
      </c>
      <c r="W428" s="77"/>
      <c r="X428" s="83" t="str">
        <f>HYPERLINK("https://app.powerbi.com/view?r=eyJrIjoiYWY1ODIyMTQtMmZkOC00N2ExLWE1MWItZTY0YTc1ODdjMmRkIiwidCI6IjI5ZDRjMTFjLTA1N2MtNDg3Zi04ZmRhLWU4NmQ1OTkzOWU2NCIsImMiOjZ9")</f>
        <v>https://app.powerbi.com/view?r=eyJrIjoiYWY1ODIyMTQtMmZkOC00N2ExLWE1MWItZTY0YTc1ODdjMmRkIiwidCI6IjI5ZDRjMTFjLTA1N2MtNDg3Zi04ZmRhLWU4NmQ1OTkzOWU2NCIsImMiOjZ9</v>
      </c>
      <c r="Y428" s="77" t="s">
        <v>744</v>
      </c>
      <c r="Z428" s="77"/>
      <c r="AA428" s="77" t="s">
        <v>833</v>
      </c>
      <c r="AB428" s="77" t="s">
        <v>851</v>
      </c>
      <c r="AC428" s="81" t="s">
        <v>853</v>
      </c>
      <c r="AD428" s="77" t="s">
        <v>859</v>
      </c>
      <c r="AE428" s="83" t="str">
        <f>HYPERLINK("https://twitter.com/smr_foundation/status/1694189910243291318")</f>
        <v>https://twitter.com/smr_foundation/status/1694189910243291318</v>
      </c>
      <c r="AF428" s="79">
        <v>45161.14496527778</v>
      </c>
      <c r="AG428" s="85">
        <v>45161</v>
      </c>
      <c r="AH428" s="81" t="s">
        <v>927</v>
      </c>
      <c r="AI428" s="77" t="b">
        <v>0</v>
      </c>
      <c r="AJ428" s="77"/>
      <c r="AK428" s="77"/>
      <c r="AL428" s="77"/>
      <c r="AM428" s="77"/>
      <c r="AN428" s="77"/>
      <c r="AO428" s="77"/>
      <c r="AP428" s="77"/>
      <c r="AQ428" s="77" t="s">
        <v>1012</v>
      </c>
      <c r="AR428" s="77"/>
      <c r="AS428" s="77"/>
      <c r="AT428" s="77"/>
      <c r="AU428" s="77"/>
      <c r="AV428" s="83" t="str">
        <f>HYPERLINK("https://pbs.twimg.com/tweet_video_thumb/F4L4pmga8AAtS18.jpg")</f>
        <v>https://pbs.twimg.com/tweet_video_thumb/F4L4pmga8AAtS18.jpg</v>
      </c>
      <c r="AW428" s="81" t="s">
        <v>1082</v>
      </c>
      <c r="AX428" s="81" t="s">
        <v>1072</v>
      </c>
      <c r="AY428" s="81" t="s">
        <v>1179</v>
      </c>
      <c r="AZ428" s="81" t="s">
        <v>1072</v>
      </c>
      <c r="BA428" s="81" t="s">
        <v>1190</v>
      </c>
      <c r="BB428" s="81" t="s">
        <v>1190</v>
      </c>
      <c r="BC428" s="81" t="s">
        <v>1072</v>
      </c>
      <c r="BD428" s="77">
        <v>151934168</v>
      </c>
      <c r="BE428" s="77"/>
      <c r="BF428" s="77"/>
      <c r="BG428" s="77"/>
      <c r="BH428" s="77"/>
      <c r="BI428" s="77"/>
      <c r="BJ428">
        <v>2</v>
      </c>
      <c r="BK428" s="76" t="str">
        <f>REPLACE(INDEX(GroupVertices[Group],MATCH(Edges[[#This Row],[Vertex 1]],GroupVertices[Vertex],0)),1,1,"")</f>
        <v>3</v>
      </c>
      <c r="BL428" s="76" t="str">
        <f>REPLACE(INDEX(GroupVertices[Group],MATCH(Edges[[#This Row],[Vertex 2]],GroupVertices[Vertex],0)),1,1,"")</f>
        <v>3</v>
      </c>
      <c r="BM428" s="45">
        <v>0</v>
      </c>
      <c r="BN428" s="46">
        <v>0</v>
      </c>
      <c r="BO428" s="45">
        <v>0</v>
      </c>
      <c r="BP428" s="46">
        <v>0</v>
      </c>
      <c r="BQ428" s="45">
        <v>0</v>
      </c>
      <c r="BR428" s="46">
        <v>0</v>
      </c>
      <c r="BS428" s="45">
        <v>4</v>
      </c>
      <c r="BT428" s="46">
        <v>80</v>
      </c>
      <c r="BU428" s="45">
        <v>5</v>
      </c>
    </row>
    <row r="429" spans="1:73" ht="15">
      <c r="A429" s="61" t="s">
        <v>238</v>
      </c>
      <c r="B429" s="61" t="s">
        <v>259</v>
      </c>
      <c r="C429" s="62" t="s">
        <v>11692</v>
      </c>
      <c r="D429" s="63">
        <v>3</v>
      </c>
      <c r="E429" s="64" t="s">
        <v>132</v>
      </c>
      <c r="F429" s="65">
        <v>32</v>
      </c>
      <c r="G429" s="62"/>
      <c r="H429" s="66"/>
      <c r="I429" s="67"/>
      <c r="J429" s="67"/>
      <c r="K429" s="31" t="s">
        <v>65</v>
      </c>
      <c r="L429" s="75">
        <v>429</v>
      </c>
      <c r="M429" s="75"/>
      <c r="N429" s="69"/>
      <c r="O429" s="77" t="s">
        <v>543</v>
      </c>
      <c r="P429" s="79">
        <v>45168.15509259259</v>
      </c>
      <c r="Q429" s="77" t="s">
        <v>592</v>
      </c>
      <c r="R429" s="77">
        <v>2</v>
      </c>
      <c r="S429" s="77">
        <v>3</v>
      </c>
      <c r="T429" s="77">
        <v>0</v>
      </c>
      <c r="U429" s="77">
        <v>1</v>
      </c>
      <c r="V429" s="77">
        <v>305</v>
      </c>
      <c r="W429" s="81" t="s">
        <v>699</v>
      </c>
      <c r="X429" s="83" t="str">
        <f>HYPERLINK("https://bit.ly/3Z2OFCA")</f>
        <v>https://bit.ly/3Z2OFCA</v>
      </c>
      <c r="Y429" s="77" t="s">
        <v>740</v>
      </c>
      <c r="Z429" s="77" t="s">
        <v>784</v>
      </c>
      <c r="AA429" s="77" t="s">
        <v>832</v>
      </c>
      <c r="AB429" s="77" t="s">
        <v>848</v>
      </c>
      <c r="AC429" s="81" t="s">
        <v>853</v>
      </c>
      <c r="AD429" s="77" t="s">
        <v>866</v>
      </c>
      <c r="AE429" s="83" t="str">
        <f>HYPERLINK("https://twitter.com/smr_foundation/status/1696730293250736538")</f>
        <v>https://twitter.com/smr_foundation/status/1696730293250736538</v>
      </c>
      <c r="AF429" s="79">
        <v>45168.15509259259</v>
      </c>
      <c r="AG429" s="85">
        <v>45168</v>
      </c>
      <c r="AH429" s="81" t="s">
        <v>920</v>
      </c>
      <c r="AI429" s="77" t="b">
        <v>0</v>
      </c>
      <c r="AJ429" s="77"/>
      <c r="AK429" s="77"/>
      <c r="AL429" s="77"/>
      <c r="AM429" s="77"/>
      <c r="AN429" s="77"/>
      <c r="AO429" s="77"/>
      <c r="AP429" s="77"/>
      <c r="AQ429" s="77" t="s">
        <v>1011</v>
      </c>
      <c r="AR429" s="77"/>
      <c r="AS429" s="77"/>
      <c r="AT429" s="77"/>
      <c r="AU429" s="77"/>
      <c r="AV429" s="83" t="str">
        <f>HYPERLINK("https://pbs.twimg.com/media/F4v_IaLagAAQ39G.png")</f>
        <v>https://pbs.twimg.com/media/F4v_IaLagAAQ39G.png</v>
      </c>
      <c r="AW429" s="81" t="s">
        <v>1075</v>
      </c>
      <c r="AX429" s="81" t="s">
        <v>1076</v>
      </c>
      <c r="AY429" s="81" t="s">
        <v>1179</v>
      </c>
      <c r="AZ429" s="81" t="s">
        <v>1076</v>
      </c>
      <c r="BA429" s="81" t="s">
        <v>1190</v>
      </c>
      <c r="BB429" s="81" t="s">
        <v>1190</v>
      </c>
      <c r="BC429" s="81" t="s">
        <v>1076</v>
      </c>
      <c r="BD429" s="77">
        <v>151934168</v>
      </c>
      <c r="BE429" s="77"/>
      <c r="BF429" s="77"/>
      <c r="BG429" s="77"/>
      <c r="BH429" s="77"/>
      <c r="BI429" s="77"/>
      <c r="BJ429">
        <v>1</v>
      </c>
      <c r="BK429" s="76" t="str">
        <f>REPLACE(INDEX(GroupVertices[Group],MATCH(Edges[[#This Row],[Vertex 1]],GroupVertices[Vertex],0)),1,1,"")</f>
        <v>3</v>
      </c>
      <c r="BL429" s="76" t="str">
        <f>REPLACE(INDEX(GroupVertices[Group],MATCH(Edges[[#This Row],[Vertex 2]],GroupVertices[Vertex],0)),1,1,"")</f>
        <v>8</v>
      </c>
      <c r="BM429" s="45">
        <v>0</v>
      </c>
      <c r="BN429" s="46">
        <v>0</v>
      </c>
      <c r="BO429" s="45">
        <v>0</v>
      </c>
      <c r="BP429" s="46">
        <v>0</v>
      </c>
      <c r="BQ429" s="45">
        <v>0</v>
      </c>
      <c r="BR429" s="46">
        <v>0</v>
      </c>
      <c r="BS429" s="45">
        <v>12</v>
      </c>
      <c r="BT429" s="46">
        <v>92.3076923076923</v>
      </c>
      <c r="BU429" s="45">
        <v>13</v>
      </c>
    </row>
    <row r="430" spans="1:73" ht="15">
      <c r="A430" s="61" t="s">
        <v>238</v>
      </c>
      <c r="B430" s="61" t="s">
        <v>238</v>
      </c>
      <c r="C430" s="62" t="s">
        <v>11693</v>
      </c>
      <c r="D430" s="63">
        <v>4.4</v>
      </c>
      <c r="E430" s="64" t="s">
        <v>132</v>
      </c>
      <c r="F430" s="65">
        <v>27.6</v>
      </c>
      <c r="G430" s="62"/>
      <c r="H430" s="66"/>
      <c r="I430" s="67"/>
      <c r="J430" s="67"/>
      <c r="K430" s="31" t="s">
        <v>65</v>
      </c>
      <c r="L430" s="75">
        <v>430</v>
      </c>
      <c r="M430" s="75"/>
      <c r="N430" s="69"/>
      <c r="O430" s="77" t="s">
        <v>540</v>
      </c>
      <c r="P430" s="79">
        <v>45168.15509259259</v>
      </c>
      <c r="Q430" s="77" t="s">
        <v>592</v>
      </c>
      <c r="R430" s="77">
        <v>2</v>
      </c>
      <c r="S430" s="77">
        <v>3</v>
      </c>
      <c r="T430" s="77">
        <v>0</v>
      </c>
      <c r="U430" s="77">
        <v>1</v>
      </c>
      <c r="V430" s="77">
        <v>305</v>
      </c>
      <c r="W430" s="81" t="s">
        <v>699</v>
      </c>
      <c r="X430" s="83" t="str">
        <f>HYPERLINK("https://bit.ly/3Z2OFCA")</f>
        <v>https://bit.ly/3Z2OFCA</v>
      </c>
      <c r="Y430" s="77" t="s">
        <v>740</v>
      </c>
      <c r="Z430" s="77" t="s">
        <v>784</v>
      </c>
      <c r="AA430" s="77" t="s">
        <v>832</v>
      </c>
      <c r="AB430" s="77" t="s">
        <v>848</v>
      </c>
      <c r="AC430" s="81" t="s">
        <v>853</v>
      </c>
      <c r="AD430" s="77" t="s">
        <v>866</v>
      </c>
      <c r="AE430" s="83" t="str">
        <f>HYPERLINK("https://twitter.com/smr_foundation/status/1696730293250736538")</f>
        <v>https://twitter.com/smr_foundation/status/1696730293250736538</v>
      </c>
      <c r="AF430" s="79">
        <v>45168.15509259259</v>
      </c>
      <c r="AG430" s="85">
        <v>45168</v>
      </c>
      <c r="AH430" s="81" t="s">
        <v>920</v>
      </c>
      <c r="AI430" s="77" t="b">
        <v>0</v>
      </c>
      <c r="AJ430" s="77"/>
      <c r="AK430" s="77"/>
      <c r="AL430" s="77"/>
      <c r="AM430" s="77"/>
      <c r="AN430" s="77"/>
      <c r="AO430" s="77"/>
      <c r="AP430" s="77"/>
      <c r="AQ430" s="77" t="s">
        <v>1011</v>
      </c>
      <c r="AR430" s="77"/>
      <c r="AS430" s="77"/>
      <c r="AT430" s="77"/>
      <c r="AU430" s="77"/>
      <c r="AV430" s="83" t="str">
        <f>HYPERLINK("https://pbs.twimg.com/media/F4v_IaLagAAQ39G.png")</f>
        <v>https://pbs.twimg.com/media/F4v_IaLagAAQ39G.png</v>
      </c>
      <c r="AW430" s="81" t="s">
        <v>1075</v>
      </c>
      <c r="AX430" s="81" t="s">
        <v>1076</v>
      </c>
      <c r="AY430" s="81" t="s">
        <v>1179</v>
      </c>
      <c r="AZ430" s="81" t="s">
        <v>1076</v>
      </c>
      <c r="BA430" s="81" t="s">
        <v>1190</v>
      </c>
      <c r="BB430" s="81" t="s">
        <v>1190</v>
      </c>
      <c r="BC430" s="81" t="s">
        <v>1076</v>
      </c>
      <c r="BD430" s="77">
        <v>151934168</v>
      </c>
      <c r="BE430" s="77"/>
      <c r="BF430" s="77"/>
      <c r="BG430" s="77"/>
      <c r="BH430" s="77"/>
      <c r="BI430" s="77"/>
      <c r="BJ430">
        <v>2</v>
      </c>
      <c r="BK430" s="76" t="str">
        <f>REPLACE(INDEX(GroupVertices[Group],MATCH(Edges[[#This Row],[Vertex 1]],GroupVertices[Vertex],0)),1,1,"")</f>
        <v>3</v>
      </c>
      <c r="BL430" s="76" t="str">
        <f>REPLACE(INDEX(GroupVertices[Group],MATCH(Edges[[#This Row],[Vertex 2]],GroupVertices[Vertex],0)),1,1,"")</f>
        <v>3</v>
      </c>
      <c r="BM430" s="45"/>
      <c r="BN430" s="46"/>
      <c r="BO430" s="45"/>
      <c r="BP430" s="46"/>
      <c r="BQ430" s="45"/>
      <c r="BR430" s="46"/>
      <c r="BS430" s="45"/>
      <c r="BT430" s="46"/>
      <c r="BU430" s="45"/>
    </row>
    <row r="431" spans="1:73" ht="15">
      <c r="A431" s="61" t="s">
        <v>238</v>
      </c>
      <c r="B431" s="61" t="s">
        <v>259</v>
      </c>
      <c r="C431" s="62" t="s">
        <v>11692</v>
      </c>
      <c r="D431" s="63">
        <v>3</v>
      </c>
      <c r="E431" s="64" t="s">
        <v>132</v>
      </c>
      <c r="F431" s="65">
        <v>32</v>
      </c>
      <c r="G431" s="62"/>
      <c r="H431" s="66"/>
      <c r="I431" s="67"/>
      <c r="J431" s="67"/>
      <c r="K431" s="31" t="s">
        <v>65</v>
      </c>
      <c r="L431" s="75">
        <v>431</v>
      </c>
      <c r="M431" s="75"/>
      <c r="N431" s="69"/>
      <c r="O431" s="77" t="s">
        <v>539</v>
      </c>
      <c r="P431" s="79">
        <v>45168.1540625</v>
      </c>
      <c r="Q431" s="77" t="s">
        <v>593</v>
      </c>
      <c r="R431" s="77">
        <v>3</v>
      </c>
      <c r="S431" s="77">
        <v>7</v>
      </c>
      <c r="T431" s="77">
        <v>2</v>
      </c>
      <c r="U431" s="77">
        <v>1</v>
      </c>
      <c r="V431" s="77">
        <v>306</v>
      </c>
      <c r="W431" s="81" t="s">
        <v>700</v>
      </c>
      <c r="X431" s="83" t="str">
        <f>HYPERLINK("https://bit.ly/3Z2OFCA")</f>
        <v>https://bit.ly/3Z2OFCA</v>
      </c>
      <c r="Y431" s="77" t="s">
        <v>740</v>
      </c>
      <c r="Z431" s="77" t="s">
        <v>784</v>
      </c>
      <c r="AA431" s="77"/>
      <c r="AB431" s="77"/>
      <c r="AC431" s="81" t="s">
        <v>853</v>
      </c>
      <c r="AD431" s="77" t="s">
        <v>859</v>
      </c>
      <c r="AE431" s="83" t="str">
        <f>HYPERLINK("https://twitter.com/smr_foundation/status/1696729921341853809")</f>
        <v>https://twitter.com/smr_foundation/status/1696729921341853809</v>
      </c>
      <c r="AF431" s="79">
        <v>45168.1540625</v>
      </c>
      <c r="AG431" s="85">
        <v>45168</v>
      </c>
      <c r="AH431" s="81" t="s">
        <v>921</v>
      </c>
      <c r="AI431" s="77" t="b">
        <v>0</v>
      </c>
      <c r="AJ431" s="77"/>
      <c r="AK431" s="77"/>
      <c r="AL431" s="77"/>
      <c r="AM431" s="77"/>
      <c r="AN431" s="77"/>
      <c r="AO431" s="77"/>
      <c r="AP431" s="77"/>
      <c r="AQ431" s="77"/>
      <c r="AR431" s="77"/>
      <c r="AS431" s="77"/>
      <c r="AT431" s="77"/>
      <c r="AU431" s="77"/>
      <c r="AV431" s="83" t="str">
        <f>HYPERLINK("https://pbs.twimg.com/profile_images/849133030237061120/6hUrNP0a_normal.jpg")</f>
        <v>https://pbs.twimg.com/profile_images/849133030237061120/6hUrNP0a_normal.jpg</v>
      </c>
      <c r="AW431" s="81" t="s">
        <v>1076</v>
      </c>
      <c r="AX431" s="81" t="s">
        <v>1076</v>
      </c>
      <c r="AY431" s="77"/>
      <c r="AZ431" s="81" t="s">
        <v>1190</v>
      </c>
      <c r="BA431" s="81" t="s">
        <v>1190</v>
      </c>
      <c r="BB431" s="81" t="s">
        <v>1190</v>
      </c>
      <c r="BC431" s="81" t="s">
        <v>1076</v>
      </c>
      <c r="BD431" s="77">
        <v>151934168</v>
      </c>
      <c r="BE431" s="77"/>
      <c r="BF431" s="77"/>
      <c r="BG431" s="77"/>
      <c r="BH431" s="77"/>
      <c r="BI431" s="77"/>
      <c r="BJ431">
        <v>1</v>
      </c>
      <c r="BK431" s="76" t="str">
        <f>REPLACE(INDEX(GroupVertices[Group],MATCH(Edges[[#This Row],[Vertex 1]],GroupVertices[Vertex],0)),1,1,"")</f>
        <v>3</v>
      </c>
      <c r="BL431" s="76" t="str">
        <f>REPLACE(INDEX(GroupVertices[Group],MATCH(Edges[[#This Row],[Vertex 2]],GroupVertices[Vertex],0)),1,1,"")</f>
        <v>8</v>
      </c>
      <c r="BM431" s="45">
        <v>1</v>
      </c>
      <c r="BN431" s="46">
        <v>4</v>
      </c>
      <c r="BO431" s="45">
        <v>0</v>
      </c>
      <c r="BP431" s="46">
        <v>0</v>
      </c>
      <c r="BQ431" s="45">
        <v>0</v>
      </c>
      <c r="BR431" s="46">
        <v>0</v>
      </c>
      <c r="BS431" s="45">
        <v>23</v>
      </c>
      <c r="BT431" s="46">
        <v>92</v>
      </c>
      <c r="BU431" s="45">
        <v>25</v>
      </c>
    </row>
    <row r="432" spans="1:73" ht="15">
      <c r="A432" s="61" t="s">
        <v>239</v>
      </c>
      <c r="B432" s="61" t="s">
        <v>472</v>
      </c>
      <c r="C432" s="62" t="s">
        <v>11692</v>
      </c>
      <c r="D432" s="63">
        <v>3</v>
      </c>
      <c r="E432" s="64" t="s">
        <v>132</v>
      </c>
      <c r="F432" s="65">
        <v>32</v>
      </c>
      <c r="G432" s="62"/>
      <c r="H432" s="66"/>
      <c r="I432" s="67"/>
      <c r="J432" s="67"/>
      <c r="K432" s="31" t="s">
        <v>65</v>
      </c>
      <c r="L432" s="75">
        <v>432</v>
      </c>
      <c r="M432" s="75"/>
      <c r="N432" s="69"/>
      <c r="O432" s="77" t="s">
        <v>539</v>
      </c>
      <c r="P432" s="79">
        <v>45166.66709490741</v>
      </c>
      <c r="Q432" s="77" t="s">
        <v>600</v>
      </c>
      <c r="R432" s="77">
        <v>0</v>
      </c>
      <c r="S432" s="77">
        <v>4</v>
      </c>
      <c r="T432" s="77">
        <v>0</v>
      </c>
      <c r="U432" s="77">
        <v>0</v>
      </c>
      <c r="V432" s="77">
        <v>31</v>
      </c>
      <c r="W432" s="81" t="s">
        <v>704</v>
      </c>
      <c r="X432" s="83" t="str">
        <f>HYPERLINK("https://bit.ly/3Pi0L7D")</f>
        <v>https://bit.ly/3Pi0L7D</v>
      </c>
      <c r="Y432" s="77" t="s">
        <v>740</v>
      </c>
      <c r="Z432" s="77" t="s">
        <v>789</v>
      </c>
      <c r="AA432" s="77"/>
      <c r="AB432" s="77"/>
      <c r="AC432" s="81" t="s">
        <v>853</v>
      </c>
      <c r="AD432" s="77" t="s">
        <v>859</v>
      </c>
      <c r="AE432" s="83" t="str">
        <f>HYPERLINK("https://twitter.com/hashtagmarketi7/status/1696191063289967087")</f>
        <v>https://twitter.com/hashtagmarketi7/status/1696191063289967087</v>
      </c>
      <c r="AF432" s="79">
        <v>45166.66709490741</v>
      </c>
      <c r="AG432" s="85">
        <v>45166</v>
      </c>
      <c r="AH432" s="81" t="s">
        <v>928</v>
      </c>
      <c r="AI432" s="77" t="b">
        <v>0</v>
      </c>
      <c r="AJ432" s="77"/>
      <c r="AK432" s="77"/>
      <c r="AL432" s="77"/>
      <c r="AM432" s="77"/>
      <c r="AN432" s="77"/>
      <c r="AO432" s="77"/>
      <c r="AP432" s="77"/>
      <c r="AQ432" s="77"/>
      <c r="AR432" s="77"/>
      <c r="AS432" s="77"/>
      <c r="AT432" s="77"/>
      <c r="AU432" s="77"/>
      <c r="AV432" s="83" t="str">
        <f>HYPERLINK("https://pbs.twimg.com/profile_images/1487756429276684289/Kqq9xAOb_normal.png")</f>
        <v>https://pbs.twimg.com/profile_images/1487756429276684289/Kqq9xAOb_normal.png</v>
      </c>
      <c r="AW432" s="81" t="s">
        <v>1083</v>
      </c>
      <c r="AX432" s="81" t="s">
        <v>1083</v>
      </c>
      <c r="AY432" s="77"/>
      <c r="AZ432" s="81" t="s">
        <v>1190</v>
      </c>
      <c r="BA432" s="81" t="s">
        <v>1190</v>
      </c>
      <c r="BB432" s="81" t="s">
        <v>1190</v>
      </c>
      <c r="BC432" s="81" t="s">
        <v>1083</v>
      </c>
      <c r="BD432" s="81" t="s">
        <v>1205</v>
      </c>
      <c r="BE432" s="77"/>
      <c r="BF432" s="77"/>
      <c r="BG432" s="77"/>
      <c r="BH432" s="77"/>
      <c r="BI432" s="77"/>
      <c r="BJ432">
        <v>1</v>
      </c>
      <c r="BK432" s="76" t="str">
        <f>REPLACE(INDEX(GroupVertices[Group],MATCH(Edges[[#This Row],[Vertex 1]],GroupVertices[Vertex],0)),1,1,"")</f>
        <v>5</v>
      </c>
      <c r="BL432" s="76" t="str">
        <f>REPLACE(INDEX(GroupVertices[Group],MATCH(Edges[[#This Row],[Vertex 2]],GroupVertices[Vertex],0)),1,1,"")</f>
        <v>5</v>
      </c>
      <c r="BM432" s="45"/>
      <c r="BN432" s="46"/>
      <c r="BO432" s="45"/>
      <c r="BP432" s="46"/>
      <c r="BQ432" s="45"/>
      <c r="BR432" s="46"/>
      <c r="BS432" s="45"/>
      <c r="BT432" s="46"/>
      <c r="BU432" s="45"/>
    </row>
    <row r="433" spans="1:73" ht="15">
      <c r="A433" s="61" t="s">
        <v>239</v>
      </c>
      <c r="B433" s="61" t="s">
        <v>473</v>
      </c>
      <c r="C433" s="62" t="s">
        <v>11692</v>
      </c>
      <c r="D433" s="63">
        <v>3</v>
      </c>
      <c r="E433" s="64" t="s">
        <v>132</v>
      </c>
      <c r="F433" s="65">
        <v>32</v>
      </c>
      <c r="G433" s="62"/>
      <c r="H433" s="66"/>
      <c r="I433" s="67"/>
      <c r="J433" s="67"/>
      <c r="K433" s="31" t="s">
        <v>65</v>
      </c>
      <c r="L433" s="75">
        <v>433</v>
      </c>
      <c r="M433" s="75"/>
      <c r="N433" s="69"/>
      <c r="O433" s="77" t="s">
        <v>539</v>
      </c>
      <c r="P433" s="79">
        <v>45166.66709490741</v>
      </c>
      <c r="Q433" s="77" t="s">
        <v>600</v>
      </c>
      <c r="R433" s="77">
        <v>0</v>
      </c>
      <c r="S433" s="77">
        <v>4</v>
      </c>
      <c r="T433" s="77">
        <v>0</v>
      </c>
      <c r="U433" s="77">
        <v>0</v>
      </c>
      <c r="V433" s="77">
        <v>31</v>
      </c>
      <c r="W433" s="81" t="s">
        <v>704</v>
      </c>
      <c r="X433" s="83" t="str">
        <f>HYPERLINK("https://bit.ly/3Pi0L7D")</f>
        <v>https://bit.ly/3Pi0L7D</v>
      </c>
      <c r="Y433" s="77" t="s">
        <v>740</v>
      </c>
      <c r="Z433" s="77" t="s">
        <v>789</v>
      </c>
      <c r="AA433" s="77"/>
      <c r="AB433" s="77"/>
      <c r="AC433" s="81" t="s">
        <v>853</v>
      </c>
      <c r="AD433" s="77" t="s">
        <v>859</v>
      </c>
      <c r="AE433" s="83" t="str">
        <f>HYPERLINK("https://twitter.com/hashtagmarketi7/status/1696191063289967087")</f>
        <v>https://twitter.com/hashtagmarketi7/status/1696191063289967087</v>
      </c>
      <c r="AF433" s="79">
        <v>45166.66709490741</v>
      </c>
      <c r="AG433" s="85">
        <v>45166</v>
      </c>
      <c r="AH433" s="81" t="s">
        <v>928</v>
      </c>
      <c r="AI433" s="77" t="b">
        <v>0</v>
      </c>
      <c r="AJ433" s="77"/>
      <c r="AK433" s="77"/>
      <c r="AL433" s="77"/>
      <c r="AM433" s="77"/>
      <c r="AN433" s="77"/>
      <c r="AO433" s="77"/>
      <c r="AP433" s="77"/>
      <c r="AQ433" s="77"/>
      <c r="AR433" s="77"/>
      <c r="AS433" s="77"/>
      <c r="AT433" s="77"/>
      <c r="AU433" s="77"/>
      <c r="AV433" s="83" t="str">
        <f>HYPERLINK("https://pbs.twimg.com/profile_images/1487756429276684289/Kqq9xAOb_normal.png")</f>
        <v>https://pbs.twimg.com/profile_images/1487756429276684289/Kqq9xAOb_normal.png</v>
      </c>
      <c r="AW433" s="81" t="s">
        <v>1083</v>
      </c>
      <c r="AX433" s="81" t="s">
        <v>1083</v>
      </c>
      <c r="AY433" s="77"/>
      <c r="AZ433" s="81" t="s">
        <v>1190</v>
      </c>
      <c r="BA433" s="81" t="s">
        <v>1190</v>
      </c>
      <c r="BB433" s="81" t="s">
        <v>1190</v>
      </c>
      <c r="BC433" s="81" t="s">
        <v>1083</v>
      </c>
      <c r="BD433" s="81" t="s">
        <v>1205</v>
      </c>
      <c r="BE433" s="77"/>
      <c r="BF433" s="77"/>
      <c r="BG433" s="77"/>
      <c r="BH433" s="77"/>
      <c r="BI433" s="77"/>
      <c r="BJ433">
        <v>1</v>
      </c>
      <c r="BK433" s="76" t="str">
        <f>REPLACE(INDEX(GroupVertices[Group],MATCH(Edges[[#This Row],[Vertex 1]],GroupVertices[Vertex],0)),1,1,"")</f>
        <v>5</v>
      </c>
      <c r="BL433" s="76" t="str">
        <f>REPLACE(INDEX(GroupVertices[Group],MATCH(Edges[[#This Row],[Vertex 2]],GroupVertices[Vertex],0)),1,1,"")</f>
        <v>5</v>
      </c>
      <c r="BM433" s="45"/>
      <c r="BN433" s="46"/>
      <c r="BO433" s="45"/>
      <c r="BP433" s="46"/>
      <c r="BQ433" s="45"/>
      <c r="BR433" s="46"/>
      <c r="BS433" s="45"/>
      <c r="BT433" s="46"/>
      <c r="BU433" s="45"/>
    </row>
    <row r="434" spans="1:73" ht="15">
      <c r="A434" s="61" t="s">
        <v>239</v>
      </c>
      <c r="B434" s="61" t="s">
        <v>474</v>
      </c>
      <c r="C434" s="62" t="s">
        <v>11692</v>
      </c>
      <c r="D434" s="63">
        <v>3</v>
      </c>
      <c r="E434" s="64" t="s">
        <v>132</v>
      </c>
      <c r="F434" s="65">
        <v>32</v>
      </c>
      <c r="G434" s="62"/>
      <c r="H434" s="66"/>
      <c r="I434" s="67"/>
      <c r="J434" s="67"/>
      <c r="K434" s="31" t="s">
        <v>65</v>
      </c>
      <c r="L434" s="75">
        <v>434</v>
      </c>
      <c r="M434" s="75"/>
      <c r="N434" s="69"/>
      <c r="O434" s="77" t="s">
        <v>539</v>
      </c>
      <c r="P434" s="79">
        <v>45166.66709490741</v>
      </c>
      <c r="Q434" s="77" t="s">
        <v>600</v>
      </c>
      <c r="R434" s="77">
        <v>0</v>
      </c>
      <c r="S434" s="77">
        <v>4</v>
      </c>
      <c r="T434" s="77">
        <v>0</v>
      </c>
      <c r="U434" s="77">
        <v>0</v>
      </c>
      <c r="V434" s="77">
        <v>31</v>
      </c>
      <c r="W434" s="81" t="s">
        <v>704</v>
      </c>
      <c r="X434" s="83" t="str">
        <f>HYPERLINK("https://bit.ly/3Pi0L7D")</f>
        <v>https://bit.ly/3Pi0L7D</v>
      </c>
      <c r="Y434" s="77" t="s">
        <v>740</v>
      </c>
      <c r="Z434" s="77" t="s">
        <v>789</v>
      </c>
      <c r="AA434" s="77"/>
      <c r="AB434" s="77"/>
      <c r="AC434" s="81" t="s">
        <v>853</v>
      </c>
      <c r="AD434" s="77" t="s">
        <v>859</v>
      </c>
      <c r="AE434" s="83" t="str">
        <f>HYPERLINK("https://twitter.com/hashtagmarketi7/status/1696191063289967087")</f>
        <v>https://twitter.com/hashtagmarketi7/status/1696191063289967087</v>
      </c>
      <c r="AF434" s="79">
        <v>45166.66709490741</v>
      </c>
      <c r="AG434" s="85">
        <v>45166</v>
      </c>
      <c r="AH434" s="81" t="s">
        <v>928</v>
      </c>
      <c r="AI434" s="77" t="b">
        <v>0</v>
      </c>
      <c r="AJ434" s="77"/>
      <c r="AK434" s="77"/>
      <c r="AL434" s="77"/>
      <c r="AM434" s="77"/>
      <c r="AN434" s="77"/>
      <c r="AO434" s="77"/>
      <c r="AP434" s="77"/>
      <c r="AQ434" s="77"/>
      <c r="AR434" s="77"/>
      <c r="AS434" s="77"/>
      <c r="AT434" s="77"/>
      <c r="AU434" s="77"/>
      <c r="AV434" s="83" t="str">
        <f>HYPERLINK("https://pbs.twimg.com/profile_images/1487756429276684289/Kqq9xAOb_normal.png")</f>
        <v>https://pbs.twimg.com/profile_images/1487756429276684289/Kqq9xAOb_normal.png</v>
      </c>
      <c r="AW434" s="81" t="s">
        <v>1083</v>
      </c>
      <c r="AX434" s="81" t="s">
        <v>1083</v>
      </c>
      <c r="AY434" s="77"/>
      <c r="AZ434" s="81" t="s">
        <v>1190</v>
      </c>
      <c r="BA434" s="81" t="s">
        <v>1190</v>
      </c>
      <c r="BB434" s="81" t="s">
        <v>1190</v>
      </c>
      <c r="BC434" s="81" t="s">
        <v>1083</v>
      </c>
      <c r="BD434" s="81" t="s">
        <v>1205</v>
      </c>
      <c r="BE434" s="77"/>
      <c r="BF434" s="77"/>
      <c r="BG434" s="77"/>
      <c r="BH434" s="77"/>
      <c r="BI434" s="77"/>
      <c r="BJ434">
        <v>1</v>
      </c>
      <c r="BK434" s="76" t="str">
        <f>REPLACE(INDEX(GroupVertices[Group],MATCH(Edges[[#This Row],[Vertex 1]],GroupVertices[Vertex],0)),1,1,"")</f>
        <v>5</v>
      </c>
      <c r="BL434" s="76" t="str">
        <f>REPLACE(INDEX(GroupVertices[Group],MATCH(Edges[[#This Row],[Vertex 2]],GroupVertices[Vertex],0)),1,1,"")</f>
        <v>5</v>
      </c>
      <c r="BM434" s="45"/>
      <c r="BN434" s="46"/>
      <c r="BO434" s="45"/>
      <c r="BP434" s="46"/>
      <c r="BQ434" s="45"/>
      <c r="BR434" s="46"/>
      <c r="BS434" s="45"/>
      <c r="BT434" s="46"/>
      <c r="BU434" s="45"/>
    </row>
    <row r="435" spans="1:73" ht="15">
      <c r="A435" s="61" t="s">
        <v>239</v>
      </c>
      <c r="B435" s="61" t="s">
        <v>475</v>
      </c>
      <c r="C435" s="62" t="s">
        <v>11692</v>
      </c>
      <c r="D435" s="63">
        <v>3</v>
      </c>
      <c r="E435" s="64" t="s">
        <v>132</v>
      </c>
      <c r="F435" s="65">
        <v>32</v>
      </c>
      <c r="G435" s="62"/>
      <c r="H435" s="66"/>
      <c r="I435" s="67"/>
      <c r="J435" s="67"/>
      <c r="K435" s="31" t="s">
        <v>65</v>
      </c>
      <c r="L435" s="75">
        <v>435</v>
      </c>
      <c r="M435" s="75"/>
      <c r="N435" s="69"/>
      <c r="O435" s="77" t="s">
        <v>539</v>
      </c>
      <c r="P435" s="79">
        <v>45166.66709490741</v>
      </c>
      <c r="Q435" s="77" t="s">
        <v>600</v>
      </c>
      <c r="R435" s="77">
        <v>0</v>
      </c>
      <c r="S435" s="77">
        <v>4</v>
      </c>
      <c r="T435" s="77">
        <v>0</v>
      </c>
      <c r="U435" s="77">
        <v>0</v>
      </c>
      <c r="V435" s="77">
        <v>31</v>
      </c>
      <c r="W435" s="81" t="s">
        <v>704</v>
      </c>
      <c r="X435" s="83" t="str">
        <f>HYPERLINK("https://bit.ly/3Pi0L7D")</f>
        <v>https://bit.ly/3Pi0L7D</v>
      </c>
      <c r="Y435" s="77" t="s">
        <v>740</v>
      </c>
      <c r="Z435" s="77" t="s">
        <v>789</v>
      </c>
      <c r="AA435" s="77"/>
      <c r="AB435" s="77"/>
      <c r="AC435" s="81" t="s">
        <v>853</v>
      </c>
      <c r="AD435" s="77" t="s">
        <v>859</v>
      </c>
      <c r="AE435" s="83" t="str">
        <f>HYPERLINK("https://twitter.com/hashtagmarketi7/status/1696191063289967087")</f>
        <v>https://twitter.com/hashtagmarketi7/status/1696191063289967087</v>
      </c>
      <c r="AF435" s="79">
        <v>45166.66709490741</v>
      </c>
      <c r="AG435" s="85">
        <v>45166</v>
      </c>
      <c r="AH435" s="81" t="s">
        <v>928</v>
      </c>
      <c r="AI435" s="77" t="b">
        <v>0</v>
      </c>
      <c r="AJ435" s="77"/>
      <c r="AK435" s="77"/>
      <c r="AL435" s="77"/>
      <c r="AM435" s="77"/>
      <c r="AN435" s="77"/>
      <c r="AO435" s="77"/>
      <c r="AP435" s="77"/>
      <c r="AQ435" s="77"/>
      <c r="AR435" s="77"/>
      <c r="AS435" s="77"/>
      <c r="AT435" s="77"/>
      <c r="AU435" s="77"/>
      <c r="AV435" s="83" t="str">
        <f>HYPERLINK("https://pbs.twimg.com/profile_images/1487756429276684289/Kqq9xAOb_normal.png")</f>
        <v>https://pbs.twimg.com/profile_images/1487756429276684289/Kqq9xAOb_normal.png</v>
      </c>
      <c r="AW435" s="81" t="s">
        <v>1083</v>
      </c>
      <c r="AX435" s="81" t="s">
        <v>1083</v>
      </c>
      <c r="AY435" s="77"/>
      <c r="AZ435" s="81" t="s">
        <v>1190</v>
      </c>
      <c r="BA435" s="81" t="s">
        <v>1190</v>
      </c>
      <c r="BB435" s="81" t="s">
        <v>1190</v>
      </c>
      <c r="BC435" s="81" t="s">
        <v>1083</v>
      </c>
      <c r="BD435" s="81" t="s">
        <v>1205</v>
      </c>
      <c r="BE435" s="77"/>
      <c r="BF435" s="77"/>
      <c r="BG435" s="77"/>
      <c r="BH435" s="77"/>
      <c r="BI435" s="77"/>
      <c r="BJ435">
        <v>1</v>
      </c>
      <c r="BK435" s="76" t="str">
        <f>REPLACE(INDEX(GroupVertices[Group],MATCH(Edges[[#This Row],[Vertex 1]],GroupVertices[Vertex],0)),1,1,"")</f>
        <v>5</v>
      </c>
      <c r="BL435" s="76" t="str">
        <f>REPLACE(INDEX(GroupVertices[Group],MATCH(Edges[[#This Row],[Vertex 2]],GroupVertices[Vertex],0)),1,1,"")</f>
        <v>5</v>
      </c>
      <c r="BM435" s="45"/>
      <c r="BN435" s="46"/>
      <c r="BO435" s="45"/>
      <c r="BP435" s="46"/>
      <c r="BQ435" s="45"/>
      <c r="BR435" s="46"/>
      <c r="BS435" s="45"/>
      <c r="BT435" s="46"/>
      <c r="BU435" s="45"/>
    </row>
    <row r="436" spans="1:73" ht="15">
      <c r="A436" s="61" t="s">
        <v>239</v>
      </c>
      <c r="B436" s="61" t="s">
        <v>476</v>
      </c>
      <c r="C436" s="62" t="s">
        <v>11692</v>
      </c>
      <c r="D436" s="63">
        <v>3</v>
      </c>
      <c r="E436" s="64" t="s">
        <v>132</v>
      </c>
      <c r="F436" s="65">
        <v>32</v>
      </c>
      <c r="G436" s="62"/>
      <c r="H436" s="66"/>
      <c r="I436" s="67"/>
      <c r="J436" s="67"/>
      <c r="K436" s="31" t="s">
        <v>65</v>
      </c>
      <c r="L436" s="75">
        <v>436</v>
      </c>
      <c r="M436" s="75"/>
      <c r="N436" s="69"/>
      <c r="O436" s="77" t="s">
        <v>539</v>
      </c>
      <c r="P436" s="79">
        <v>45166.66709490741</v>
      </c>
      <c r="Q436" s="77" t="s">
        <v>600</v>
      </c>
      <c r="R436" s="77">
        <v>0</v>
      </c>
      <c r="S436" s="77">
        <v>4</v>
      </c>
      <c r="T436" s="77">
        <v>0</v>
      </c>
      <c r="U436" s="77">
        <v>0</v>
      </c>
      <c r="V436" s="77">
        <v>31</v>
      </c>
      <c r="W436" s="81" t="s">
        <v>704</v>
      </c>
      <c r="X436" s="83" t="str">
        <f>HYPERLINK("https://bit.ly/3Pi0L7D")</f>
        <v>https://bit.ly/3Pi0L7D</v>
      </c>
      <c r="Y436" s="77" t="s">
        <v>740</v>
      </c>
      <c r="Z436" s="77" t="s">
        <v>789</v>
      </c>
      <c r="AA436" s="77"/>
      <c r="AB436" s="77"/>
      <c r="AC436" s="81" t="s">
        <v>853</v>
      </c>
      <c r="AD436" s="77" t="s">
        <v>859</v>
      </c>
      <c r="AE436" s="83" t="str">
        <f>HYPERLINK("https://twitter.com/hashtagmarketi7/status/1696191063289967087")</f>
        <v>https://twitter.com/hashtagmarketi7/status/1696191063289967087</v>
      </c>
      <c r="AF436" s="79">
        <v>45166.66709490741</v>
      </c>
      <c r="AG436" s="85">
        <v>45166</v>
      </c>
      <c r="AH436" s="81" t="s">
        <v>928</v>
      </c>
      <c r="AI436" s="77" t="b">
        <v>0</v>
      </c>
      <c r="AJ436" s="77"/>
      <c r="AK436" s="77"/>
      <c r="AL436" s="77"/>
      <c r="AM436" s="77"/>
      <c r="AN436" s="77"/>
      <c r="AO436" s="77"/>
      <c r="AP436" s="77"/>
      <c r="AQ436" s="77"/>
      <c r="AR436" s="77"/>
      <c r="AS436" s="77"/>
      <c r="AT436" s="77"/>
      <c r="AU436" s="77"/>
      <c r="AV436" s="83" t="str">
        <f>HYPERLINK("https://pbs.twimg.com/profile_images/1487756429276684289/Kqq9xAOb_normal.png")</f>
        <v>https://pbs.twimg.com/profile_images/1487756429276684289/Kqq9xAOb_normal.png</v>
      </c>
      <c r="AW436" s="81" t="s">
        <v>1083</v>
      </c>
      <c r="AX436" s="81" t="s">
        <v>1083</v>
      </c>
      <c r="AY436" s="77"/>
      <c r="AZ436" s="81" t="s">
        <v>1190</v>
      </c>
      <c r="BA436" s="81" t="s">
        <v>1190</v>
      </c>
      <c r="BB436" s="81" t="s">
        <v>1190</v>
      </c>
      <c r="BC436" s="81" t="s">
        <v>1083</v>
      </c>
      <c r="BD436" s="81" t="s">
        <v>1205</v>
      </c>
      <c r="BE436" s="77"/>
      <c r="BF436" s="77"/>
      <c r="BG436" s="77"/>
      <c r="BH436" s="77"/>
      <c r="BI436" s="77"/>
      <c r="BJ436">
        <v>1</v>
      </c>
      <c r="BK436" s="76" t="str">
        <f>REPLACE(INDEX(GroupVertices[Group],MATCH(Edges[[#This Row],[Vertex 1]],GroupVertices[Vertex],0)),1,1,"")</f>
        <v>5</v>
      </c>
      <c r="BL436" s="76" t="str">
        <f>REPLACE(INDEX(GroupVertices[Group],MATCH(Edges[[#This Row],[Vertex 2]],GroupVertices[Vertex],0)),1,1,"")</f>
        <v>5</v>
      </c>
      <c r="BM436" s="45"/>
      <c r="BN436" s="46"/>
      <c r="BO436" s="45"/>
      <c r="BP436" s="46"/>
      <c r="BQ436" s="45"/>
      <c r="BR436" s="46"/>
      <c r="BS436" s="45"/>
      <c r="BT436" s="46"/>
      <c r="BU436" s="45"/>
    </row>
    <row r="437" spans="1:73" ht="15">
      <c r="A437" s="61" t="s">
        <v>239</v>
      </c>
      <c r="B437" s="61" t="s">
        <v>477</v>
      </c>
      <c r="C437" s="62" t="s">
        <v>11692</v>
      </c>
      <c r="D437" s="63">
        <v>3</v>
      </c>
      <c r="E437" s="64" t="s">
        <v>132</v>
      </c>
      <c r="F437" s="65">
        <v>32</v>
      </c>
      <c r="G437" s="62"/>
      <c r="H437" s="66"/>
      <c r="I437" s="67"/>
      <c r="J437" s="67"/>
      <c r="K437" s="31" t="s">
        <v>65</v>
      </c>
      <c r="L437" s="75">
        <v>437</v>
      </c>
      <c r="M437" s="75"/>
      <c r="N437" s="69"/>
      <c r="O437" s="77" t="s">
        <v>539</v>
      </c>
      <c r="P437" s="79">
        <v>45166.66709490741</v>
      </c>
      <c r="Q437" s="77" t="s">
        <v>600</v>
      </c>
      <c r="R437" s="77">
        <v>0</v>
      </c>
      <c r="S437" s="77">
        <v>4</v>
      </c>
      <c r="T437" s="77">
        <v>0</v>
      </c>
      <c r="U437" s="77">
        <v>0</v>
      </c>
      <c r="V437" s="77">
        <v>31</v>
      </c>
      <c r="W437" s="81" t="s">
        <v>704</v>
      </c>
      <c r="X437" s="83" t="str">
        <f>HYPERLINK("https://bit.ly/3Pi0L7D")</f>
        <v>https://bit.ly/3Pi0L7D</v>
      </c>
      <c r="Y437" s="77" t="s">
        <v>740</v>
      </c>
      <c r="Z437" s="77" t="s">
        <v>789</v>
      </c>
      <c r="AA437" s="77"/>
      <c r="AB437" s="77"/>
      <c r="AC437" s="81" t="s">
        <v>853</v>
      </c>
      <c r="AD437" s="77" t="s">
        <v>859</v>
      </c>
      <c r="AE437" s="83" t="str">
        <f>HYPERLINK("https://twitter.com/hashtagmarketi7/status/1696191063289967087")</f>
        <v>https://twitter.com/hashtagmarketi7/status/1696191063289967087</v>
      </c>
      <c r="AF437" s="79">
        <v>45166.66709490741</v>
      </c>
      <c r="AG437" s="85">
        <v>45166</v>
      </c>
      <c r="AH437" s="81" t="s">
        <v>928</v>
      </c>
      <c r="AI437" s="77" t="b">
        <v>0</v>
      </c>
      <c r="AJ437" s="77"/>
      <c r="AK437" s="77"/>
      <c r="AL437" s="77"/>
      <c r="AM437" s="77"/>
      <c r="AN437" s="77"/>
      <c r="AO437" s="77"/>
      <c r="AP437" s="77"/>
      <c r="AQ437" s="77"/>
      <c r="AR437" s="77"/>
      <c r="AS437" s="77"/>
      <c r="AT437" s="77"/>
      <c r="AU437" s="77"/>
      <c r="AV437" s="83" t="str">
        <f>HYPERLINK("https://pbs.twimg.com/profile_images/1487756429276684289/Kqq9xAOb_normal.png")</f>
        <v>https://pbs.twimg.com/profile_images/1487756429276684289/Kqq9xAOb_normal.png</v>
      </c>
      <c r="AW437" s="81" t="s">
        <v>1083</v>
      </c>
      <c r="AX437" s="81" t="s">
        <v>1083</v>
      </c>
      <c r="AY437" s="77"/>
      <c r="AZ437" s="81" t="s">
        <v>1190</v>
      </c>
      <c r="BA437" s="81" t="s">
        <v>1190</v>
      </c>
      <c r="BB437" s="81" t="s">
        <v>1190</v>
      </c>
      <c r="BC437" s="81" t="s">
        <v>1083</v>
      </c>
      <c r="BD437" s="81" t="s">
        <v>1205</v>
      </c>
      <c r="BE437" s="77"/>
      <c r="BF437" s="77"/>
      <c r="BG437" s="77"/>
      <c r="BH437" s="77"/>
      <c r="BI437" s="77"/>
      <c r="BJ437">
        <v>1</v>
      </c>
      <c r="BK437" s="76" t="str">
        <f>REPLACE(INDEX(GroupVertices[Group],MATCH(Edges[[#This Row],[Vertex 1]],GroupVertices[Vertex],0)),1,1,"")</f>
        <v>5</v>
      </c>
      <c r="BL437" s="76" t="str">
        <f>REPLACE(INDEX(GroupVertices[Group],MATCH(Edges[[#This Row],[Vertex 2]],GroupVertices[Vertex],0)),1,1,"")</f>
        <v>5</v>
      </c>
      <c r="BM437" s="45"/>
      <c r="BN437" s="46"/>
      <c r="BO437" s="45"/>
      <c r="BP437" s="46"/>
      <c r="BQ437" s="45"/>
      <c r="BR437" s="46"/>
      <c r="BS437" s="45"/>
      <c r="BT437" s="46"/>
      <c r="BU437" s="45"/>
    </row>
    <row r="438" spans="1:73" ht="15">
      <c r="A438" s="61" t="s">
        <v>239</v>
      </c>
      <c r="B438" s="61" t="s">
        <v>478</v>
      </c>
      <c r="C438" s="62" t="s">
        <v>11692</v>
      </c>
      <c r="D438" s="63">
        <v>3</v>
      </c>
      <c r="E438" s="64" t="s">
        <v>132</v>
      </c>
      <c r="F438" s="65">
        <v>32</v>
      </c>
      <c r="G438" s="62"/>
      <c r="H438" s="66"/>
      <c r="I438" s="67"/>
      <c r="J438" s="67"/>
      <c r="K438" s="31" t="s">
        <v>65</v>
      </c>
      <c r="L438" s="75">
        <v>438</v>
      </c>
      <c r="M438" s="75"/>
      <c r="N438" s="69"/>
      <c r="O438" s="77" t="s">
        <v>539</v>
      </c>
      <c r="P438" s="79">
        <v>45166.66709490741</v>
      </c>
      <c r="Q438" s="77" t="s">
        <v>600</v>
      </c>
      <c r="R438" s="77">
        <v>0</v>
      </c>
      <c r="S438" s="77">
        <v>4</v>
      </c>
      <c r="T438" s="77">
        <v>0</v>
      </c>
      <c r="U438" s="77">
        <v>0</v>
      </c>
      <c r="V438" s="77">
        <v>31</v>
      </c>
      <c r="W438" s="81" t="s">
        <v>704</v>
      </c>
      <c r="X438" s="83" t="str">
        <f>HYPERLINK("https://bit.ly/3Pi0L7D")</f>
        <v>https://bit.ly/3Pi0L7D</v>
      </c>
      <c r="Y438" s="77" t="s">
        <v>740</v>
      </c>
      <c r="Z438" s="77" t="s">
        <v>789</v>
      </c>
      <c r="AA438" s="77"/>
      <c r="AB438" s="77"/>
      <c r="AC438" s="81" t="s">
        <v>853</v>
      </c>
      <c r="AD438" s="77" t="s">
        <v>859</v>
      </c>
      <c r="AE438" s="83" t="str">
        <f>HYPERLINK("https://twitter.com/hashtagmarketi7/status/1696191063289967087")</f>
        <v>https://twitter.com/hashtagmarketi7/status/1696191063289967087</v>
      </c>
      <c r="AF438" s="79">
        <v>45166.66709490741</v>
      </c>
      <c r="AG438" s="85">
        <v>45166</v>
      </c>
      <c r="AH438" s="81" t="s">
        <v>928</v>
      </c>
      <c r="AI438" s="77" t="b">
        <v>0</v>
      </c>
      <c r="AJ438" s="77"/>
      <c r="AK438" s="77"/>
      <c r="AL438" s="77"/>
      <c r="AM438" s="77"/>
      <c r="AN438" s="77"/>
      <c r="AO438" s="77"/>
      <c r="AP438" s="77"/>
      <c r="AQ438" s="77"/>
      <c r="AR438" s="77"/>
      <c r="AS438" s="77"/>
      <c r="AT438" s="77"/>
      <c r="AU438" s="77"/>
      <c r="AV438" s="83" t="str">
        <f>HYPERLINK("https://pbs.twimg.com/profile_images/1487756429276684289/Kqq9xAOb_normal.png")</f>
        <v>https://pbs.twimg.com/profile_images/1487756429276684289/Kqq9xAOb_normal.png</v>
      </c>
      <c r="AW438" s="81" t="s">
        <v>1083</v>
      </c>
      <c r="AX438" s="81" t="s">
        <v>1083</v>
      </c>
      <c r="AY438" s="77"/>
      <c r="AZ438" s="81" t="s">
        <v>1190</v>
      </c>
      <c r="BA438" s="81" t="s">
        <v>1190</v>
      </c>
      <c r="BB438" s="81" t="s">
        <v>1190</v>
      </c>
      <c r="BC438" s="81" t="s">
        <v>1083</v>
      </c>
      <c r="BD438" s="81" t="s">
        <v>1205</v>
      </c>
      <c r="BE438" s="77"/>
      <c r="BF438" s="77"/>
      <c r="BG438" s="77"/>
      <c r="BH438" s="77"/>
      <c r="BI438" s="77"/>
      <c r="BJ438">
        <v>1</v>
      </c>
      <c r="BK438" s="76" t="str">
        <f>REPLACE(INDEX(GroupVertices[Group],MATCH(Edges[[#This Row],[Vertex 1]],GroupVertices[Vertex],0)),1,1,"")</f>
        <v>5</v>
      </c>
      <c r="BL438" s="76" t="str">
        <f>REPLACE(INDEX(GroupVertices[Group],MATCH(Edges[[#This Row],[Vertex 2]],GroupVertices[Vertex],0)),1,1,"")</f>
        <v>5</v>
      </c>
      <c r="BM438" s="45"/>
      <c r="BN438" s="46"/>
      <c r="BO438" s="45"/>
      <c r="BP438" s="46"/>
      <c r="BQ438" s="45"/>
      <c r="BR438" s="46"/>
      <c r="BS438" s="45"/>
      <c r="BT438" s="46"/>
      <c r="BU438" s="45"/>
    </row>
    <row r="439" spans="1:73" ht="15">
      <c r="A439" s="61" t="s">
        <v>239</v>
      </c>
      <c r="B439" s="61" t="s">
        <v>479</v>
      </c>
      <c r="C439" s="62" t="s">
        <v>11692</v>
      </c>
      <c r="D439" s="63">
        <v>3</v>
      </c>
      <c r="E439" s="64" t="s">
        <v>132</v>
      </c>
      <c r="F439" s="65">
        <v>32</v>
      </c>
      <c r="G439" s="62"/>
      <c r="H439" s="66"/>
      <c r="I439" s="67"/>
      <c r="J439" s="67"/>
      <c r="K439" s="31" t="s">
        <v>65</v>
      </c>
      <c r="L439" s="75">
        <v>439</v>
      </c>
      <c r="M439" s="75"/>
      <c r="N439" s="69"/>
      <c r="O439" s="77" t="s">
        <v>539</v>
      </c>
      <c r="P439" s="79">
        <v>45166.66709490741</v>
      </c>
      <c r="Q439" s="77" t="s">
        <v>600</v>
      </c>
      <c r="R439" s="77">
        <v>0</v>
      </c>
      <c r="S439" s="77">
        <v>4</v>
      </c>
      <c r="T439" s="77">
        <v>0</v>
      </c>
      <c r="U439" s="77">
        <v>0</v>
      </c>
      <c r="V439" s="77">
        <v>31</v>
      </c>
      <c r="W439" s="81" t="s">
        <v>704</v>
      </c>
      <c r="X439" s="83" t="str">
        <f>HYPERLINK("https://bit.ly/3Pi0L7D")</f>
        <v>https://bit.ly/3Pi0L7D</v>
      </c>
      <c r="Y439" s="77" t="s">
        <v>740</v>
      </c>
      <c r="Z439" s="77" t="s">
        <v>789</v>
      </c>
      <c r="AA439" s="77"/>
      <c r="AB439" s="77"/>
      <c r="AC439" s="81" t="s">
        <v>853</v>
      </c>
      <c r="AD439" s="77" t="s">
        <v>859</v>
      </c>
      <c r="AE439" s="83" t="str">
        <f>HYPERLINK("https://twitter.com/hashtagmarketi7/status/1696191063289967087")</f>
        <v>https://twitter.com/hashtagmarketi7/status/1696191063289967087</v>
      </c>
      <c r="AF439" s="79">
        <v>45166.66709490741</v>
      </c>
      <c r="AG439" s="85">
        <v>45166</v>
      </c>
      <c r="AH439" s="81" t="s">
        <v>928</v>
      </c>
      <c r="AI439" s="77" t="b">
        <v>0</v>
      </c>
      <c r="AJ439" s="77"/>
      <c r="AK439" s="77"/>
      <c r="AL439" s="77"/>
      <c r="AM439" s="77"/>
      <c r="AN439" s="77"/>
      <c r="AO439" s="77"/>
      <c r="AP439" s="77"/>
      <c r="AQ439" s="77"/>
      <c r="AR439" s="77"/>
      <c r="AS439" s="77"/>
      <c r="AT439" s="77"/>
      <c r="AU439" s="77"/>
      <c r="AV439" s="83" t="str">
        <f>HYPERLINK("https://pbs.twimg.com/profile_images/1487756429276684289/Kqq9xAOb_normal.png")</f>
        <v>https://pbs.twimg.com/profile_images/1487756429276684289/Kqq9xAOb_normal.png</v>
      </c>
      <c r="AW439" s="81" t="s">
        <v>1083</v>
      </c>
      <c r="AX439" s="81" t="s">
        <v>1083</v>
      </c>
      <c r="AY439" s="77"/>
      <c r="AZ439" s="81" t="s">
        <v>1190</v>
      </c>
      <c r="BA439" s="81" t="s">
        <v>1190</v>
      </c>
      <c r="BB439" s="81" t="s">
        <v>1190</v>
      </c>
      <c r="BC439" s="81" t="s">
        <v>1083</v>
      </c>
      <c r="BD439" s="81" t="s">
        <v>1205</v>
      </c>
      <c r="BE439" s="77"/>
      <c r="BF439" s="77"/>
      <c r="BG439" s="77"/>
      <c r="BH439" s="77"/>
      <c r="BI439" s="77"/>
      <c r="BJ439">
        <v>1</v>
      </c>
      <c r="BK439" s="76" t="str">
        <f>REPLACE(INDEX(GroupVertices[Group],MATCH(Edges[[#This Row],[Vertex 1]],GroupVertices[Vertex],0)),1,1,"")</f>
        <v>5</v>
      </c>
      <c r="BL439" s="76" t="str">
        <f>REPLACE(INDEX(GroupVertices[Group],MATCH(Edges[[#This Row],[Vertex 2]],GroupVertices[Vertex],0)),1,1,"")</f>
        <v>5</v>
      </c>
      <c r="BM439" s="45"/>
      <c r="BN439" s="46"/>
      <c r="BO439" s="45"/>
      <c r="BP439" s="46"/>
      <c r="BQ439" s="45"/>
      <c r="BR439" s="46"/>
      <c r="BS439" s="45"/>
      <c r="BT439" s="46"/>
      <c r="BU439" s="45"/>
    </row>
    <row r="440" spans="1:73" ht="15">
      <c r="A440" s="61" t="s">
        <v>239</v>
      </c>
      <c r="B440" s="61" t="s">
        <v>480</v>
      </c>
      <c r="C440" s="62" t="s">
        <v>11692</v>
      </c>
      <c r="D440" s="63">
        <v>3</v>
      </c>
      <c r="E440" s="64" t="s">
        <v>132</v>
      </c>
      <c r="F440" s="65">
        <v>32</v>
      </c>
      <c r="G440" s="62"/>
      <c r="H440" s="66"/>
      <c r="I440" s="67"/>
      <c r="J440" s="67"/>
      <c r="K440" s="31" t="s">
        <v>65</v>
      </c>
      <c r="L440" s="75">
        <v>440</v>
      </c>
      <c r="M440" s="75"/>
      <c r="N440" s="69"/>
      <c r="O440" s="77" t="s">
        <v>539</v>
      </c>
      <c r="P440" s="79">
        <v>45166.66709490741</v>
      </c>
      <c r="Q440" s="77" t="s">
        <v>600</v>
      </c>
      <c r="R440" s="77">
        <v>0</v>
      </c>
      <c r="S440" s="77">
        <v>4</v>
      </c>
      <c r="T440" s="77">
        <v>0</v>
      </c>
      <c r="U440" s="77">
        <v>0</v>
      </c>
      <c r="V440" s="77">
        <v>31</v>
      </c>
      <c r="W440" s="81" t="s">
        <v>704</v>
      </c>
      <c r="X440" s="83" t="str">
        <f>HYPERLINK("https://bit.ly/3Pi0L7D")</f>
        <v>https://bit.ly/3Pi0L7D</v>
      </c>
      <c r="Y440" s="77" t="s">
        <v>740</v>
      </c>
      <c r="Z440" s="77" t="s">
        <v>789</v>
      </c>
      <c r="AA440" s="77"/>
      <c r="AB440" s="77"/>
      <c r="AC440" s="81" t="s">
        <v>853</v>
      </c>
      <c r="AD440" s="77" t="s">
        <v>859</v>
      </c>
      <c r="AE440" s="83" t="str">
        <f>HYPERLINK("https://twitter.com/hashtagmarketi7/status/1696191063289967087")</f>
        <v>https://twitter.com/hashtagmarketi7/status/1696191063289967087</v>
      </c>
      <c r="AF440" s="79">
        <v>45166.66709490741</v>
      </c>
      <c r="AG440" s="85">
        <v>45166</v>
      </c>
      <c r="AH440" s="81" t="s">
        <v>928</v>
      </c>
      <c r="AI440" s="77" t="b">
        <v>0</v>
      </c>
      <c r="AJ440" s="77"/>
      <c r="AK440" s="77"/>
      <c r="AL440" s="77"/>
      <c r="AM440" s="77"/>
      <c r="AN440" s="77"/>
      <c r="AO440" s="77"/>
      <c r="AP440" s="77"/>
      <c r="AQ440" s="77"/>
      <c r="AR440" s="77"/>
      <c r="AS440" s="77"/>
      <c r="AT440" s="77"/>
      <c r="AU440" s="77"/>
      <c r="AV440" s="83" t="str">
        <f>HYPERLINK("https://pbs.twimg.com/profile_images/1487756429276684289/Kqq9xAOb_normal.png")</f>
        <v>https://pbs.twimg.com/profile_images/1487756429276684289/Kqq9xAOb_normal.png</v>
      </c>
      <c r="AW440" s="81" t="s">
        <v>1083</v>
      </c>
      <c r="AX440" s="81" t="s">
        <v>1083</v>
      </c>
      <c r="AY440" s="77"/>
      <c r="AZ440" s="81" t="s">
        <v>1190</v>
      </c>
      <c r="BA440" s="81" t="s">
        <v>1190</v>
      </c>
      <c r="BB440" s="81" t="s">
        <v>1190</v>
      </c>
      <c r="BC440" s="81" t="s">
        <v>1083</v>
      </c>
      <c r="BD440" s="81" t="s">
        <v>1205</v>
      </c>
      <c r="BE440" s="77"/>
      <c r="BF440" s="77"/>
      <c r="BG440" s="77"/>
      <c r="BH440" s="77"/>
      <c r="BI440" s="77"/>
      <c r="BJ440">
        <v>1</v>
      </c>
      <c r="BK440" s="76" t="str">
        <f>REPLACE(INDEX(GroupVertices[Group],MATCH(Edges[[#This Row],[Vertex 1]],GroupVertices[Vertex],0)),1,1,"")</f>
        <v>5</v>
      </c>
      <c r="BL440" s="76" t="str">
        <f>REPLACE(INDEX(GroupVertices[Group],MATCH(Edges[[#This Row],[Vertex 2]],GroupVertices[Vertex],0)),1,1,"")</f>
        <v>5</v>
      </c>
      <c r="BM440" s="45"/>
      <c r="BN440" s="46"/>
      <c r="BO440" s="45"/>
      <c r="BP440" s="46"/>
      <c r="BQ440" s="45"/>
      <c r="BR440" s="46"/>
      <c r="BS440" s="45"/>
      <c r="BT440" s="46"/>
      <c r="BU440" s="45"/>
    </row>
    <row r="441" spans="1:73" ht="15">
      <c r="A441" s="61" t="s">
        <v>239</v>
      </c>
      <c r="B441" s="61" t="s">
        <v>481</v>
      </c>
      <c r="C441" s="62" t="s">
        <v>11692</v>
      </c>
      <c r="D441" s="63">
        <v>3</v>
      </c>
      <c r="E441" s="64" t="s">
        <v>132</v>
      </c>
      <c r="F441" s="65">
        <v>32</v>
      </c>
      <c r="G441" s="62"/>
      <c r="H441" s="66"/>
      <c r="I441" s="67"/>
      <c r="J441" s="67"/>
      <c r="K441" s="31" t="s">
        <v>65</v>
      </c>
      <c r="L441" s="75">
        <v>441</v>
      </c>
      <c r="M441" s="75"/>
      <c r="N441" s="69"/>
      <c r="O441" s="77" t="s">
        <v>539</v>
      </c>
      <c r="P441" s="79">
        <v>45166.66709490741</v>
      </c>
      <c r="Q441" s="77" t="s">
        <v>600</v>
      </c>
      <c r="R441" s="77">
        <v>0</v>
      </c>
      <c r="S441" s="77">
        <v>4</v>
      </c>
      <c r="T441" s="77">
        <v>0</v>
      </c>
      <c r="U441" s="77">
        <v>0</v>
      </c>
      <c r="V441" s="77">
        <v>31</v>
      </c>
      <c r="W441" s="81" t="s">
        <v>704</v>
      </c>
      <c r="X441" s="83" t="str">
        <f>HYPERLINK("https://bit.ly/3Pi0L7D")</f>
        <v>https://bit.ly/3Pi0L7D</v>
      </c>
      <c r="Y441" s="77" t="s">
        <v>740</v>
      </c>
      <c r="Z441" s="77" t="s">
        <v>789</v>
      </c>
      <c r="AA441" s="77"/>
      <c r="AB441" s="77"/>
      <c r="AC441" s="81" t="s">
        <v>853</v>
      </c>
      <c r="AD441" s="77" t="s">
        <v>859</v>
      </c>
      <c r="AE441" s="83" t="str">
        <f>HYPERLINK("https://twitter.com/hashtagmarketi7/status/1696191063289967087")</f>
        <v>https://twitter.com/hashtagmarketi7/status/1696191063289967087</v>
      </c>
      <c r="AF441" s="79">
        <v>45166.66709490741</v>
      </c>
      <c r="AG441" s="85">
        <v>45166</v>
      </c>
      <c r="AH441" s="81" t="s">
        <v>928</v>
      </c>
      <c r="AI441" s="77" t="b">
        <v>0</v>
      </c>
      <c r="AJ441" s="77"/>
      <c r="AK441" s="77"/>
      <c r="AL441" s="77"/>
      <c r="AM441" s="77"/>
      <c r="AN441" s="77"/>
      <c r="AO441" s="77"/>
      <c r="AP441" s="77"/>
      <c r="AQ441" s="77"/>
      <c r="AR441" s="77"/>
      <c r="AS441" s="77"/>
      <c r="AT441" s="77"/>
      <c r="AU441" s="77"/>
      <c r="AV441" s="83" t="str">
        <f>HYPERLINK("https://pbs.twimg.com/profile_images/1487756429276684289/Kqq9xAOb_normal.png")</f>
        <v>https://pbs.twimg.com/profile_images/1487756429276684289/Kqq9xAOb_normal.png</v>
      </c>
      <c r="AW441" s="81" t="s">
        <v>1083</v>
      </c>
      <c r="AX441" s="81" t="s">
        <v>1083</v>
      </c>
      <c r="AY441" s="77"/>
      <c r="AZ441" s="81" t="s">
        <v>1190</v>
      </c>
      <c r="BA441" s="81" t="s">
        <v>1190</v>
      </c>
      <c r="BB441" s="81" t="s">
        <v>1190</v>
      </c>
      <c r="BC441" s="81" t="s">
        <v>1083</v>
      </c>
      <c r="BD441" s="81" t="s">
        <v>1205</v>
      </c>
      <c r="BE441" s="77"/>
      <c r="BF441" s="77"/>
      <c r="BG441" s="77"/>
      <c r="BH441" s="77"/>
      <c r="BI441" s="77"/>
      <c r="BJ441">
        <v>1</v>
      </c>
      <c r="BK441" s="76" t="str">
        <f>REPLACE(INDEX(GroupVertices[Group],MATCH(Edges[[#This Row],[Vertex 1]],GroupVertices[Vertex],0)),1,1,"")</f>
        <v>5</v>
      </c>
      <c r="BL441" s="76" t="str">
        <f>REPLACE(INDEX(GroupVertices[Group],MATCH(Edges[[#This Row],[Vertex 2]],GroupVertices[Vertex],0)),1,1,"")</f>
        <v>5</v>
      </c>
      <c r="BM441" s="45">
        <v>1</v>
      </c>
      <c r="BN441" s="46">
        <v>3.8461538461538463</v>
      </c>
      <c r="BO441" s="45">
        <v>0</v>
      </c>
      <c r="BP441" s="46">
        <v>0</v>
      </c>
      <c r="BQ441" s="45">
        <v>0</v>
      </c>
      <c r="BR441" s="46">
        <v>0</v>
      </c>
      <c r="BS441" s="45">
        <v>22</v>
      </c>
      <c r="BT441" s="46">
        <v>84.61538461538461</v>
      </c>
      <c r="BU441" s="45">
        <v>26</v>
      </c>
    </row>
    <row r="442" spans="1:73" ht="15">
      <c r="A442" s="61" t="s">
        <v>239</v>
      </c>
      <c r="B442" s="61" t="s">
        <v>482</v>
      </c>
      <c r="C442" s="62" t="s">
        <v>11692</v>
      </c>
      <c r="D442" s="63">
        <v>3</v>
      </c>
      <c r="E442" s="64" t="s">
        <v>132</v>
      </c>
      <c r="F442" s="65">
        <v>32</v>
      </c>
      <c r="G442" s="62"/>
      <c r="H442" s="66"/>
      <c r="I442" s="67"/>
      <c r="J442" s="67"/>
      <c r="K442" s="31" t="s">
        <v>65</v>
      </c>
      <c r="L442" s="75">
        <v>442</v>
      </c>
      <c r="M442" s="75"/>
      <c r="N442" s="69"/>
      <c r="O442" s="77" t="s">
        <v>539</v>
      </c>
      <c r="P442" s="79">
        <v>45168.32496527778</v>
      </c>
      <c r="Q442" s="77" t="s">
        <v>601</v>
      </c>
      <c r="R442" s="77">
        <v>0</v>
      </c>
      <c r="S442" s="77">
        <v>5</v>
      </c>
      <c r="T442" s="77">
        <v>0</v>
      </c>
      <c r="U442" s="77">
        <v>0</v>
      </c>
      <c r="V442" s="77">
        <v>61</v>
      </c>
      <c r="W442" s="81" t="s">
        <v>705</v>
      </c>
      <c r="X442" s="83" t="str">
        <f>HYPERLINK("https://bit.ly/3qRfJrM")</f>
        <v>https://bit.ly/3qRfJrM</v>
      </c>
      <c r="Y442" s="77" t="s">
        <v>740</v>
      </c>
      <c r="Z442" s="77" t="s">
        <v>790</v>
      </c>
      <c r="AA442" s="77"/>
      <c r="AB442" s="77"/>
      <c r="AC442" s="81" t="s">
        <v>853</v>
      </c>
      <c r="AD442" s="77" t="s">
        <v>859</v>
      </c>
      <c r="AE442" s="83" t="str">
        <f>HYPERLINK("https://twitter.com/hashtagmarketi7/status/1696791853692027137")</f>
        <v>https://twitter.com/hashtagmarketi7/status/1696791853692027137</v>
      </c>
      <c r="AF442" s="79">
        <v>45168.32496527778</v>
      </c>
      <c r="AG442" s="85">
        <v>45168</v>
      </c>
      <c r="AH442" s="81" t="s">
        <v>929</v>
      </c>
      <c r="AI442" s="77" t="b">
        <v>0</v>
      </c>
      <c r="AJ442" s="77"/>
      <c r="AK442" s="77"/>
      <c r="AL442" s="77"/>
      <c r="AM442" s="77"/>
      <c r="AN442" s="77"/>
      <c r="AO442" s="77"/>
      <c r="AP442" s="77"/>
      <c r="AQ442" s="77"/>
      <c r="AR442" s="77"/>
      <c r="AS442" s="77"/>
      <c r="AT442" s="77"/>
      <c r="AU442" s="77"/>
      <c r="AV442" s="83" t="str">
        <f>HYPERLINK("https://pbs.twimg.com/profile_images/1487756429276684289/Kqq9xAOb_normal.png")</f>
        <v>https://pbs.twimg.com/profile_images/1487756429276684289/Kqq9xAOb_normal.png</v>
      </c>
      <c r="AW442" s="81" t="s">
        <v>1084</v>
      </c>
      <c r="AX442" s="81" t="s">
        <v>1084</v>
      </c>
      <c r="AY442" s="77"/>
      <c r="AZ442" s="81" t="s">
        <v>1190</v>
      </c>
      <c r="BA442" s="81" t="s">
        <v>1190</v>
      </c>
      <c r="BB442" s="81" t="s">
        <v>1190</v>
      </c>
      <c r="BC442" s="81" t="s">
        <v>1084</v>
      </c>
      <c r="BD442" s="81" t="s">
        <v>1205</v>
      </c>
      <c r="BE442" s="77"/>
      <c r="BF442" s="77"/>
      <c r="BG442" s="77"/>
      <c r="BH442" s="77"/>
      <c r="BI442" s="77"/>
      <c r="BJ442">
        <v>1</v>
      </c>
      <c r="BK442" s="76" t="str">
        <f>REPLACE(INDEX(GroupVertices[Group],MATCH(Edges[[#This Row],[Vertex 1]],GroupVertices[Vertex],0)),1,1,"")</f>
        <v>5</v>
      </c>
      <c r="BL442" s="76" t="str">
        <f>REPLACE(INDEX(GroupVertices[Group],MATCH(Edges[[#This Row],[Vertex 2]],GroupVertices[Vertex],0)),1,1,"")</f>
        <v>5</v>
      </c>
      <c r="BM442" s="45"/>
      <c r="BN442" s="46"/>
      <c r="BO442" s="45"/>
      <c r="BP442" s="46"/>
      <c r="BQ442" s="45"/>
      <c r="BR442" s="46"/>
      <c r="BS442" s="45"/>
      <c r="BT442" s="46"/>
      <c r="BU442" s="45"/>
    </row>
    <row r="443" spans="1:73" ht="15">
      <c r="A443" s="61" t="s">
        <v>239</v>
      </c>
      <c r="B443" s="61" t="s">
        <v>483</v>
      </c>
      <c r="C443" s="62" t="s">
        <v>11692</v>
      </c>
      <c r="D443" s="63">
        <v>3</v>
      </c>
      <c r="E443" s="64" t="s">
        <v>132</v>
      </c>
      <c r="F443" s="65">
        <v>32</v>
      </c>
      <c r="G443" s="62"/>
      <c r="H443" s="66"/>
      <c r="I443" s="67"/>
      <c r="J443" s="67"/>
      <c r="K443" s="31" t="s">
        <v>65</v>
      </c>
      <c r="L443" s="75">
        <v>443</v>
      </c>
      <c r="M443" s="75"/>
      <c r="N443" s="69"/>
      <c r="O443" s="77" t="s">
        <v>539</v>
      </c>
      <c r="P443" s="79">
        <v>45168.32496527778</v>
      </c>
      <c r="Q443" s="77" t="s">
        <v>601</v>
      </c>
      <c r="R443" s="77">
        <v>0</v>
      </c>
      <c r="S443" s="77">
        <v>5</v>
      </c>
      <c r="T443" s="77">
        <v>0</v>
      </c>
      <c r="U443" s="77">
        <v>0</v>
      </c>
      <c r="V443" s="77">
        <v>61</v>
      </c>
      <c r="W443" s="81" t="s">
        <v>705</v>
      </c>
      <c r="X443" s="83" t="str">
        <f>HYPERLINK("https://bit.ly/3qRfJrM")</f>
        <v>https://bit.ly/3qRfJrM</v>
      </c>
      <c r="Y443" s="77" t="s">
        <v>740</v>
      </c>
      <c r="Z443" s="77" t="s">
        <v>790</v>
      </c>
      <c r="AA443" s="77"/>
      <c r="AB443" s="77"/>
      <c r="AC443" s="81" t="s">
        <v>853</v>
      </c>
      <c r="AD443" s="77" t="s">
        <v>859</v>
      </c>
      <c r="AE443" s="83" t="str">
        <f>HYPERLINK("https://twitter.com/hashtagmarketi7/status/1696791853692027137")</f>
        <v>https://twitter.com/hashtagmarketi7/status/1696791853692027137</v>
      </c>
      <c r="AF443" s="79">
        <v>45168.32496527778</v>
      </c>
      <c r="AG443" s="85">
        <v>45168</v>
      </c>
      <c r="AH443" s="81" t="s">
        <v>929</v>
      </c>
      <c r="AI443" s="77" t="b">
        <v>0</v>
      </c>
      <c r="AJ443" s="77"/>
      <c r="AK443" s="77"/>
      <c r="AL443" s="77"/>
      <c r="AM443" s="77"/>
      <c r="AN443" s="77"/>
      <c r="AO443" s="77"/>
      <c r="AP443" s="77"/>
      <c r="AQ443" s="77"/>
      <c r="AR443" s="77"/>
      <c r="AS443" s="77"/>
      <c r="AT443" s="77"/>
      <c r="AU443" s="77"/>
      <c r="AV443" s="83" t="str">
        <f>HYPERLINK("https://pbs.twimg.com/profile_images/1487756429276684289/Kqq9xAOb_normal.png")</f>
        <v>https://pbs.twimg.com/profile_images/1487756429276684289/Kqq9xAOb_normal.png</v>
      </c>
      <c r="AW443" s="81" t="s">
        <v>1084</v>
      </c>
      <c r="AX443" s="81" t="s">
        <v>1084</v>
      </c>
      <c r="AY443" s="77"/>
      <c r="AZ443" s="81" t="s">
        <v>1190</v>
      </c>
      <c r="BA443" s="81" t="s">
        <v>1190</v>
      </c>
      <c r="BB443" s="81" t="s">
        <v>1190</v>
      </c>
      <c r="BC443" s="81" t="s">
        <v>1084</v>
      </c>
      <c r="BD443" s="81" t="s">
        <v>1205</v>
      </c>
      <c r="BE443" s="77"/>
      <c r="BF443" s="77"/>
      <c r="BG443" s="77"/>
      <c r="BH443" s="77"/>
      <c r="BI443" s="77"/>
      <c r="BJ443">
        <v>1</v>
      </c>
      <c r="BK443" s="76" t="str">
        <f>REPLACE(INDEX(GroupVertices[Group],MATCH(Edges[[#This Row],[Vertex 1]],GroupVertices[Vertex],0)),1,1,"")</f>
        <v>5</v>
      </c>
      <c r="BL443" s="76" t="str">
        <f>REPLACE(INDEX(GroupVertices[Group],MATCH(Edges[[#This Row],[Vertex 2]],GroupVertices[Vertex],0)),1,1,"")</f>
        <v>5</v>
      </c>
      <c r="BM443" s="45"/>
      <c r="BN443" s="46"/>
      <c r="BO443" s="45"/>
      <c r="BP443" s="46"/>
      <c r="BQ443" s="45"/>
      <c r="BR443" s="46"/>
      <c r="BS443" s="45"/>
      <c r="BT443" s="46"/>
      <c r="BU443" s="45"/>
    </row>
    <row r="444" spans="1:73" ht="15">
      <c r="A444" s="61" t="s">
        <v>239</v>
      </c>
      <c r="B444" s="61" t="s">
        <v>484</v>
      </c>
      <c r="C444" s="62" t="s">
        <v>11692</v>
      </c>
      <c r="D444" s="63">
        <v>3</v>
      </c>
      <c r="E444" s="64" t="s">
        <v>132</v>
      </c>
      <c r="F444" s="65">
        <v>32</v>
      </c>
      <c r="G444" s="62"/>
      <c r="H444" s="66"/>
      <c r="I444" s="67"/>
      <c r="J444" s="67"/>
      <c r="K444" s="31" t="s">
        <v>65</v>
      </c>
      <c r="L444" s="75">
        <v>444</v>
      </c>
      <c r="M444" s="75"/>
      <c r="N444" s="69"/>
      <c r="O444" s="77" t="s">
        <v>539</v>
      </c>
      <c r="P444" s="79">
        <v>45168.32496527778</v>
      </c>
      <c r="Q444" s="77" t="s">
        <v>601</v>
      </c>
      <c r="R444" s="77">
        <v>0</v>
      </c>
      <c r="S444" s="77">
        <v>5</v>
      </c>
      <c r="T444" s="77">
        <v>0</v>
      </c>
      <c r="U444" s="77">
        <v>0</v>
      </c>
      <c r="V444" s="77">
        <v>61</v>
      </c>
      <c r="W444" s="81" t="s">
        <v>705</v>
      </c>
      <c r="X444" s="83" t="str">
        <f>HYPERLINK("https://bit.ly/3qRfJrM")</f>
        <v>https://bit.ly/3qRfJrM</v>
      </c>
      <c r="Y444" s="77" t="s">
        <v>740</v>
      </c>
      <c r="Z444" s="77" t="s">
        <v>790</v>
      </c>
      <c r="AA444" s="77"/>
      <c r="AB444" s="77"/>
      <c r="AC444" s="81" t="s">
        <v>853</v>
      </c>
      <c r="AD444" s="77" t="s">
        <v>859</v>
      </c>
      <c r="AE444" s="83" t="str">
        <f>HYPERLINK("https://twitter.com/hashtagmarketi7/status/1696791853692027137")</f>
        <v>https://twitter.com/hashtagmarketi7/status/1696791853692027137</v>
      </c>
      <c r="AF444" s="79">
        <v>45168.32496527778</v>
      </c>
      <c r="AG444" s="85">
        <v>45168</v>
      </c>
      <c r="AH444" s="81" t="s">
        <v>929</v>
      </c>
      <c r="AI444" s="77" t="b">
        <v>0</v>
      </c>
      <c r="AJ444" s="77"/>
      <c r="AK444" s="77"/>
      <c r="AL444" s="77"/>
      <c r="AM444" s="77"/>
      <c r="AN444" s="77"/>
      <c r="AO444" s="77"/>
      <c r="AP444" s="77"/>
      <c r="AQ444" s="77"/>
      <c r="AR444" s="77"/>
      <c r="AS444" s="77"/>
      <c r="AT444" s="77"/>
      <c r="AU444" s="77"/>
      <c r="AV444" s="83" t="str">
        <f>HYPERLINK("https://pbs.twimg.com/profile_images/1487756429276684289/Kqq9xAOb_normal.png")</f>
        <v>https://pbs.twimg.com/profile_images/1487756429276684289/Kqq9xAOb_normal.png</v>
      </c>
      <c r="AW444" s="81" t="s">
        <v>1084</v>
      </c>
      <c r="AX444" s="81" t="s">
        <v>1084</v>
      </c>
      <c r="AY444" s="77"/>
      <c r="AZ444" s="81" t="s">
        <v>1190</v>
      </c>
      <c r="BA444" s="81" t="s">
        <v>1190</v>
      </c>
      <c r="BB444" s="81" t="s">
        <v>1190</v>
      </c>
      <c r="BC444" s="81" t="s">
        <v>1084</v>
      </c>
      <c r="BD444" s="81" t="s">
        <v>1205</v>
      </c>
      <c r="BE444" s="77"/>
      <c r="BF444" s="77"/>
      <c r="BG444" s="77"/>
      <c r="BH444" s="77"/>
      <c r="BI444" s="77"/>
      <c r="BJ444">
        <v>1</v>
      </c>
      <c r="BK444" s="76" t="str">
        <f>REPLACE(INDEX(GroupVertices[Group],MATCH(Edges[[#This Row],[Vertex 1]],GroupVertices[Vertex],0)),1,1,"")</f>
        <v>5</v>
      </c>
      <c r="BL444" s="76" t="str">
        <f>REPLACE(INDEX(GroupVertices[Group],MATCH(Edges[[#This Row],[Vertex 2]],GroupVertices[Vertex],0)),1,1,"")</f>
        <v>5</v>
      </c>
      <c r="BM444" s="45"/>
      <c r="BN444" s="46"/>
      <c r="BO444" s="45"/>
      <c r="BP444" s="46"/>
      <c r="BQ444" s="45"/>
      <c r="BR444" s="46"/>
      <c r="BS444" s="45"/>
      <c r="BT444" s="46"/>
      <c r="BU444" s="45"/>
    </row>
    <row r="445" spans="1:73" ht="15">
      <c r="A445" s="61" t="s">
        <v>239</v>
      </c>
      <c r="B445" s="61" t="s">
        <v>485</v>
      </c>
      <c r="C445" s="62" t="s">
        <v>11692</v>
      </c>
      <c r="D445" s="63">
        <v>3</v>
      </c>
      <c r="E445" s="64" t="s">
        <v>132</v>
      </c>
      <c r="F445" s="65">
        <v>32</v>
      </c>
      <c r="G445" s="62"/>
      <c r="H445" s="66"/>
      <c r="I445" s="67"/>
      <c r="J445" s="67"/>
      <c r="K445" s="31" t="s">
        <v>65</v>
      </c>
      <c r="L445" s="75">
        <v>445</v>
      </c>
      <c r="M445" s="75"/>
      <c r="N445" s="69"/>
      <c r="O445" s="77" t="s">
        <v>539</v>
      </c>
      <c r="P445" s="79">
        <v>45168.32496527778</v>
      </c>
      <c r="Q445" s="77" t="s">
        <v>601</v>
      </c>
      <c r="R445" s="77">
        <v>0</v>
      </c>
      <c r="S445" s="77">
        <v>5</v>
      </c>
      <c r="T445" s="77">
        <v>0</v>
      </c>
      <c r="U445" s="77">
        <v>0</v>
      </c>
      <c r="V445" s="77">
        <v>61</v>
      </c>
      <c r="W445" s="81" t="s">
        <v>705</v>
      </c>
      <c r="X445" s="83" t="str">
        <f>HYPERLINK("https://bit.ly/3qRfJrM")</f>
        <v>https://bit.ly/3qRfJrM</v>
      </c>
      <c r="Y445" s="77" t="s">
        <v>740</v>
      </c>
      <c r="Z445" s="77" t="s">
        <v>790</v>
      </c>
      <c r="AA445" s="77"/>
      <c r="AB445" s="77"/>
      <c r="AC445" s="81" t="s">
        <v>853</v>
      </c>
      <c r="AD445" s="77" t="s">
        <v>859</v>
      </c>
      <c r="AE445" s="83" t="str">
        <f>HYPERLINK("https://twitter.com/hashtagmarketi7/status/1696791853692027137")</f>
        <v>https://twitter.com/hashtagmarketi7/status/1696791853692027137</v>
      </c>
      <c r="AF445" s="79">
        <v>45168.32496527778</v>
      </c>
      <c r="AG445" s="85">
        <v>45168</v>
      </c>
      <c r="AH445" s="81" t="s">
        <v>929</v>
      </c>
      <c r="AI445" s="77" t="b">
        <v>0</v>
      </c>
      <c r="AJ445" s="77"/>
      <c r="AK445" s="77"/>
      <c r="AL445" s="77"/>
      <c r="AM445" s="77"/>
      <c r="AN445" s="77"/>
      <c r="AO445" s="77"/>
      <c r="AP445" s="77"/>
      <c r="AQ445" s="77"/>
      <c r="AR445" s="77"/>
      <c r="AS445" s="77"/>
      <c r="AT445" s="77"/>
      <c r="AU445" s="77"/>
      <c r="AV445" s="83" t="str">
        <f>HYPERLINK("https://pbs.twimg.com/profile_images/1487756429276684289/Kqq9xAOb_normal.png")</f>
        <v>https://pbs.twimg.com/profile_images/1487756429276684289/Kqq9xAOb_normal.png</v>
      </c>
      <c r="AW445" s="81" t="s">
        <v>1084</v>
      </c>
      <c r="AX445" s="81" t="s">
        <v>1084</v>
      </c>
      <c r="AY445" s="77"/>
      <c r="AZ445" s="81" t="s">
        <v>1190</v>
      </c>
      <c r="BA445" s="81" t="s">
        <v>1190</v>
      </c>
      <c r="BB445" s="81" t="s">
        <v>1190</v>
      </c>
      <c r="BC445" s="81" t="s">
        <v>1084</v>
      </c>
      <c r="BD445" s="81" t="s">
        <v>1205</v>
      </c>
      <c r="BE445" s="77"/>
      <c r="BF445" s="77"/>
      <c r="BG445" s="77"/>
      <c r="BH445" s="77"/>
      <c r="BI445" s="77"/>
      <c r="BJ445">
        <v>1</v>
      </c>
      <c r="BK445" s="76" t="str">
        <f>REPLACE(INDEX(GroupVertices[Group],MATCH(Edges[[#This Row],[Vertex 1]],GroupVertices[Vertex],0)),1,1,"")</f>
        <v>5</v>
      </c>
      <c r="BL445" s="76" t="str">
        <f>REPLACE(INDEX(GroupVertices[Group],MATCH(Edges[[#This Row],[Vertex 2]],GroupVertices[Vertex],0)),1,1,"")</f>
        <v>5</v>
      </c>
      <c r="BM445" s="45"/>
      <c r="BN445" s="46"/>
      <c r="BO445" s="45"/>
      <c r="BP445" s="46"/>
      <c r="BQ445" s="45"/>
      <c r="BR445" s="46"/>
      <c r="BS445" s="45"/>
      <c r="BT445" s="46"/>
      <c r="BU445" s="45"/>
    </row>
    <row r="446" spans="1:73" ht="15">
      <c r="A446" s="61" t="s">
        <v>239</v>
      </c>
      <c r="B446" s="61" t="s">
        <v>486</v>
      </c>
      <c r="C446" s="62" t="s">
        <v>11692</v>
      </c>
      <c r="D446" s="63">
        <v>3</v>
      </c>
      <c r="E446" s="64" t="s">
        <v>132</v>
      </c>
      <c r="F446" s="65">
        <v>32</v>
      </c>
      <c r="G446" s="62"/>
      <c r="H446" s="66"/>
      <c r="I446" s="67"/>
      <c r="J446" s="67"/>
      <c r="K446" s="31" t="s">
        <v>65</v>
      </c>
      <c r="L446" s="75">
        <v>446</v>
      </c>
      <c r="M446" s="75"/>
      <c r="N446" s="69"/>
      <c r="O446" s="77" t="s">
        <v>539</v>
      </c>
      <c r="P446" s="79">
        <v>45168.32496527778</v>
      </c>
      <c r="Q446" s="77" t="s">
        <v>601</v>
      </c>
      <c r="R446" s="77">
        <v>0</v>
      </c>
      <c r="S446" s="77">
        <v>5</v>
      </c>
      <c r="T446" s="77">
        <v>0</v>
      </c>
      <c r="U446" s="77">
        <v>0</v>
      </c>
      <c r="V446" s="77">
        <v>61</v>
      </c>
      <c r="W446" s="81" t="s">
        <v>705</v>
      </c>
      <c r="X446" s="83" t="str">
        <f>HYPERLINK("https://bit.ly/3qRfJrM")</f>
        <v>https://bit.ly/3qRfJrM</v>
      </c>
      <c r="Y446" s="77" t="s">
        <v>740</v>
      </c>
      <c r="Z446" s="77" t="s">
        <v>790</v>
      </c>
      <c r="AA446" s="77"/>
      <c r="AB446" s="77"/>
      <c r="AC446" s="81" t="s">
        <v>853</v>
      </c>
      <c r="AD446" s="77" t="s">
        <v>859</v>
      </c>
      <c r="AE446" s="83" t="str">
        <f>HYPERLINK("https://twitter.com/hashtagmarketi7/status/1696791853692027137")</f>
        <v>https://twitter.com/hashtagmarketi7/status/1696791853692027137</v>
      </c>
      <c r="AF446" s="79">
        <v>45168.32496527778</v>
      </c>
      <c r="AG446" s="85">
        <v>45168</v>
      </c>
      <c r="AH446" s="81" t="s">
        <v>929</v>
      </c>
      <c r="AI446" s="77" t="b">
        <v>0</v>
      </c>
      <c r="AJ446" s="77"/>
      <c r="AK446" s="77"/>
      <c r="AL446" s="77"/>
      <c r="AM446" s="77"/>
      <c r="AN446" s="77"/>
      <c r="AO446" s="77"/>
      <c r="AP446" s="77"/>
      <c r="AQ446" s="77"/>
      <c r="AR446" s="77"/>
      <c r="AS446" s="77"/>
      <c r="AT446" s="77"/>
      <c r="AU446" s="77"/>
      <c r="AV446" s="83" t="str">
        <f>HYPERLINK("https://pbs.twimg.com/profile_images/1487756429276684289/Kqq9xAOb_normal.png")</f>
        <v>https://pbs.twimg.com/profile_images/1487756429276684289/Kqq9xAOb_normal.png</v>
      </c>
      <c r="AW446" s="81" t="s">
        <v>1084</v>
      </c>
      <c r="AX446" s="81" t="s">
        <v>1084</v>
      </c>
      <c r="AY446" s="77"/>
      <c r="AZ446" s="81" t="s">
        <v>1190</v>
      </c>
      <c r="BA446" s="81" t="s">
        <v>1190</v>
      </c>
      <c r="BB446" s="81" t="s">
        <v>1190</v>
      </c>
      <c r="BC446" s="81" t="s">
        <v>1084</v>
      </c>
      <c r="BD446" s="81" t="s">
        <v>1205</v>
      </c>
      <c r="BE446" s="77"/>
      <c r="BF446" s="77"/>
      <c r="BG446" s="77"/>
      <c r="BH446" s="77"/>
      <c r="BI446" s="77"/>
      <c r="BJ446">
        <v>1</v>
      </c>
      <c r="BK446" s="76" t="str">
        <f>REPLACE(INDEX(GroupVertices[Group],MATCH(Edges[[#This Row],[Vertex 1]],GroupVertices[Vertex],0)),1,1,"")</f>
        <v>5</v>
      </c>
      <c r="BL446" s="76" t="str">
        <f>REPLACE(INDEX(GroupVertices[Group],MATCH(Edges[[#This Row],[Vertex 2]],GroupVertices[Vertex],0)),1,1,"")</f>
        <v>5</v>
      </c>
      <c r="BM446" s="45"/>
      <c r="BN446" s="46"/>
      <c r="BO446" s="45"/>
      <c r="BP446" s="46"/>
      <c r="BQ446" s="45"/>
      <c r="BR446" s="46"/>
      <c r="BS446" s="45"/>
      <c r="BT446" s="46"/>
      <c r="BU446" s="45"/>
    </row>
    <row r="447" spans="1:73" ht="15">
      <c r="A447" s="61" t="s">
        <v>239</v>
      </c>
      <c r="B447" s="61" t="s">
        <v>487</v>
      </c>
      <c r="C447" s="62" t="s">
        <v>11692</v>
      </c>
      <c r="D447" s="63">
        <v>3</v>
      </c>
      <c r="E447" s="64" t="s">
        <v>132</v>
      </c>
      <c r="F447" s="65">
        <v>32</v>
      </c>
      <c r="G447" s="62"/>
      <c r="H447" s="66"/>
      <c r="I447" s="67"/>
      <c r="J447" s="67"/>
      <c r="K447" s="31" t="s">
        <v>65</v>
      </c>
      <c r="L447" s="75">
        <v>447</v>
      </c>
      <c r="M447" s="75"/>
      <c r="N447" s="69"/>
      <c r="O447" s="77" t="s">
        <v>539</v>
      </c>
      <c r="P447" s="79">
        <v>45168.32496527778</v>
      </c>
      <c r="Q447" s="77" t="s">
        <v>601</v>
      </c>
      <c r="R447" s="77">
        <v>0</v>
      </c>
      <c r="S447" s="77">
        <v>5</v>
      </c>
      <c r="T447" s="77">
        <v>0</v>
      </c>
      <c r="U447" s="77">
        <v>0</v>
      </c>
      <c r="V447" s="77">
        <v>61</v>
      </c>
      <c r="W447" s="81" t="s">
        <v>705</v>
      </c>
      <c r="X447" s="83" t="str">
        <f>HYPERLINK("https://bit.ly/3qRfJrM")</f>
        <v>https://bit.ly/3qRfJrM</v>
      </c>
      <c r="Y447" s="77" t="s">
        <v>740</v>
      </c>
      <c r="Z447" s="77" t="s">
        <v>790</v>
      </c>
      <c r="AA447" s="77"/>
      <c r="AB447" s="77"/>
      <c r="AC447" s="81" t="s">
        <v>853</v>
      </c>
      <c r="AD447" s="77" t="s">
        <v>859</v>
      </c>
      <c r="AE447" s="83" t="str">
        <f>HYPERLINK("https://twitter.com/hashtagmarketi7/status/1696791853692027137")</f>
        <v>https://twitter.com/hashtagmarketi7/status/1696791853692027137</v>
      </c>
      <c r="AF447" s="79">
        <v>45168.32496527778</v>
      </c>
      <c r="AG447" s="85">
        <v>45168</v>
      </c>
      <c r="AH447" s="81" t="s">
        <v>929</v>
      </c>
      <c r="AI447" s="77" t="b">
        <v>0</v>
      </c>
      <c r="AJ447" s="77"/>
      <c r="AK447" s="77"/>
      <c r="AL447" s="77"/>
      <c r="AM447" s="77"/>
      <c r="AN447" s="77"/>
      <c r="AO447" s="77"/>
      <c r="AP447" s="77"/>
      <c r="AQ447" s="77"/>
      <c r="AR447" s="77"/>
      <c r="AS447" s="77"/>
      <c r="AT447" s="77"/>
      <c r="AU447" s="77"/>
      <c r="AV447" s="83" t="str">
        <f>HYPERLINK("https://pbs.twimg.com/profile_images/1487756429276684289/Kqq9xAOb_normal.png")</f>
        <v>https://pbs.twimg.com/profile_images/1487756429276684289/Kqq9xAOb_normal.png</v>
      </c>
      <c r="AW447" s="81" t="s">
        <v>1084</v>
      </c>
      <c r="AX447" s="81" t="s">
        <v>1084</v>
      </c>
      <c r="AY447" s="77"/>
      <c r="AZ447" s="81" t="s">
        <v>1190</v>
      </c>
      <c r="BA447" s="81" t="s">
        <v>1190</v>
      </c>
      <c r="BB447" s="81" t="s">
        <v>1190</v>
      </c>
      <c r="BC447" s="81" t="s">
        <v>1084</v>
      </c>
      <c r="BD447" s="81" t="s">
        <v>1205</v>
      </c>
      <c r="BE447" s="77"/>
      <c r="BF447" s="77"/>
      <c r="BG447" s="77"/>
      <c r="BH447" s="77"/>
      <c r="BI447" s="77"/>
      <c r="BJ447">
        <v>1</v>
      </c>
      <c r="BK447" s="76" t="str">
        <f>REPLACE(INDEX(GroupVertices[Group],MATCH(Edges[[#This Row],[Vertex 1]],GroupVertices[Vertex],0)),1,1,"")</f>
        <v>5</v>
      </c>
      <c r="BL447" s="76" t="str">
        <f>REPLACE(INDEX(GroupVertices[Group],MATCH(Edges[[#This Row],[Vertex 2]],GroupVertices[Vertex],0)),1,1,"")</f>
        <v>5</v>
      </c>
      <c r="BM447" s="45"/>
      <c r="BN447" s="46"/>
      <c r="BO447" s="45"/>
      <c r="BP447" s="46"/>
      <c r="BQ447" s="45"/>
      <c r="BR447" s="46"/>
      <c r="BS447" s="45"/>
      <c r="BT447" s="46"/>
      <c r="BU447" s="45"/>
    </row>
    <row r="448" spans="1:73" ht="15">
      <c r="A448" s="61" t="s">
        <v>239</v>
      </c>
      <c r="B448" s="61" t="s">
        <v>488</v>
      </c>
      <c r="C448" s="62" t="s">
        <v>11692</v>
      </c>
      <c r="D448" s="63">
        <v>3</v>
      </c>
      <c r="E448" s="64" t="s">
        <v>132</v>
      </c>
      <c r="F448" s="65">
        <v>32</v>
      </c>
      <c r="G448" s="62"/>
      <c r="H448" s="66"/>
      <c r="I448" s="67"/>
      <c r="J448" s="67"/>
      <c r="K448" s="31" t="s">
        <v>65</v>
      </c>
      <c r="L448" s="75">
        <v>448</v>
      </c>
      <c r="M448" s="75"/>
      <c r="N448" s="69"/>
      <c r="O448" s="77" t="s">
        <v>539</v>
      </c>
      <c r="P448" s="79">
        <v>45168.32496527778</v>
      </c>
      <c r="Q448" s="77" t="s">
        <v>601</v>
      </c>
      <c r="R448" s="77">
        <v>0</v>
      </c>
      <c r="S448" s="77">
        <v>5</v>
      </c>
      <c r="T448" s="77">
        <v>0</v>
      </c>
      <c r="U448" s="77">
        <v>0</v>
      </c>
      <c r="V448" s="77">
        <v>61</v>
      </c>
      <c r="W448" s="81" t="s">
        <v>705</v>
      </c>
      <c r="X448" s="83" t="str">
        <f>HYPERLINK("https://bit.ly/3qRfJrM")</f>
        <v>https://bit.ly/3qRfJrM</v>
      </c>
      <c r="Y448" s="77" t="s">
        <v>740</v>
      </c>
      <c r="Z448" s="77" t="s">
        <v>790</v>
      </c>
      <c r="AA448" s="77"/>
      <c r="AB448" s="77"/>
      <c r="AC448" s="81" t="s">
        <v>853</v>
      </c>
      <c r="AD448" s="77" t="s">
        <v>859</v>
      </c>
      <c r="AE448" s="83" t="str">
        <f>HYPERLINK("https://twitter.com/hashtagmarketi7/status/1696791853692027137")</f>
        <v>https://twitter.com/hashtagmarketi7/status/1696791853692027137</v>
      </c>
      <c r="AF448" s="79">
        <v>45168.32496527778</v>
      </c>
      <c r="AG448" s="85">
        <v>45168</v>
      </c>
      <c r="AH448" s="81" t="s">
        <v>929</v>
      </c>
      <c r="AI448" s="77" t="b">
        <v>0</v>
      </c>
      <c r="AJ448" s="77"/>
      <c r="AK448" s="77"/>
      <c r="AL448" s="77"/>
      <c r="AM448" s="77"/>
      <c r="AN448" s="77"/>
      <c r="AO448" s="77"/>
      <c r="AP448" s="77"/>
      <c r="AQ448" s="77"/>
      <c r="AR448" s="77"/>
      <c r="AS448" s="77"/>
      <c r="AT448" s="77"/>
      <c r="AU448" s="77"/>
      <c r="AV448" s="83" t="str">
        <f>HYPERLINK("https://pbs.twimg.com/profile_images/1487756429276684289/Kqq9xAOb_normal.png")</f>
        <v>https://pbs.twimg.com/profile_images/1487756429276684289/Kqq9xAOb_normal.png</v>
      </c>
      <c r="AW448" s="81" t="s">
        <v>1084</v>
      </c>
      <c r="AX448" s="81" t="s">
        <v>1084</v>
      </c>
      <c r="AY448" s="77"/>
      <c r="AZ448" s="81" t="s">
        <v>1190</v>
      </c>
      <c r="BA448" s="81" t="s">
        <v>1190</v>
      </c>
      <c r="BB448" s="81" t="s">
        <v>1190</v>
      </c>
      <c r="BC448" s="81" t="s">
        <v>1084</v>
      </c>
      <c r="BD448" s="81" t="s">
        <v>1205</v>
      </c>
      <c r="BE448" s="77"/>
      <c r="BF448" s="77"/>
      <c r="BG448" s="77"/>
      <c r="BH448" s="77"/>
      <c r="BI448" s="77"/>
      <c r="BJ448">
        <v>1</v>
      </c>
      <c r="BK448" s="76" t="str">
        <f>REPLACE(INDEX(GroupVertices[Group],MATCH(Edges[[#This Row],[Vertex 1]],GroupVertices[Vertex],0)),1,1,"")</f>
        <v>5</v>
      </c>
      <c r="BL448" s="76" t="str">
        <f>REPLACE(INDEX(GroupVertices[Group],MATCH(Edges[[#This Row],[Vertex 2]],GroupVertices[Vertex],0)),1,1,"")</f>
        <v>5</v>
      </c>
      <c r="BM448" s="45"/>
      <c r="BN448" s="46"/>
      <c r="BO448" s="45"/>
      <c r="BP448" s="46"/>
      <c r="BQ448" s="45"/>
      <c r="BR448" s="46"/>
      <c r="BS448" s="45"/>
      <c r="BT448" s="46"/>
      <c r="BU448" s="45"/>
    </row>
    <row r="449" spans="1:73" ht="15">
      <c r="A449" s="61" t="s">
        <v>239</v>
      </c>
      <c r="B449" s="61" t="s">
        <v>489</v>
      </c>
      <c r="C449" s="62" t="s">
        <v>11692</v>
      </c>
      <c r="D449" s="63">
        <v>3</v>
      </c>
      <c r="E449" s="64" t="s">
        <v>132</v>
      </c>
      <c r="F449" s="65">
        <v>32</v>
      </c>
      <c r="G449" s="62"/>
      <c r="H449" s="66"/>
      <c r="I449" s="67"/>
      <c r="J449" s="67"/>
      <c r="K449" s="31" t="s">
        <v>65</v>
      </c>
      <c r="L449" s="75">
        <v>449</v>
      </c>
      <c r="M449" s="75"/>
      <c r="N449" s="69"/>
      <c r="O449" s="77" t="s">
        <v>539</v>
      </c>
      <c r="P449" s="79">
        <v>45168.32496527778</v>
      </c>
      <c r="Q449" s="77" t="s">
        <v>601</v>
      </c>
      <c r="R449" s="77">
        <v>0</v>
      </c>
      <c r="S449" s="77">
        <v>5</v>
      </c>
      <c r="T449" s="77">
        <v>0</v>
      </c>
      <c r="U449" s="77">
        <v>0</v>
      </c>
      <c r="V449" s="77">
        <v>61</v>
      </c>
      <c r="W449" s="81" t="s">
        <v>705</v>
      </c>
      <c r="X449" s="83" t="str">
        <f>HYPERLINK("https://bit.ly/3qRfJrM")</f>
        <v>https://bit.ly/3qRfJrM</v>
      </c>
      <c r="Y449" s="77" t="s">
        <v>740</v>
      </c>
      <c r="Z449" s="77" t="s">
        <v>790</v>
      </c>
      <c r="AA449" s="77"/>
      <c r="AB449" s="77"/>
      <c r="AC449" s="81" t="s">
        <v>853</v>
      </c>
      <c r="AD449" s="77" t="s">
        <v>859</v>
      </c>
      <c r="AE449" s="83" t="str">
        <f>HYPERLINK("https://twitter.com/hashtagmarketi7/status/1696791853692027137")</f>
        <v>https://twitter.com/hashtagmarketi7/status/1696791853692027137</v>
      </c>
      <c r="AF449" s="79">
        <v>45168.32496527778</v>
      </c>
      <c r="AG449" s="85">
        <v>45168</v>
      </c>
      <c r="AH449" s="81" t="s">
        <v>929</v>
      </c>
      <c r="AI449" s="77" t="b">
        <v>0</v>
      </c>
      <c r="AJ449" s="77"/>
      <c r="AK449" s="77"/>
      <c r="AL449" s="77"/>
      <c r="AM449" s="77"/>
      <c r="AN449" s="77"/>
      <c r="AO449" s="77"/>
      <c r="AP449" s="77"/>
      <c r="AQ449" s="77"/>
      <c r="AR449" s="77"/>
      <c r="AS449" s="77"/>
      <c r="AT449" s="77"/>
      <c r="AU449" s="77"/>
      <c r="AV449" s="83" t="str">
        <f>HYPERLINK("https://pbs.twimg.com/profile_images/1487756429276684289/Kqq9xAOb_normal.png")</f>
        <v>https://pbs.twimg.com/profile_images/1487756429276684289/Kqq9xAOb_normal.png</v>
      </c>
      <c r="AW449" s="81" t="s">
        <v>1084</v>
      </c>
      <c r="AX449" s="81" t="s">
        <v>1084</v>
      </c>
      <c r="AY449" s="77"/>
      <c r="AZ449" s="81" t="s">
        <v>1190</v>
      </c>
      <c r="BA449" s="81" t="s">
        <v>1190</v>
      </c>
      <c r="BB449" s="81" t="s">
        <v>1190</v>
      </c>
      <c r="BC449" s="81" t="s">
        <v>1084</v>
      </c>
      <c r="BD449" s="81" t="s">
        <v>1205</v>
      </c>
      <c r="BE449" s="77"/>
      <c r="BF449" s="77"/>
      <c r="BG449" s="77"/>
      <c r="BH449" s="77"/>
      <c r="BI449" s="77"/>
      <c r="BJ449">
        <v>1</v>
      </c>
      <c r="BK449" s="76" t="str">
        <f>REPLACE(INDEX(GroupVertices[Group],MATCH(Edges[[#This Row],[Vertex 1]],GroupVertices[Vertex],0)),1,1,"")</f>
        <v>5</v>
      </c>
      <c r="BL449" s="76" t="str">
        <f>REPLACE(INDEX(GroupVertices[Group],MATCH(Edges[[#This Row],[Vertex 2]],GroupVertices[Vertex],0)),1,1,"")</f>
        <v>5</v>
      </c>
      <c r="BM449" s="45"/>
      <c r="BN449" s="46"/>
      <c r="BO449" s="45"/>
      <c r="BP449" s="46"/>
      <c r="BQ449" s="45"/>
      <c r="BR449" s="46"/>
      <c r="BS449" s="45"/>
      <c r="BT449" s="46"/>
      <c r="BU449" s="45"/>
    </row>
    <row r="450" spans="1:73" ht="15">
      <c r="A450" s="61" t="s">
        <v>239</v>
      </c>
      <c r="B450" s="61" t="s">
        <v>490</v>
      </c>
      <c r="C450" s="62" t="s">
        <v>11692</v>
      </c>
      <c r="D450" s="63">
        <v>3</v>
      </c>
      <c r="E450" s="64" t="s">
        <v>132</v>
      </c>
      <c r="F450" s="65">
        <v>32</v>
      </c>
      <c r="G450" s="62"/>
      <c r="H450" s="66"/>
      <c r="I450" s="67"/>
      <c r="J450" s="67"/>
      <c r="K450" s="31" t="s">
        <v>65</v>
      </c>
      <c r="L450" s="75">
        <v>450</v>
      </c>
      <c r="M450" s="75"/>
      <c r="N450" s="69"/>
      <c r="O450" s="77" t="s">
        <v>539</v>
      </c>
      <c r="P450" s="79">
        <v>45168.32496527778</v>
      </c>
      <c r="Q450" s="77" t="s">
        <v>601</v>
      </c>
      <c r="R450" s="77">
        <v>0</v>
      </c>
      <c r="S450" s="77">
        <v>5</v>
      </c>
      <c r="T450" s="77">
        <v>0</v>
      </c>
      <c r="U450" s="77">
        <v>0</v>
      </c>
      <c r="V450" s="77">
        <v>61</v>
      </c>
      <c r="W450" s="81" t="s">
        <v>705</v>
      </c>
      <c r="X450" s="83" t="str">
        <f>HYPERLINK("https://bit.ly/3qRfJrM")</f>
        <v>https://bit.ly/3qRfJrM</v>
      </c>
      <c r="Y450" s="77" t="s">
        <v>740</v>
      </c>
      <c r="Z450" s="77" t="s">
        <v>790</v>
      </c>
      <c r="AA450" s="77"/>
      <c r="AB450" s="77"/>
      <c r="AC450" s="81" t="s">
        <v>853</v>
      </c>
      <c r="AD450" s="77" t="s">
        <v>859</v>
      </c>
      <c r="AE450" s="83" t="str">
        <f>HYPERLINK("https://twitter.com/hashtagmarketi7/status/1696791853692027137")</f>
        <v>https://twitter.com/hashtagmarketi7/status/1696791853692027137</v>
      </c>
      <c r="AF450" s="79">
        <v>45168.32496527778</v>
      </c>
      <c r="AG450" s="85">
        <v>45168</v>
      </c>
      <c r="AH450" s="81" t="s">
        <v>929</v>
      </c>
      <c r="AI450" s="77" t="b">
        <v>0</v>
      </c>
      <c r="AJ450" s="77"/>
      <c r="AK450" s="77"/>
      <c r="AL450" s="77"/>
      <c r="AM450" s="77"/>
      <c r="AN450" s="77"/>
      <c r="AO450" s="77"/>
      <c r="AP450" s="77"/>
      <c r="AQ450" s="77"/>
      <c r="AR450" s="77"/>
      <c r="AS450" s="77"/>
      <c r="AT450" s="77"/>
      <c r="AU450" s="77"/>
      <c r="AV450" s="83" t="str">
        <f>HYPERLINK("https://pbs.twimg.com/profile_images/1487756429276684289/Kqq9xAOb_normal.png")</f>
        <v>https://pbs.twimg.com/profile_images/1487756429276684289/Kqq9xAOb_normal.png</v>
      </c>
      <c r="AW450" s="81" t="s">
        <v>1084</v>
      </c>
      <c r="AX450" s="81" t="s">
        <v>1084</v>
      </c>
      <c r="AY450" s="77"/>
      <c r="AZ450" s="81" t="s">
        <v>1190</v>
      </c>
      <c r="BA450" s="81" t="s">
        <v>1190</v>
      </c>
      <c r="BB450" s="81" t="s">
        <v>1190</v>
      </c>
      <c r="BC450" s="81" t="s">
        <v>1084</v>
      </c>
      <c r="BD450" s="81" t="s">
        <v>1205</v>
      </c>
      <c r="BE450" s="77"/>
      <c r="BF450" s="77"/>
      <c r="BG450" s="77"/>
      <c r="BH450" s="77"/>
      <c r="BI450" s="77"/>
      <c r="BJ450">
        <v>1</v>
      </c>
      <c r="BK450" s="76" t="str">
        <f>REPLACE(INDEX(GroupVertices[Group],MATCH(Edges[[#This Row],[Vertex 1]],GroupVertices[Vertex],0)),1,1,"")</f>
        <v>5</v>
      </c>
      <c r="BL450" s="76" t="str">
        <f>REPLACE(INDEX(GroupVertices[Group],MATCH(Edges[[#This Row],[Vertex 2]],GroupVertices[Vertex],0)),1,1,"")</f>
        <v>5</v>
      </c>
      <c r="BM450" s="45">
        <v>1</v>
      </c>
      <c r="BN450" s="46">
        <v>4</v>
      </c>
      <c r="BO450" s="45">
        <v>0</v>
      </c>
      <c r="BP450" s="46">
        <v>0</v>
      </c>
      <c r="BQ450" s="45">
        <v>0</v>
      </c>
      <c r="BR450" s="46">
        <v>0</v>
      </c>
      <c r="BS450" s="45">
        <v>22</v>
      </c>
      <c r="BT450" s="46">
        <v>88</v>
      </c>
      <c r="BU450" s="45">
        <v>25</v>
      </c>
    </row>
    <row r="451" spans="1:73" ht="15">
      <c r="A451" s="61" t="s">
        <v>239</v>
      </c>
      <c r="B451" s="61" t="s">
        <v>228</v>
      </c>
      <c r="C451" s="62" t="s">
        <v>11693</v>
      </c>
      <c r="D451" s="63">
        <v>4.4</v>
      </c>
      <c r="E451" s="64" t="s">
        <v>132</v>
      </c>
      <c r="F451" s="65">
        <v>27.6</v>
      </c>
      <c r="G451" s="62"/>
      <c r="H451" s="66"/>
      <c r="I451" s="67"/>
      <c r="J451" s="67"/>
      <c r="K451" s="31" t="s">
        <v>65</v>
      </c>
      <c r="L451" s="75">
        <v>451</v>
      </c>
      <c r="M451" s="75"/>
      <c r="N451" s="69"/>
      <c r="O451" s="77" t="s">
        <v>539</v>
      </c>
      <c r="P451" s="79">
        <v>45166.66709490741</v>
      </c>
      <c r="Q451" s="77" t="s">
        <v>600</v>
      </c>
      <c r="R451" s="77">
        <v>0</v>
      </c>
      <c r="S451" s="77">
        <v>4</v>
      </c>
      <c r="T451" s="77">
        <v>0</v>
      </c>
      <c r="U451" s="77">
        <v>0</v>
      </c>
      <c r="V451" s="77">
        <v>31</v>
      </c>
      <c r="W451" s="81" t="s">
        <v>704</v>
      </c>
      <c r="X451" s="83" t="str">
        <f>HYPERLINK("https://bit.ly/3Pi0L7D")</f>
        <v>https://bit.ly/3Pi0L7D</v>
      </c>
      <c r="Y451" s="77" t="s">
        <v>740</v>
      </c>
      <c r="Z451" s="77" t="s">
        <v>789</v>
      </c>
      <c r="AA451" s="77"/>
      <c r="AB451" s="77"/>
      <c r="AC451" s="81" t="s">
        <v>853</v>
      </c>
      <c r="AD451" s="77" t="s">
        <v>859</v>
      </c>
      <c r="AE451" s="83" t="str">
        <f>HYPERLINK("https://twitter.com/hashtagmarketi7/status/1696191063289967087")</f>
        <v>https://twitter.com/hashtagmarketi7/status/1696191063289967087</v>
      </c>
      <c r="AF451" s="79">
        <v>45166.66709490741</v>
      </c>
      <c r="AG451" s="85">
        <v>45166</v>
      </c>
      <c r="AH451" s="81" t="s">
        <v>928</v>
      </c>
      <c r="AI451" s="77" t="b">
        <v>0</v>
      </c>
      <c r="AJ451" s="77"/>
      <c r="AK451" s="77"/>
      <c r="AL451" s="77"/>
      <c r="AM451" s="77"/>
      <c r="AN451" s="77"/>
      <c r="AO451" s="77"/>
      <c r="AP451" s="77"/>
      <c r="AQ451" s="77"/>
      <c r="AR451" s="77"/>
      <c r="AS451" s="77"/>
      <c r="AT451" s="77"/>
      <c r="AU451" s="77"/>
      <c r="AV451" s="83" t="str">
        <f>HYPERLINK("https://pbs.twimg.com/profile_images/1487756429276684289/Kqq9xAOb_normal.png")</f>
        <v>https://pbs.twimg.com/profile_images/1487756429276684289/Kqq9xAOb_normal.png</v>
      </c>
      <c r="AW451" s="81" t="s">
        <v>1083</v>
      </c>
      <c r="AX451" s="81" t="s">
        <v>1083</v>
      </c>
      <c r="AY451" s="77"/>
      <c r="AZ451" s="81" t="s">
        <v>1190</v>
      </c>
      <c r="BA451" s="81" t="s">
        <v>1190</v>
      </c>
      <c r="BB451" s="81" t="s">
        <v>1190</v>
      </c>
      <c r="BC451" s="81" t="s">
        <v>1083</v>
      </c>
      <c r="BD451" s="81" t="s">
        <v>1205</v>
      </c>
      <c r="BE451" s="77"/>
      <c r="BF451" s="77"/>
      <c r="BG451" s="77"/>
      <c r="BH451" s="77"/>
      <c r="BI451" s="77"/>
      <c r="BJ451">
        <v>2</v>
      </c>
      <c r="BK451" s="76" t="str">
        <f>REPLACE(INDEX(GroupVertices[Group],MATCH(Edges[[#This Row],[Vertex 1]],GroupVertices[Vertex],0)),1,1,"")</f>
        <v>5</v>
      </c>
      <c r="BL451" s="76" t="str">
        <f>REPLACE(INDEX(GroupVertices[Group],MATCH(Edges[[#This Row],[Vertex 2]],GroupVertices[Vertex],0)),1,1,"")</f>
        <v>2</v>
      </c>
      <c r="BM451" s="45"/>
      <c r="BN451" s="46"/>
      <c r="BO451" s="45"/>
      <c r="BP451" s="46"/>
      <c r="BQ451" s="45"/>
      <c r="BR451" s="46"/>
      <c r="BS451" s="45"/>
      <c r="BT451" s="46"/>
      <c r="BU451" s="45"/>
    </row>
    <row r="452" spans="1:73" ht="15">
      <c r="A452" s="61" t="s">
        <v>239</v>
      </c>
      <c r="B452" s="61" t="s">
        <v>255</v>
      </c>
      <c r="C452" s="62" t="s">
        <v>11692</v>
      </c>
      <c r="D452" s="63">
        <v>3</v>
      </c>
      <c r="E452" s="64" t="s">
        <v>132</v>
      </c>
      <c r="F452" s="65">
        <v>32</v>
      </c>
      <c r="G452" s="62"/>
      <c r="H452" s="66"/>
      <c r="I452" s="67"/>
      <c r="J452" s="67"/>
      <c r="K452" s="31" t="s">
        <v>65</v>
      </c>
      <c r="L452" s="75">
        <v>452</v>
      </c>
      <c r="M452" s="75"/>
      <c r="N452" s="69"/>
      <c r="O452" s="77" t="s">
        <v>539</v>
      </c>
      <c r="P452" s="79">
        <v>45168.32496527778</v>
      </c>
      <c r="Q452" s="77" t="s">
        <v>601</v>
      </c>
      <c r="R452" s="77">
        <v>0</v>
      </c>
      <c r="S452" s="77">
        <v>5</v>
      </c>
      <c r="T452" s="77">
        <v>0</v>
      </c>
      <c r="U452" s="77">
        <v>0</v>
      </c>
      <c r="V452" s="77">
        <v>61</v>
      </c>
      <c r="W452" s="81" t="s">
        <v>705</v>
      </c>
      <c r="X452" s="83" t="str">
        <f>HYPERLINK("https://bit.ly/3qRfJrM")</f>
        <v>https://bit.ly/3qRfJrM</v>
      </c>
      <c r="Y452" s="77" t="s">
        <v>740</v>
      </c>
      <c r="Z452" s="77" t="s">
        <v>790</v>
      </c>
      <c r="AA452" s="77"/>
      <c r="AB452" s="77"/>
      <c r="AC452" s="81" t="s">
        <v>853</v>
      </c>
      <c r="AD452" s="77" t="s">
        <v>859</v>
      </c>
      <c r="AE452" s="83" t="str">
        <f>HYPERLINK("https://twitter.com/hashtagmarketi7/status/1696791853692027137")</f>
        <v>https://twitter.com/hashtagmarketi7/status/1696791853692027137</v>
      </c>
      <c r="AF452" s="79">
        <v>45168.32496527778</v>
      </c>
      <c r="AG452" s="85">
        <v>45168</v>
      </c>
      <c r="AH452" s="81" t="s">
        <v>929</v>
      </c>
      <c r="AI452" s="77" t="b">
        <v>0</v>
      </c>
      <c r="AJ452" s="77"/>
      <c r="AK452" s="77"/>
      <c r="AL452" s="77"/>
      <c r="AM452" s="77"/>
      <c r="AN452" s="77"/>
      <c r="AO452" s="77"/>
      <c r="AP452" s="77"/>
      <c r="AQ452" s="77"/>
      <c r="AR452" s="77"/>
      <c r="AS452" s="77"/>
      <c r="AT452" s="77"/>
      <c r="AU452" s="77"/>
      <c r="AV452" s="83" t="str">
        <f>HYPERLINK("https://pbs.twimg.com/profile_images/1487756429276684289/Kqq9xAOb_normal.png")</f>
        <v>https://pbs.twimg.com/profile_images/1487756429276684289/Kqq9xAOb_normal.png</v>
      </c>
      <c r="AW452" s="81" t="s">
        <v>1084</v>
      </c>
      <c r="AX452" s="81" t="s">
        <v>1084</v>
      </c>
      <c r="AY452" s="77"/>
      <c r="AZ452" s="81" t="s">
        <v>1190</v>
      </c>
      <c r="BA452" s="81" t="s">
        <v>1190</v>
      </c>
      <c r="BB452" s="81" t="s">
        <v>1190</v>
      </c>
      <c r="BC452" s="81" t="s">
        <v>1084</v>
      </c>
      <c r="BD452" s="81" t="s">
        <v>1205</v>
      </c>
      <c r="BE452" s="77"/>
      <c r="BF452" s="77"/>
      <c r="BG452" s="77"/>
      <c r="BH452" s="77"/>
      <c r="BI452" s="77"/>
      <c r="BJ452">
        <v>1</v>
      </c>
      <c r="BK452" s="76" t="str">
        <f>REPLACE(INDEX(GroupVertices[Group],MATCH(Edges[[#This Row],[Vertex 1]],GroupVertices[Vertex],0)),1,1,"")</f>
        <v>5</v>
      </c>
      <c r="BL452" s="76" t="str">
        <f>REPLACE(INDEX(GroupVertices[Group],MATCH(Edges[[#This Row],[Vertex 2]],GroupVertices[Vertex],0)),1,1,"")</f>
        <v>5</v>
      </c>
      <c r="BM452" s="45"/>
      <c r="BN452" s="46"/>
      <c r="BO452" s="45"/>
      <c r="BP452" s="46"/>
      <c r="BQ452" s="45"/>
      <c r="BR452" s="46"/>
      <c r="BS452" s="45"/>
      <c r="BT452" s="46"/>
      <c r="BU452" s="45"/>
    </row>
    <row r="453" spans="1:73" ht="15">
      <c r="A453" s="61" t="s">
        <v>239</v>
      </c>
      <c r="B453" s="61" t="s">
        <v>228</v>
      </c>
      <c r="C453" s="62" t="s">
        <v>11693</v>
      </c>
      <c r="D453" s="63">
        <v>4.4</v>
      </c>
      <c r="E453" s="64" t="s">
        <v>132</v>
      </c>
      <c r="F453" s="65">
        <v>27.6</v>
      </c>
      <c r="G453" s="62"/>
      <c r="H453" s="66"/>
      <c r="I453" s="67"/>
      <c r="J453" s="67"/>
      <c r="K453" s="31" t="s">
        <v>65</v>
      </c>
      <c r="L453" s="75">
        <v>453</v>
      </c>
      <c r="M453" s="75"/>
      <c r="N453" s="69"/>
      <c r="O453" s="77" t="s">
        <v>539</v>
      </c>
      <c r="P453" s="79">
        <v>45168.32496527778</v>
      </c>
      <c r="Q453" s="77" t="s">
        <v>601</v>
      </c>
      <c r="R453" s="77">
        <v>0</v>
      </c>
      <c r="S453" s="77">
        <v>5</v>
      </c>
      <c r="T453" s="77">
        <v>0</v>
      </c>
      <c r="U453" s="77">
        <v>0</v>
      </c>
      <c r="V453" s="77">
        <v>61</v>
      </c>
      <c r="W453" s="81" t="s">
        <v>705</v>
      </c>
      <c r="X453" s="83" t="str">
        <f>HYPERLINK("https://bit.ly/3qRfJrM")</f>
        <v>https://bit.ly/3qRfJrM</v>
      </c>
      <c r="Y453" s="77" t="s">
        <v>740</v>
      </c>
      <c r="Z453" s="77" t="s">
        <v>790</v>
      </c>
      <c r="AA453" s="77"/>
      <c r="AB453" s="77"/>
      <c r="AC453" s="81" t="s">
        <v>853</v>
      </c>
      <c r="AD453" s="77" t="s">
        <v>859</v>
      </c>
      <c r="AE453" s="83" t="str">
        <f>HYPERLINK("https://twitter.com/hashtagmarketi7/status/1696791853692027137")</f>
        <v>https://twitter.com/hashtagmarketi7/status/1696791853692027137</v>
      </c>
      <c r="AF453" s="79">
        <v>45168.32496527778</v>
      </c>
      <c r="AG453" s="85">
        <v>45168</v>
      </c>
      <c r="AH453" s="81" t="s">
        <v>929</v>
      </c>
      <c r="AI453" s="77" t="b">
        <v>0</v>
      </c>
      <c r="AJ453" s="77"/>
      <c r="AK453" s="77"/>
      <c r="AL453" s="77"/>
      <c r="AM453" s="77"/>
      <c r="AN453" s="77"/>
      <c r="AO453" s="77"/>
      <c r="AP453" s="77"/>
      <c r="AQ453" s="77"/>
      <c r="AR453" s="77"/>
      <c r="AS453" s="77"/>
      <c r="AT453" s="77"/>
      <c r="AU453" s="77"/>
      <c r="AV453" s="83" t="str">
        <f>HYPERLINK("https://pbs.twimg.com/profile_images/1487756429276684289/Kqq9xAOb_normal.png")</f>
        <v>https://pbs.twimg.com/profile_images/1487756429276684289/Kqq9xAOb_normal.png</v>
      </c>
      <c r="AW453" s="81" t="s">
        <v>1084</v>
      </c>
      <c r="AX453" s="81" t="s">
        <v>1084</v>
      </c>
      <c r="AY453" s="77"/>
      <c r="AZ453" s="81" t="s">
        <v>1190</v>
      </c>
      <c r="BA453" s="81" t="s">
        <v>1190</v>
      </c>
      <c r="BB453" s="81" t="s">
        <v>1190</v>
      </c>
      <c r="BC453" s="81" t="s">
        <v>1084</v>
      </c>
      <c r="BD453" s="81" t="s">
        <v>1205</v>
      </c>
      <c r="BE453" s="77"/>
      <c r="BF453" s="77"/>
      <c r="BG453" s="77"/>
      <c r="BH453" s="77"/>
      <c r="BI453" s="77"/>
      <c r="BJ453">
        <v>2</v>
      </c>
      <c r="BK453" s="76" t="str">
        <f>REPLACE(INDEX(GroupVertices[Group],MATCH(Edges[[#This Row],[Vertex 1]],GroupVertices[Vertex],0)),1,1,"")</f>
        <v>5</v>
      </c>
      <c r="BL453" s="76" t="str">
        <f>REPLACE(INDEX(GroupVertices[Group],MATCH(Edges[[#This Row],[Vertex 2]],GroupVertices[Vertex],0)),1,1,"")</f>
        <v>2</v>
      </c>
      <c r="BM453" s="45"/>
      <c r="BN453" s="46"/>
      <c r="BO453" s="45"/>
      <c r="BP453" s="46"/>
      <c r="BQ453" s="45"/>
      <c r="BR453" s="46"/>
      <c r="BS453" s="45"/>
      <c r="BT453" s="46"/>
      <c r="BU453" s="45"/>
    </row>
    <row r="454" spans="1:73" ht="15">
      <c r="A454" s="61" t="s">
        <v>240</v>
      </c>
      <c r="B454" s="61" t="s">
        <v>491</v>
      </c>
      <c r="C454" s="62" t="s">
        <v>11692</v>
      </c>
      <c r="D454" s="63">
        <v>3</v>
      </c>
      <c r="E454" s="64" t="s">
        <v>132</v>
      </c>
      <c r="F454" s="65">
        <v>32</v>
      </c>
      <c r="G454" s="62"/>
      <c r="H454" s="66"/>
      <c r="I454" s="67"/>
      <c r="J454" s="67"/>
      <c r="K454" s="31" t="s">
        <v>65</v>
      </c>
      <c r="L454" s="75">
        <v>454</v>
      </c>
      <c r="M454" s="75"/>
      <c r="N454" s="69"/>
      <c r="O454" s="77" t="s">
        <v>539</v>
      </c>
      <c r="P454" s="79">
        <v>45145.426087962966</v>
      </c>
      <c r="Q454" s="77" t="s">
        <v>602</v>
      </c>
      <c r="R454" s="77">
        <v>1</v>
      </c>
      <c r="S454" s="77">
        <v>3</v>
      </c>
      <c r="T454" s="77">
        <v>1</v>
      </c>
      <c r="U454" s="77">
        <v>0</v>
      </c>
      <c r="V454" s="77">
        <v>189</v>
      </c>
      <c r="W454" s="81" t="s">
        <v>706</v>
      </c>
      <c r="X454" s="83" t="str">
        <f>HYPERLINK("https://api.ltb.io/show/ABWJY")</f>
        <v>https://api.ltb.io/show/ABWJY</v>
      </c>
      <c r="Y454" s="77" t="s">
        <v>745</v>
      </c>
      <c r="Z454" s="77" t="s">
        <v>491</v>
      </c>
      <c r="AA454" s="77"/>
      <c r="AB454" s="77"/>
      <c r="AC454" s="81" t="s">
        <v>853</v>
      </c>
      <c r="AD454" s="77" t="s">
        <v>859</v>
      </c>
      <c r="AE454" s="83" t="str">
        <f>HYPERLINK("https://twitter.com/shaziaiqbal2023/status/1688493577565876224")</f>
        <v>https://twitter.com/shaziaiqbal2023/status/1688493577565876224</v>
      </c>
      <c r="AF454" s="79">
        <v>45145.426087962966</v>
      </c>
      <c r="AG454" s="85">
        <v>45145</v>
      </c>
      <c r="AH454" s="81" t="s">
        <v>930</v>
      </c>
      <c r="AI454" s="77" t="b">
        <v>0</v>
      </c>
      <c r="AJ454" s="77"/>
      <c r="AK454" s="77"/>
      <c r="AL454" s="77"/>
      <c r="AM454" s="77"/>
      <c r="AN454" s="77"/>
      <c r="AO454" s="77"/>
      <c r="AP454" s="77"/>
      <c r="AQ454" s="77"/>
      <c r="AR454" s="77"/>
      <c r="AS454" s="77"/>
      <c r="AT454" s="77"/>
      <c r="AU454" s="77"/>
      <c r="AV454" s="83" t="str">
        <f>HYPERLINK("https://pbs.twimg.com/profile_images/1683859330783645697/_AiWFyyA_normal.jpg")</f>
        <v>https://pbs.twimg.com/profile_images/1683859330783645697/_AiWFyyA_normal.jpg</v>
      </c>
      <c r="AW454" s="81" t="s">
        <v>1085</v>
      </c>
      <c r="AX454" s="81" t="s">
        <v>1085</v>
      </c>
      <c r="AY454" s="77"/>
      <c r="AZ454" s="81" t="s">
        <v>1190</v>
      </c>
      <c r="BA454" s="81" t="s">
        <v>1190</v>
      </c>
      <c r="BB454" s="81" t="s">
        <v>1190</v>
      </c>
      <c r="BC454" s="81" t="s">
        <v>1085</v>
      </c>
      <c r="BD454" s="81" t="s">
        <v>1206</v>
      </c>
      <c r="BE454" s="77"/>
      <c r="BF454" s="77"/>
      <c r="BG454" s="77"/>
      <c r="BH454" s="77"/>
      <c r="BI454" s="77"/>
      <c r="BJ454">
        <v>1</v>
      </c>
      <c r="BK454" s="76" t="str">
        <f>REPLACE(INDEX(GroupVertices[Group],MATCH(Edges[[#This Row],[Vertex 1]],GroupVertices[Vertex],0)),1,1,"")</f>
        <v>14</v>
      </c>
      <c r="BL454" s="76" t="str">
        <f>REPLACE(INDEX(GroupVertices[Group],MATCH(Edges[[#This Row],[Vertex 2]],GroupVertices[Vertex],0)),1,1,"")</f>
        <v>14</v>
      </c>
      <c r="BM454" s="45">
        <v>1</v>
      </c>
      <c r="BN454" s="46">
        <v>3.225806451612903</v>
      </c>
      <c r="BO454" s="45">
        <v>1</v>
      </c>
      <c r="BP454" s="46">
        <v>3.225806451612903</v>
      </c>
      <c r="BQ454" s="45">
        <v>0</v>
      </c>
      <c r="BR454" s="46">
        <v>0</v>
      </c>
      <c r="BS454" s="45">
        <v>19</v>
      </c>
      <c r="BT454" s="46">
        <v>61.29032258064516</v>
      </c>
      <c r="BU454" s="45">
        <v>31</v>
      </c>
    </row>
    <row r="455" spans="1:73" ht="15">
      <c r="A455" s="61" t="s">
        <v>241</v>
      </c>
      <c r="B455" s="61" t="s">
        <v>492</v>
      </c>
      <c r="C455" s="62" t="s">
        <v>11692</v>
      </c>
      <c r="D455" s="63">
        <v>3</v>
      </c>
      <c r="E455" s="64" t="s">
        <v>132</v>
      </c>
      <c r="F455" s="65">
        <v>32</v>
      </c>
      <c r="G455" s="62"/>
      <c r="H455" s="66"/>
      <c r="I455" s="67"/>
      <c r="J455" s="67"/>
      <c r="K455" s="31" t="s">
        <v>65</v>
      </c>
      <c r="L455" s="75">
        <v>455</v>
      </c>
      <c r="M455" s="75"/>
      <c r="N455" s="69"/>
      <c r="O455" s="77" t="s">
        <v>543</v>
      </c>
      <c r="P455" s="79">
        <v>45140.46244212963</v>
      </c>
      <c r="Q455" s="77" t="s">
        <v>603</v>
      </c>
      <c r="R455" s="77">
        <v>0</v>
      </c>
      <c r="S455" s="77">
        <v>1</v>
      </c>
      <c r="T455" s="77">
        <v>0</v>
      </c>
      <c r="U455" s="77">
        <v>0</v>
      </c>
      <c r="V455" s="77">
        <v>31</v>
      </c>
      <c r="W455" s="77"/>
      <c r="X455" s="77"/>
      <c r="Y455" s="77"/>
      <c r="Z455" s="77" t="s">
        <v>791</v>
      </c>
      <c r="AA455" s="77" t="s">
        <v>834</v>
      </c>
      <c r="AB455" s="77" t="s">
        <v>848</v>
      </c>
      <c r="AC455" s="81" t="s">
        <v>857</v>
      </c>
      <c r="AD455" s="77" t="s">
        <v>859</v>
      </c>
      <c r="AE455" s="83" t="str">
        <f>HYPERLINK("https://twitter.com/littletoright/status/1686694813364596736")</f>
        <v>https://twitter.com/littletoright/status/1686694813364596736</v>
      </c>
      <c r="AF455" s="79">
        <v>45140.46244212963</v>
      </c>
      <c r="AG455" s="85">
        <v>45140</v>
      </c>
      <c r="AH455" s="81" t="s">
        <v>931</v>
      </c>
      <c r="AI455" s="77" t="b">
        <v>0</v>
      </c>
      <c r="AJ455" s="77"/>
      <c r="AK455" s="77"/>
      <c r="AL455" s="77"/>
      <c r="AM455" s="77"/>
      <c r="AN455" s="77"/>
      <c r="AO455" s="77"/>
      <c r="AP455" s="77"/>
      <c r="AQ455" s="77" t="s">
        <v>1013</v>
      </c>
      <c r="AR455" s="77"/>
      <c r="AS455" s="77"/>
      <c r="AT455" s="77"/>
      <c r="AU455" s="77"/>
      <c r="AV455" s="83" t="str">
        <f>HYPERLINK("https://pbs.twimg.com/media/F2hX_mWWAAEddMR.jpg")</f>
        <v>https://pbs.twimg.com/media/F2hX_mWWAAEddMR.jpg</v>
      </c>
      <c r="AW455" s="81" t="s">
        <v>1086</v>
      </c>
      <c r="AX455" s="81" t="s">
        <v>1143</v>
      </c>
      <c r="AY455" s="81" t="s">
        <v>1181</v>
      </c>
      <c r="AZ455" s="81" t="s">
        <v>1144</v>
      </c>
      <c r="BA455" s="81" t="s">
        <v>1190</v>
      </c>
      <c r="BB455" s="81" t="s">
        <v>1190</v>
      </c>
      <c r="BC455" s="81" t="s">
        <v>1144</v>
      </c>
      <c r="BD455" s="81" t="s">
        <v>1207</v>
      </c>
      <c r="BE455" s="77"/>
      <c r="BF455" s="77"/>
      <c r="BG455" s="77"/>
      <c r="BH455" s="77"/>
      <c r="BI455" s="77"/>
      <c r="BJ455">
        <v>1</v>
      </c>
      <c r="BK455" s="76" t="str">
        <f>REPLACE(INDEX(GroupVertices[Group],MATCH(Edges[[#This Row],[Vertex 1]],GroupVertices[Vertex],0)),1,1,"")</f>
        <v>8</v>
      </c>
      <c r="BL455" s="76" t="str">
        <f>REPLACE(INDEX(GroupVertices[Group],MATCH(Edges[[#This Row],[Vertex 2]],GroupVertices[Vertex],0)),1,1,"")</f>
        <v>8</v>
      </c>
      <c r="BM455" s="45"/>
      <c r="BN455" s="46"/>
      <c r="BO455" s="45"/>
      <c r="BP455" s="46"/>
      <c r="BQ455" s="45"/>
      <c r="BR455" s="46"/>
      <c r="BS455" s="45"/>
      <c r="BT455" s="46"/>
      <c r="BU455" s="45"/>
    </row>
    <row r="456" spans="1:73" ht="15">
      <c r="A456" s="61" t="s">
        <v>241</v>
      </c>
      <c r="B456" s="61" t="s">
        <v>261</v>
      </c>
      <c r="C456" s="62" t="s">
        <v>11692</v>
      </c>
      <c r="D456" s="63">
        <v>3</v>
      </c>
      <c r="E456" s="64" t="s">
        <v>132</v>
      </c>
      <c r="F456" s="65">
        <v>32</v>
      </c>
      <c r="G456" s="62"/>
      <c r="H456" s="66"/>
      <c r="I456" s="67"/>
      <c r="J456" s="67"/>
      <c r="K456" s="31" t="s">
        <v>65</v>
      </c>
      <c r="L456" s="75">
        <v>456</v>
      </c>
      <c r="M456" s="75"/>
      <c r="N456" s="69"/>
      <c r="O456" s="77" t="s">
        <v>543</v>
      </c>
      <c r="P456" s="79">
        <v>45140.46244212963</v>
      </c>
      <c r="Q456" s="77" t="s">
        <v>603</v>
      </c>
      <c r="R456" s="77">
        <v>0</v>
      </c>
      <c r="S456" s="77">
        <v>1</v>
      </c>
      <c r="T456" s="77">
        <v>0</v>
      </c>
      <c r="U456" s="77">
        <v>0</v>
      </c>
      <c r="V456" s="77">
        <v>31</v>
      </c>
      <c r="W456" s="77"/>
      <c r="X456" s="77"/>
      <c r="Y456" s="77"/>
      <c r="Z456" s="77" t="s">
        <v>791</v>
      </c>
      <c r="AA456" s="77" t="s">
        <v>834</v>
      </c>
      <c r="AB456" s="77" t="s">
        <v>848</v>
      </c>
      <c r="AC456" s="81" t="s">
        <v>857</v>
      </c>
      <c r="AD456" s="77" t="s">
        <v>859</v>
      </c>
      <c r="AE456" s="83" t="str">
        <f>HYPERLINK("https://twitter.com/littletoright/status/1686694813364596736")</f>
        <v>https://twitter.com/littletoright/status/1686694813364596736</v>
      </c>
      <c r="AF456" s="79">
        <v>45140.46244212963</v>
      </c>
      <c r="AG456" s="85">
        <v>45140</v>
      </c>
      <c r="AH456" s="81" t="s">
        <v>931</v>
      </c>
      <c r="AI456" s="77" t="b">
        <v>0</v>
      </c>
      <c r="AJ456" s="77"/>
      <c r="AK456" s="77"/>
      <c r="AL456" s="77"/>
      <c r="AM456" s="77"/>
      <c r="AN456" s="77"/>
      <c r="AO456" s="77"/>
      <c r="AP456" s="77"/>
      <c r="AQ456" s="77" t="s">
        <v>1013</v>
      </c>
      <c r="AR456" s="77"/>
      <c r="AS456" s="77"/>
      <c r="AT456" s="77"/>
      <c r="AU456" s="77"/>
      <c r="AV456" s="83" t="str">
        <f>HYPERLINK("https://pbs.twimg.com/media/F2hX_mWWAAEddMR.jpg")</f>
        <v>https://pbs.twimg.com/media/F2hX_mWWAAEddMR.jpg</v>
      </c>
      <c r="AW456" s="81" t="s">
        <v>1086</v>
      </c>
      <c r="AX456" s="81" t="s">
        <v>1143</v>
      </c>
      <c r="AY456" s="81" t="s">
        <v>1181</v>
      </c>
      <c r="AZ456" s="81" t="s">
        <v>1144</v>
      </c>
      <c r="BA456" s="81" t="s">
        <v>1190</v>
      </c>
      <c r="BB456" s="81" t="s">
        <v>1190</v>
      </c>
      <c r="BC456" s="81" t="s">
        <v>1144</v>
      </c>
      <c r="BD456" s="81" t="s">
        <v>1207</v>
      </c>
      <c r="BE456" s="77"/>
      <c r="BF456" s="77"/>
      <c r="BG456" s="77"/>
      <c r="BH456" s="77"/>
      <c r="BI456" s="77"/>
      <c r="BJ456">
        <v>1</v>
      </c>
      <c r="BK456" s="76" t="str">
        <f>REPLACE(INDEX(GroupVertices[Group],MATCH(Edges[[#This Row],[Vertex 1]],GroupVertices[Vertex],0)),1,1,"")</f>
        <v>8</v>
      </c>
      <c r="BL456" s="76" t="str">
        <f>REPLACE(INDEX(GroupVertices[Group],MATCH(Edges[[#This Row],[Vertex 2]],GroupVertices[Vertex],0)),1,1,"")</f>
        <v>8</v>
      </c>
      <c r="BM456" s="45"/>
      <c r="BN456" s="46"/>
      <c r="BO456" s="45"/>
      <c r="BP456" s="46"/>
      <c r="BQ456" s="45"/>
      <c r="BR456" s="46"/>
      <c r="BS456" s="45"/>
      <c r="BT456" s="46"/>
      <c r="BU456" s="45"/>
    </row>
    <row r="457" spans="1:73" ht="15">
      <c r="A457" s="61" t="s">
        <v>241</v>
      </c>
      <c r="B457" s="61" t="s">
        <v>262</v>
      </c>
      <c r="C457" s="62" t="s">
        <v>11692</v>
      </c>
      <c r="D457" s="63">
        <v>3</v>
      </c>
      <c r="E457" s="64" t="s">
        <v>132</v>
      </c>
      <c r="F457" s="65">
        <v>32</v>
      </c>
      <c r="G457" s="62"/>
      <c r="H457" s="66"/>
      <c r="I457" s="67"/>
      <c r="J457" s="67"/>
      <c r="K457" s="31" t="s">
        <v>65</v>
      </c>
      <c r="L457" s="75">
        <v>457</v>
      </c>
      <c r="M457" s="75"/>
      <c r="N457" s="69"/>
      <c r="O457" s="77" t="s">
        <v>543</v>
      </c>
      <c r="P457" s="79">
        <v>45140.46244212963</v>
      </c>
      <c r="Q457" s="77" t="s">
        <v>603</v>
      </c>
      <c r="R457" s="77">
        <v>0</v>
      </c>
      <c r="S457" s="77">
        <v>1</v>
      </c>
      <c r="T457" s="77">
        <v>0</v>
      </c>
      <c r="U457" s="77">
        <v>0</v>
      </c>
      <c r="V457" s="77">
        <v>31</v>
      </c>
      <c r="W457" s="77"/>
      <c r="X457" s="77"/>
      <c r="Y457" s="77"/>
      <c r="Z457" s="77" t="s">
        <v>791</v>
      </c>
      <c r="AA457" s="77" t="s">
        <v>834</v>
      </c>
      <c r="AB457" s="77" t="s">
        <v>848</v>
      </c>
      <c r="AC457" s="81" t="s">
        <v>857</v>
      </c>
      <c r="AD457" s="77" t="s">
        <v>859</v>
      </c>
      <c r="AE457" s="83" t="str">
        <f>HYPERLINK("https://twitter.com/littletoright/status/1686694813364596736")</f>
        <v>https://twitter.com/littletoright/status/1686694813364596736</v>
      </c>
      <c r="AF457" s="79">
        <v>45140.46244212963</v>
      </c>
      <c r="AG457" s="85">
        <v>45140</v>
      </c>
      <c r="AH457" s="81" t="s">
        <v>931</v>
      </c>
      <c r="AI457" s="77" t="b">
        <v>0</v>
      </c>
      <c r="AJ457" s="77"/>
      <c r="AK457" s="77"/>
      <c r="AL457" s="77"/>
      <c r="AM457" s="77"/>
      <c r="AN457" s="77"/>
      <c r="AO457" s="77"/>
      <c r="AP457" s="77"/>
      <c r="AQ457" s="77" t="s">
        <v>1013</v>
      </c>
      <c r="AR457" s="77"/>
      <c r="AS457" s="77"/>
      <c r="AT457" s="77"/>
      <c r="AU457" s="77"/>
      <c r="AV457" s="83" t="str">
        <f>HYPERLINK("https://pbs.twimg.com/media/F2hX_mWWAAEddMR.jpg")</f>
        <v>https://pbs.twimg.com/media/F2hX_mWWAAEddMR.jpg</v>
      </c>
      <c r="AW457" s="81" t="s">
        <v>1086</v>
      </c>
      <c r="AX457" s="81" t="s">
        <v>1143</v>
      </c>
      <c r="AY457" s="81" t="s">
        <v>1181</v>
      </c>
      <c r="AZ457" s="81" t="s">
        <v>1144</v>
      </c>
      <c r="BA457" s="81" t="s">
        <v>1190</v>
      </c>
      <c r="BB457" s="81" t="s">
        <v>1190</v>
      </c>
      <c r="BC457" s="81" t="s">
        <v>1144</v>
      </c>
      <c r="BD457" s="81" t="s">
        <v>1207</v>
      </c>
      <c r="BE457" s="77"/>
      <c r="BF457" s="77"/>
      <c r="BG457" s="77"/>
      <c r="BH457" s="77"/>
      <c r="BI457" s="77"/>
      <c r="BJ457">
        <v>1</v>
      </c>
      <c r="BK457" s="76" t="str">
        <f>REPLACE(INDEX(GroupVertices[Group],MATCH(Edges[[#This Row],[Vertex 1]],GroupVertices[Vertex],0)),1,1,"")</f>
        <v>8</v>
      </c>
      <c r="BL457" s="76" t="str">
        <f>REPLACE(INDEX(GroupVertices[Group],MATCH(Edges[[#This Row],[Vertex 2]],GroupVertices[Vertex],0)),1,1,"")</f>
        <v>8</v>
      </c>
      <c r="BM457" s="45"/>
      <c r="BN457" s="46"/>
      <c r="BO457" s="45"/>
      <c r="BP457" s="46"/>
      <c r="BQ457" s="45"/>
      <c r="BR457" s="46"/>
      <c r="BS457" s="45"/>
      <c r="BT457" s="46"/>
      <c r="BU457" s="45"/>
    </row>
    <row r="458" spans="1:73" ht="15">
      <c r="A458" s="61" t="s">
        <v>241</v>
      </c>
      <c r="B458" s="61" t="s">
        <v>493</v>
      </c>
      <c r="C458" s="62" t="s">
        <v>11692</v>
      </c>
      <c r="D458" s="63">
        <v>3</v>
      </c>
      <c r="E458" s="64" t="s">
        <v>132</v>
      </c>
      <c r="F458" s="65">
        <v>32</v>
      </c>
      <c r="G458" s="62"/>
      <c r="H458" s="66"/>
      <c r="I458" s="67"/>
      <c r="J458" s="67"/>
      <c r="K458" s="31" t="s">
        <v>65</v>
      </c>
      <c r="L458" s="75">
        <v>458</v>
      </c>
      <c r="M458" s="75"/>
      <c r="N458" s="69"/>
      <c r="O458" s="77" t="s">
        <v>543</v>
      </c>
      <c r="P458" s="79">
        <v>45140.46244212963</v>
      </c>
      <c r="Q458" s="77" t="s">
        <v>603</v>
      </c>
      <c r="R458" s="77">
        <v>0</v>
      </c>
      <c r="S458" s="77">
        <v>1</v>
      </c>
      <c r="T458" s="77">
        <v>0</v>
      </c>
      <c r="U458" s="77">
        <v>0</v>
      </c>
      <c r="V458" s="77">
        <v>31</v>
      </c>
      <c r="W458" s="77"/>
      <c r="X458" s="77"/>
      <c r="Y458" s="77"/>
      <c r="Z458" s="77" t="s">
        <v>791</v>
      </c>
      <c r="AA458" s="77" t="s">
        <v>834</v>
      </c>
      <c r="AB458" s="77" t="s">
        <v>848</v>
      </c>
      <c r="AC458" s="81" t="s">
        <v>857</v>
      </c>
      <c r="AD458" s="77" t="s">
        <v>859</v>
      </c>
      <c r="AE458" s="83" t="str">
        <f>HYPERLINK("https://twitter.com/littletoright/status/1686694813364596736")</f>
        <v>https://twitter.com/littletoright/status/1686694813364596736</v>
      </c>
      <c r="AF458" s="79">
        <v>45140.46244212963</v>
      </c>
      <c r="AG458" s="85">
        <v>45140</v>
      </c>
      <c r="AH458" s="81" t="s">
        <v>931</v>
      </c>
      <c r="AI458" s="77" t="b">
        <v>0</v>
      </c>
      <c r="AJ458" s="77"/>
      <c r="AK458" s="77"/>
      <c r="AL458" s="77"/>
      <c r="AM458" s="77"/>
      <c r="AN458" s="77"/>
      <c r="AO458" s="77"/>
      <c r="AP458" s="77"/>
      <c r="AQ458" s="77" t="s">
        <v>1013</v>
      </c>
      <c r="AR458" s="77"/>
      <c r="AS458" s="77"/>
      <c r="AT458" s="77"/>
      <c r="AU458" s="77"/>
      <c r="AV458" s="83" t="str">
        <f>HYPERLINK("https://pbs.twimg.com/media/F2hX_mWWAAEddMR.jpg")</f>
        <v>https://pbs.twimg.com/media/F2hX_mWWAAEddMR.jpg</v>
      </c>
      <c r="AW458" s="81" t="s">
        <v>1086</v>
      </c>
      <c r="AX458" s="81" t="s">
        <v>1143</v>
      </c>
      <c r="AY458" s="81" t="s">
        <v>1181</v>
      </c>
      <c r="AZ458" s="81" t="s">
        <v>1144</v>
      </c>
      <c r="BA458" s="81" t="s">
        <v>1190</v>
      </c>
      <c r="BB458" s="81" t="s">
        <v>1190</v>
      </c>
      <c r="BC458" s="81" t="s">
        <v>1144</v>
      </c>
      <c r="BD458" s="81" t="s">
        <v>1207</v>
      </c>
      <c r="BE458" s="77"/>
      <c r="BF458" s="77"/>
      <c r="BG458" s="77"/>
      <c r="BH458" s="77"/>
      <c r="BI458" s="77"/>
      <c r="BJ458">
        <v>1</v>
      </c>
      <c r="BK458" s="76" t="str">
        <f>REPLACE(INDEX(GroupVertices[Group],MATCH(Edges[[#This Row],[Vertex 1]],GroupVertices[Vertex],0)),1,1,"")</f>
        <v>8</v>
      </c>
      <c r="BL458" s="76" t="str">
        <f>REPLACE(INDEX(GroupVertices[Group],MATCH(Edges[[#This Row],[Vertex 2]],GroupVertices[Vertex],0)),1,1,"")</f>
        <v>8</v>
      </c>
      <c r="BM458" s="45"/>
      <c r="BN458" s="46"/>
      <c r="BO458" s="45"/>
      <c r="BP458" s="46"/>
      <c r="BQ458" s="45"/>
      <c r="BR458" s="46"/>
      <c r="BS458" s="45"/>
      <c r="BT458" s="46"/>
      <c r="BU458" s="45"/>
    </row>
    <row r="459" spans="1:73" ht="15">
      <c r="A459" s="61" t="s">
        <v>241</v>
      </c>
      <c r="B459" s="61" t="s">
        <v>494</v>
      </c>
      <c r="C459" s="62" t="s">
        <v>11692</v>
      </c>
      <c r="D459" s="63">
        <v>3</v>
      </c>
      <c r="E459" s="64" t="s">
        <v>132</v>
      </c>
      <c r="F459" s="65">
        <v>32</v>
      </c>
      <c r="G459" s="62"/>
      <c r="H459" s="66"/>
      <c r="I459" s="67"/>
      <c r="J459" s="67"/>
      <c r="K459" s="31" t="s">
        <v>65</v>
      </c>
      <c r="L459" s="75">
        <v>459</v>
      </c>
      <c r="M459" s="75"/>
      <c r="N459" s="69"/>
      <c r="O459" s="77" t="s">
        <v>543</v>
      </c>
      <c r="P459" s="79">
        <v>45140.46244212963</v>
      </c>
      <c r="Q459" s="77" t="s">
        <v>603</v>
      </c>
      <c r="R459" s="77">
        <v>0</v>
      </c>
      <c r="S459" s="77">
        <v>1</v>
      </c>
      <c r="T459" s="77">
        <v>0</v>
      </c>
      <c r="U459" s="77">
        <v>0</v>
      </c>
      <c r="V459" s="77">
        <v>31</v>
      </c>
      <c r="W459" s="77"/>
      <c r="X459" s="77"/>
      <c r="Y459" s="77"/>
      <c r="Z459" s="77" t="s">
        <v>791</v>
      </c>
      <c r="AA459" s="77" t="s">
        <v>834</v>
      </c>
      <c r="AB459" s="77" t="s">
        <v>848</v>
      </c>
      <c r="AC459" s="81" t="s">
        <v>857</v>
      </c>
      <c r="AD459" s="77" t="s">
        <v>859</v>
      </c>
      <c r="AE459" s="83" t="str">
        <f>HYPERLINK("https://twitter.com/littletoright/status/1686694813364596736")</f>
        <v>https://twitter.com/littletoright/status/1686694813364596736</v>
      </c>
      <c r="AF459" s="79">
        <v>45140.46244212963</v>
      </c>
      <c r="AG459" s="85">
        <v>45140</v>
      </c>
      <c r="AH459" s="81" t="s">
        <v>931</v>
      </c>
      <c r="AI459" s="77" t="b">
        <v>0</v>
      </c>
      <c r="AJ459" s="77"/>
      <c r="AK459" s="77"/>
      <c r="AL459" s="77"/>
      <c r="AM459" s="77"/>
      <c r="AN459" s="77"/>
      <c r="AO459" s="77"/>
      <c r="AP459" s="77"/>
      <c r="AQ459" s="77" t="s">
        <v>1013</v>
      </c>
      <c r="AR459" s="77"/>
      <c r="AS459" s="77"/>
      <c r="AT459" s="77"/>
      <c r="AU459" s="77"/>
      <c r="AV459" s="83" t="str">
        <f>HYPERLINK("https://pbs.twimg.com/media/F2hX_mWWAAEddMR.jpg")</f>
        <v>https://pbs.twimg.com/media/F2hX_mWWAAEddMR.jpg</v>
      </c>
      <c r="AW459" s="81" t="s">
        <v>1086</v>
      </c>
      <c r="AX459" s="81" t="s">
        <v>1143</v>
      </c>
      <c r="AY459" s="81" t="s">
        <v>1181</v>
      </c>
      <c r="AZ459" s="81" t="s">
        <v>1144</v>
      </c>
      <c r="BA459" s="81" t="s">
        <v>1190</v>
      </c>
      <c r="BB459" s="81" t="s">
        <v>1190</v>
      </c>
      <c r="BC459" s="81" t="s">
        <v>1144</v>
      </c>
      <c r="BD459" s="81" t="s">
        <v>1207</v>
      </c>
      <c r="BE459" s="77"/>
      <c r="BF459" s="77"/>
      <c r="BG459" s="77"/>
      <c r="BH459" s="77"/>
      <c r="BI459" s="77"/>
      <c r="BJ459">
        <v>1</v>
      </c>
      <c r="BK459" s="76" t="str">
        <f>REPLACE(INDEX(GroupVertices[Group],MATCH(Edges[[#This Row],[Vertex 1]],GroupVertices[Vertex],0)),1,1,"")</f>
        <v>8</v>
      </c>
      <c r="BL459" s="76" t="str">
        <f>REPLACE(INDEX(GroupVertices[Group],MATCH(Edges[[#This Row],[Vertex 2]],GroupVertices[Vertex],0)),1,1,"")</f>
        <v>8</v>
      </c>
      <c r="BM459" s="45"/>
      <c r="BN459" s="46"/>
      <c r="BO459" s="45"/>
      <c r="BP459" s="46"/>
      <c r="BQ459" s="45"/>
      <c r="BR459" s="46"/>
      <c r="BS459" s="45"/>
      <c r="BT459" s="46"/>
      <c r="BU459" s="45"/>
    </row>
    <row r="460" spans="1:73" ht="15">
      <c r="A460" s="61" t="s">
        <v>241</v>
      </c>
      <c r="B460" s="61" t="s">
        <v>228</v>
      </c>
      <c r="C460" s="62" t="s">
        <v>11692</v>
      </c>
      <c r="D460" s="63">
        <v>3</v>
      </c>
      <c r="E460" s="64" t="s">
        <v>132</v>
      </c>
      <c r="F460" s="65">
        <v>32</v>
      </c>
      <c r="G460" s="62"/>
      <c r="H460" s="66"/>
      <c r="I460" s="67"/>
      <c r="J460" s="67"/>
      <c r="K460" s="31" t="s">
        <v>65</v>
      </c>
      <c r="L460" s="75">
        <v>460</v>
      </c>
      <c r="M460" s="75"/>
      <c r="N460" s="69"/>
      <c r="O460" s="77" t="s">
        <v>543</v>
      </c>
      <c r="P460" s="79">
        <v>45140.46244212963</v>
      </c>
      <c r="Q460" s="77" t="s">
        <v>603</v>
      </c>
      <c r="R460" s="77">
        <v>0</v>
      </c>
      <c r="S460" s="77">
        <v>1</v>
      </c>
      <c r="T460" s="77">
        <v>0</v>
      </c>
      <c r="U460" s="77">
        <v>0</v>
      </c>
      <c r="V460" s="77">
        <v>31</v>
      </c>
      <c r="W460" s="77"/>
      <c r="X460" s="77"/>
      <c r="Y460" s="77"/>
      <c r="Z460" s="77" t="s">
        <v>791</v>
      </c>
      <c r="AA460" s="77" t="s">
        <v>834</v>
      </c>
      <c r="AB460" s="77" t="s">
        <v>848</v>
      </c>
      <c r="AC460" s="81" t="s">
        <v>857</v>
      </c>
      <c r="AD460" s="77" t="s">
        <v>859</v>
      </c>
      <c r="AE460" s="83" t="str">
        <f>HYPERLINK("https://twitter.com/littletoright/status/1686694813364596736")</f>
        <v>https://twitter.com/littletoright/status/1686694813364596736</v>
      </c>
      <c r="AF460" s="79">
        <v>45140.46244212963</v>
      </c>
      <c r="AG460" s="85">
        <v>45140</v>
      </c>
      <c r="AH460" s="81" t="s">
        <v>931</v>
      </c>
      <c r="AI460" s="77" t="b">
        <v>0</v>
      </c>
      <c r="AJ460" s="77"/>
      <c r="AK460" s="77"/>
      <c r="AL460" s="77"/>
      <c r="AM460" s="77"/>
      <c r="AN460" s="77"/>
      <c r="AO460" s="77"/>
      <c r="AP460" s="77"/>
      <c r="AQ460" s="77" t="s">
        <v>1013</v>
      </c>
      <c r="AR460" s="77"/>
      <c r="AS460" s="77"/>
      <c r="AT460" s="77"/>
      <c r="AU460" s="77"/>
      <c r="AV460" s="83" t="str">
        <f>HYPERLINK("https://pbs.twimg.com/media/F2hX_mWWAAEddMR.jpg")</f>
        <v>https://pbs.twimg.com/media/F2hX_mWWAAEddMR.jpg</v>
      </c>
      <c r="AW460" s="81" t="s">
        <v>1086</v>
      </c>
      <c r="AX460" s="81" t="s">
        <v>1143</v>
      </c>
      <c r="AY460" s="81" t="s">
        <v>1181</v>
      </c>
      <c r="AZ460" s="81" t="s">
        <v>1144</v>
      </c>
      <c r="BA460" s="81" t="s">
        <v>1190</v>
      </c>
      <c r="BB460" s="81" t="s">
        <v>1190</v>
      </c>
      <c r="BC460" s="81" t="s">
        <v>1144</v>
      </c>
      <c r="BD460" s="81" t="s">
        <v>1207</v>
      </c>
      <c r="BE460" s="77"/>
      <c r="BF460" s="77"/>
      <c r="BG460" s="77"/>
      <c r="BH460" s="77"/>
      <c r="BI460" s="77"/>
      <c r="BJ460">
        <v>1</v>
      </c>
      <c r="BK460" s="76" t="str">
        <f>REPLACE(INDEX(GroupVertices[Group],MATCH(Edges[[#This Row],[Vertex 1]],GroupVertices[Vertex],0)),1,1,"")</f>
        <v>8</v>
      </c>
      <c r="BL460" s="76" t="str">
        <f>REPLACE(INDEX(GroupVertices[Group],MATCH(Edges[[#This Row],[Vertex 2]],GroupVertices[Vertex],0)),1,1,"")</f>
        <v>2</v>
      </c>
      <c r="BM460" s="45"/>
      <c r="BN460" s="46"/>
      <c r="BO460" s="45"/>
      <c r="BP460" s="46"/>
      <c r="BQ460" s="45"/>
      <c r="BR460" s="46"/>
      <c r="BS460" s="45"/>
      <c r="BT460" s="46"/>
      <c r="BU460" s="45"/>
    </row>
    <row r="461" spans="1:73" ht="15">
      <c r="A461" s="61" t="s">
        <v>241</v>
      </c>
      <c r="B461" s="61" t="s">
        <v>495</v>
      </c>
      <c r="C461" s="62" t="s">
        <v>11692</v>
      </c>
      <c r="D461" s="63">
        <v>3</v>
      </c>
      <c r="E461" s="64" t="s">
        <v>132</v>
      </c>
      <c r="F461" s="65">
        <v>32</v>
      </c>
      <c r="G461" s="62"/>
      <c r="H461" s="66"/>
      <c r="I461" s="67"/>
      <c r="J461" s="67"/>
      <c r="K461" s="31" t="s">
        <v>65</v>
      </c>
      <c r="L461" s="75">
        <v>461</v>
      </c>
      <c r="M461" s="75"/>
      <c r="N461" s="69"/>
      <c r="O461" s="77" t="s">
        <v>543</v>
      </c>
      <c r="P461" s="79">
        <v>45140.46244212963</v>
      </c>
      <c r="Q461" s="77" t="s">
        <v>603</v>
      </c>
      <c r="R461" s="77">
        <v>0</v>
      </c>
      <c r="S461" s="77">
        <v>1</v>
      </c>
      <c r="T461" s="77">
        <v>0</v>
      </c>
      <c r="U461" s="77">
        <v>0</v>
      </c>
      <c r="V461" s="77">
        <v>31</v>
      </c>
      <c r="W461" s="77"/>
      <c r="X461" s="77"/>
      <c r="Y461" s="77"/>
      <c r="Z461" s="77" t="s">
        <v>791</v>
      </c>
      <c r="AA461" s="77" t="s">
        <v>834</v>
      </c>
      <c r="AB461" s="77" t="s">
        <v>848</v>
      </c>
      <c r="AC461" s="81" t="s">
        <v>857</v>
      </c>
      <c r="AD461" s="77" t="s">
        <v>859</v>
      </c>
      <c r="AE461" s="83" t="str">
        <f>HYPERLINK("https://twitter.com/littletoright/status/1686694813364596736")</f>
        <v>https://twitter.com/littletoright/status/1686694813364596736</v>
      </c>
      <c r="AF461" s="79">
        <v>45140.46244212963</v>
      </c>
      <c r="AG461" s="85">
        <v>45140</v>
      </c>
      <c r="AH461" s="81" t="s">
        <v>931</v>
      </c>
      <c r="AI461" s="77" t="b">
        <v>0</v>
      </c>
      <c r="AJ461" s="77"/>
      <c r="AK461" s="77"/>
      <c r="AL461" s="77"/>
      <c r="AM461" s="77"/>
      <c r="AN461" s="77"/>
      <c r="AO461" s="77"/>
      <c r="AP461" s="77"/>
      <c r="AQ461" s="77" t="s">
        <v>1013</v>
      </c>
      <c r="AR461" s="77"/>
      <c r="AS461" s="77"/>
      <c r="AT461" s="77"/>
      <c r="AU461" s="77"/>
      <c r="AV461" s="83" t="str">
        <f>HYPERLINK("https://pbs.twimg.com/media/F2hX_mWWAAEddMR.jpg")</f>
        <v>https://pbs.twimg.com/media/F2hX_mWWAAEddMR.jpg</v>
      </c>
      <c r="AW461" s="81" t="s">
        <v>1086</v>
      </c>
      <c r="AX461" s="81" t="s">
        <v>1143</v>
      </c>
      <c r="AY461" s="81" t="s">
        <v>1181</v>
      </c>
      <c r="AZ461" s="81" t="s">
        <v>1144</v>
      </c>
      <c r="BA461" s="81" t="s">
        <v>1190</v>
      </c>
      <c r="BB461" s="81" t="s">
        <v>1190</v>
      </c>
      <c r="BC461" s="81" t="s">
        <v>1144</v>
      </c>
      <c r="BD461" s="81" t="s">
        <v>1207</v>
      </c>
      <c r="BE461" s="77"/>
      <c r="BF461" s="77"/>
      <c r="BG461" s="77"/>
      <c r="BH461" s="77"/>
      <c r="BI461" s="77"/>
      <c r="BJ461">
        <v>1</v>
      </c>
      <c r="BK461" s="76" t="str">
        <f>REPLACE(INDEX(GroupVertices[Group],MATCH(Edges[[#This Row],[Vertex 1]],GroupVertices[Vertex],0)),1,1,"")</f>
        <v>8</v>
      </c>
      <c r="BL461" s="76" t="str">
        <f>REPLACE(INDEX(GroupVertices[Group],MATCH(Edges[[#This Row],[Vertex 2]],GroupVertices[Vertex],0)),1,1,"")</f>
        <v>8</v>
      </c>
      <c r="BM461" s="45"/>
      <c r="BN461" s="46"/>
      <c r="BO461" s="45"/>
      <c r="BP461" s="46"/>
      <c r="BQ461" s="45"/>
      <c r="BR461" s="46"/>
      <c r="BS461" s="45"/>
      <c r="BT461" s="46"/>
      <c r="BU461" s="45"/>
    </row>
    <row r="462" spans="1:73" ht="15">
      <c r="A462" s="61" t="s">
        <v>241</v>
      </c>
      <c r="B462" s="61" t="s">
        <v>496</v>
      </c>
      <c r="C462" s="62" t="s">
        <v>11692</v>
      </c>
      <c r="D462" s="63">
        <v>3</v>
      </c>
      <c r="E462" s="64" t="s">
        <v>132</v>
      </c>
      <c r="F462" s="65">
        <v>32</v>
      </c>
      <c r="G462" s="62"/>
      <c r="H462" s="66"/>
      <c r="I462" s="67"/>
      <c r="J462" s="67"/>
      <c r="K462" s="31" t="s">
        <v>65</v>
      </c>
      <c r="L462" s="75">
        <v>462</v>
      </c>
      <c r="M462" s="75"/>
      <c r="N462" s="69"/>
      <c r="O462" s="77" t="s">
        <v>543</v>
      </c>
      <c r="P462" s="79">
        <v>45140.46244212963</v>
      </c>
      <c r="Q462" s="77" t="s">
        <v>603</v>
      </c>
      <c r="R462" s="77">
        <v>0</v>
      </c>
      <c r="S462" s="77">
        <v>1</v>
      </c>
      <c r="T462" s="77">
        <v>0</v>
      </c>
      <c r="U462" s="77">
        <v>0</v>
      </c>
      <c r="V462" s="77">
        <v>31</v>
      </c>
      <c r="W462" s="77"/>
      <c r="X462" s="77"/>
      <c r="Y462" s="77"/>
      <c r="Z462" s="77" t="s">
        <v>791</v>
      </c>
      <c r="AA462" s="77" t="s">
        <v>834</v>
      </c>
      <c r="AB462" s="77" t="s">
        <v>848</v>
      </c>
      <c r="AC462" s="81" t="s">
        <v>857</v>
      </c>
      <c r="AD462" s="77" t="s">
        <v>859</v>
      </c>
      <c r="AE462" s="83" t="str">
        <f>HYPERLINK("https://twitter.com/littletoright/status/1686694813364596736")</f>
        <v>https://twitter.com/littletoright/status/1686694813364596736</v>
      </c>
      <c r="AF462" s="79">
        <v>45140.46244212963</v>
      </c>
      <c r="AG462" s="85">
        <v>45140</v>
      </c>
      <c r="AH462" s="81" t="s">
        <v>931</v>
      </c>
      <c r="AI462" s="77" t="b">
        <v>0</v>
      </c>
      <c r="AJ462" s="77"/>
      <c r="AK462" s="77"/>
      <c r="AL462" s="77"/>
      <c r="AM462" s="77"/>
      <c r="AN462" s="77"/>
      <c r="AO462" s="77"/>
      <c r="AP462" s="77"/>
      <c r="AQ462" s="77" t="s">
        <v>1013</v>
      </c>
      <c r="AR462" s="77"/>
      <c r="AS462" s="77"/>
      <c r="AT462" s="77"/>
      <c r="AU462" s="77"/>
      <c r="AV462" s="83" t="str">
        <f>HYPERLINK("https://pbs.twimg.com/media/F2hX_mWWAAEddMR.jpg")</f>
        <v>https://pbs.twimg.com/media/F2hX_mWWAAEddMR.jpg</v>
      </c>
      <c r="AW462" s="81" t="s">
        <v>1086</v>
      </c>
      <c r="AX462" s="81" t="s">
        <v>1143</v>
      </c>
      <c r="AY462" s="81" t="s">
        <v>1181</v>
      </c>
      <c r="AZ462" s="81" t="s">
        <v>1144</v>
      </c>
      <c r="BA462" s="81" t="s">
        <v>1190</v>
      </c>
      <c r="BB462" s="81" t="s">
        <v>1190</v>
      </c>
      <c r="BC462" s="81" t="s">
        <v>1144</v>
      </c>
      <c r="BD462" s="81" t="s">
        <v>1207</v>
      </c>
      <c r="BE462" s="77"/>
      <c r="BF462" s="77"/>
      <c r="BG462" s="77"/>
      <c r="BH462" s="77"/>
      <c r="BI462" s="77"/>
      <c r="BJ462">
        <v>1</v>
      </c>
      <c r="BK462" s="76" t="str">
        <f>REPLACE(INDEX(GroupVertices[Group],MATCH(Edges[[#This Row],[Vertex 1]],GroupVertices[Vertex],0)),1,1,"")</f>
        <v>8</v>
      </c>
      <c r="BL462" s="76" t="str">
        <f>REPLACE(INDEX(GroupVertices[Group],MATCH(Edges[[#This Row],[Vertex 2]],GroupVertices[Vertex],0)),1,1,"")</f>
        <v>8</v>
      </c>
      <c r="BM462" s="45"/>
      <c r="BN462" s="46"/>
      <c r="BO462" s="45"/>
      <c r="BP462" s="46"/>
      <c r="BQ462" s="45"/>
      <c r="BR462" s="46"/>
      <c r="BS462" s="45"/>
      <c r="BT462" s="46"/>
      <c r="BU462" s="45"/>
    </row>
    <row r="463" spans="1:73" ht="15">
      <c r="A463" s="61" t="s">
        <v>241</v>
      </c>
      <c r="B463" s="61" t="s">
        <v>497</v>
      </c>
      <c r="C463" s="62" t="s">
        <v>11692</v>
      </c>
      <c r="D463" s="63">
        <v>3</v>
      </c>
      <c r="E463" s="64" t="s">
        <v>132</v>
      </c>
      <c r="F463" s="65">
        <v>32</v>
      </c>
      <c r="G463" s="62"/>
      <c r="H463" s="66"/>
      <c r="I463" s="67"/>
      <c r="J463" s="67"/>
      <c r="K463" s="31" t="s">
        <v>65</v>
      </c>
      <c r="L463" s="75">
        <v>463</v>
      </c>
      <c r="M463" s="75"/>
      <c r="N463" s="69"/>
      <c r="O463" s="77" t="s">
        <v>543</v>
      </c>
      <c r="P463" s="79">
        <v>45140.46244212963</v>
      </c>
      <c r="Q463" s="77" t="s">
        <v>603</v>
      </c>
      <c r="R463" s="77">
        <v>0</v>
      </c>
      <c r="S463" s="77">
        <v>1</v>
      </c>
      <c r="T463" s="77">
        <v>0</v>
      </c>
      <c r="U463" s="77">
        <v>0</v>
      </c>
      <c r="V463" s="77">
        <v>31</v>
      </c>
      <c r="W463" s="77"/>
      <c r="X463" s="77"/>
      <c r="Y463" s="77"/>
      <c r="Z463" s="77" t="s">
        <v>791</v>
      </c>
      <c r="AA463" s="77" t="s">
        <v>834</v>
      </c>
      <c r="AB463" s="77" t="s">
        <v>848</v>
      </c>
      <c r="AC463" s="81" t="s">
        <v>857</v>
      </c>
      <c r="AD463" s="77" t="s">
        <v>859</v>
      </c>
      <c r="AE463" s="83" t="str">
        <f>HYPERLINK("https://twitter.com/littletoright/status/1686694813364596736")</f>
        <v>https://twitter.com/littletoright/status/1686694813364596736</v>
      </c>
      <c r="AF463" s="79">
        <v>45140.46244212963</v>
      </c>
      <c r="AG463" s="85">
        <v>45140</v>
      </c>
      <c r="AH463" s="81" t="s">
        <v>931</v>
      </c>
      <c r="AI463" s="77" t="b">
        <v>0</v>
      </c>
      <c r="AJ463" s="77"/>
      <c r="AK463" s="77"/>
      <c r="AL463" s="77"/>
      <c r="AM463" s="77"/>
      <c r="AN463" s="77"/>
      <c r="AO463" s="77"/>
      <c r="AP463" s="77"/>
      <c r="AQ463" s="77" t="s">
        <v>1013</v>
      </c>
      <c r="AR463" s="77"/>
      <c r="AS463" s="77"/>
      <c r="AT463" s="77"/>
      <c r="AU463" s="77"/>
      <c r="AV463" s="83" t="str">
        <f>HYPERLINK("https://pbs.twimg.com/media/F2hX_mWWAAEddMR.jpg")</f>
        <v>https://pbs.twimg.com/media/F2hX_mWWAAEddMR.jpg</v>
      </c>
      <c r="AW463" s="81" t="s">
        <v>1086</v>
      </c>
      <c r="AX463" s="81" t="s">
        <v>1143</v>
      </c>
      <c r="AY463" s="81" t="s">
        <v>1181</v>
      </c>
      <c r="AZ463" s="81" t="s">
        <v>1144</v>
      </c>
      <c r="BA463" s="81" t="s">
        <v>1190</v>
      </c>
      <c r="BB463" s="81" t="s">
        <v>1190</v>
      </c>
      <c r="BC463" s="81" t="s">
        <v>1144</v>
      </c>
      <c r="BD463" s="81" t="s">
        <v>1207</v>
      </c>
      <c r="BE463" s="77"/>
      <c r="BF463" s="77"/>
      <c r="BG463" s="77"/>
      <c r="BH463" s="77"/>
      <c r="BI463" s="77"/>
      <c r="BJ463">
        <v>1</v>
      </c>
      <c r="BK463" s="76" t="str">
        <f>REPLACE(INDEX(GroupVertices[Group],MATCH(Edges[[#This Row],[Vertex 1]],GroupVertices[Vertex],0)),1,1,"")</f>
        <v>8</v>
      </c>
      <c r="BL463" s="76" t="str">
        <f>REPLACE(INDEX(GroupVertices[Group],MATCH(Edges[[#This Row],[Vertex 2]],GroupVertices[Vertex],0)),1,1,"")</f>
        <v>8</v>
      </c>
      <c r="BM463" s="45"/>
      <c r="BN463" s="46"/>
      <c r="BO463" s="45"/>
      <c r="BP463" s="46"/>
      <c r="BQ463" s="45"/>
      <c r="BR463" s="46"/>
      <c r="BS463" s="45"/>
      <c r="BT463" s="46"/>
      <c r="BU463" s="45"/>
    </row>
    <row r="464" spans="1:73" ht="15">
      <c r="A464" s="61" t="s">
        <v>241</v>
      </c>
      <c r="B464" s="61" t="s">
        <v>498</v>
      </c>
      <c r="C464" s="62" t="s">
        <v>11692</v>
      </c>
      <c r="D464" s="63">
        <v>3</v>
      </c>
      <c r="E464" s="64" t="s">
        <v>132</v>
      </c>
      <c r="F464" s="65">
        <v>32</v>
      </c>
      <c r="G464" s="62"/>
      <c r="H464" s="66"/>
      <c r="I464" s="67"/>
      <c r="J464" s="67"/>
      <c r="K464" s="31" t="s">
        <v>65</v>
      </c>
      <c r="L464" s="75">
        <v>464</v>
      </c>
      <c r="M464" s="75"/>
      <c r="N464" s="69"/>
      <c r="O464" s="77" t="s">
        <v>543</v>
      </c>
      <c r="P464" s="79">
        <v>45140.46244212963</v>
      </c>
      <c r="Q464" s="77" t="s">
        <v>603</v>
      </c>
      <c r="R464" s="77">
        <v>0</v>
      </c>
      <c r="S464" s="77">
        <v>1</v>
      </c>
      <c r="T464" s="77">
        <v>0</v>
      </c>
      <c r="U464" s="77">
        <v>0</v>
      </c>
      <c r="V464" s="77">
        <v>31</v>
      </c>
      <c r="W464" s="77"/>
      <c r="X464" s="77"/>
      <c r="Y464" s="77"/>
      <c r="Z464" s="77" t="s">
        <v>791</v>
      </c>
      <c r="AA464" s="77" t="s">
        <v>834</v>
      </c>
      <c r="AB464" s="77" t="s">
        <v>848</v>
      </c>
      <c r="AC464" s="81" t="s">
        <v>857</v>
      </c>
      <c r="AD464" s="77" t="s">
        <v>859</v>
      </c>
      <c r="AE464" s="83" t="str">
        <f>HYPERLINK("https://twitter.com/littletoright/status/1686694813364596736")</f>
        <v>https://twitter.com/littletoright/status/1686694813364596736</v>
      </c>
      <c r="AF464" s="79">
        <v>45140.46244212963</v>
      </c>
      <c r="AG464" s="85">
        <v>45140</v>
      </c>
      <c r="AH464" s="81" t="s">
        <v>931</v>
      </c>
      <c r="AI464" s="77" t="b">
        <v>0</v>
      </c>
      <c r="AJ464" s="77"/>
      <c r="AK464" s="77"/>
      <c r="AL464" s="77"/>
      <c r="AM464" s="77"/>
      <c r="AN464" s="77"/>
      <c r="AO464" s="77"/>
      <c r="AP464" s="77"/>
      <c r="AQ464" s="77" t="s">
        <v>1013</v>
      </c>
      <c r="AR464" s="77"/>
      <c r="AS464" s="77"/>
      <c r="AT464" s="77"/>
      <c r="AU464" s="77"/>
      <c r="AV464" s="83" t="str">
        <f>HYPERLINK("https://pbs.twimg.com/media/F2hX_mWWAAEddMR.jpg")</f>
        <v>https://pbs.twimg.com/media/F2hX_mWWAAEddMR.jpg</v>
      </c>
      <c r="AW464" s="81" t="s">
        <v>1086</v>
      </c>
      <c r="AX464" s="81" t="s">
        <v>1143</v>
      </c>
      <c r="AY464" s="81" t="s">
        <v>1181</v>
      </c>
      <c r="AZ464" s="81" t="s">
        <v>1144</v>
      </c>
      <c r="BA464" s="81" t="s">
        <v>1190</v>
      </c>
      <c r="BB464" s="81" t="s">
        <v>1190</v>
      </c>
      <c r="BC464" s="81" t="s">
        <v>1144</v>
      </c>
      <c r="BD464" s="81" t="s">
        <v>1207</v>
      </c>
      <c r="BE464" s="77"/>
      <c r="BF464" s="77"/>
      <c r="BG464" s="77"/>
      <c r="BH464" s="77"/>
      <c r="BI464" s="77"/>
      <c r="BJ464">
        <v>1</v>
      </c>
      <c r="BK464" s="76" t="str">
        <f>REPLACE(INDEX(GroupVertices[Group],MATCH(Edges[[#This Row],[Vertex 1]],GroupVertices[Vertex],0)),1,1,"")</f>
        <v>8</v>
      </c>
      <c r="BL464" s="76" t="str">
        <f>REPLACE(INDEX(GroupVertices[Group],MATCH(Edges[[#This Row],[Vertex 2]],GroupVertices[Vertex],0)),1,1,"")</f>
        <v>8</v>
      </c>
      <c r="BM464" s="45"/>
      <c r="BN464" s="46"/>
      <c r="BO464" s="45"/>
      <c r="BP464" s="46"/>
      <c r="BQ464" s="45"/>
      <c r="BR464" s="46"/>
      <c r="BS464" s="45"/>
      <c r="BT464" s="46"/>
      <c r="BU464" s="45"/>
    </row>
    <row r="465" spans="1:73" ht="15">
      <c r="A465" s="61" t="s">
        <v>241</v>
      </c>
      <c r="B465" s="61" t="s">
        <v>499</v>
      </c>
      <c r="C465" s="62" t="s">
        <v>11692</v>
      </c>
      <c r="D465" s="63">
        <v>3</v>
      </c>
      <c r="E465" s="64" t="s">
        <v>132</v>
      </c>
      <c r="F465" s="65">
        <v>32</v>
      </c>
      <c r="G465" s="62"/>
      <c r="H465" s="66"/>
      <c r="I465" s="67"/>
      <c r="J465" s="67"/>
      <c r="K465" s="31" t="s">
        <v>65</v>
      </c>
      <c r="L465" s="75">
        <v>465</v>
      </c>
      <c r="M465" s="75"/>
      <c r="N465" s="69"/>
      <c r="O465" s="77" t="s">
        <v>543</v>
      </c>
      <c r="P465" s="79">
        <v>45140.46244212963</v>
      </c>
      <c r="Q465" s="77" t="s">
        <v>603</v>
      </c>
      <c r="R465" s="77">
        <v>0</v>
      </c>
      <c r="S465" s="77">
        <v>1</v>
      </c>
      <c r="T465" s="77">
        <v>0</v>
      </c>
      <c r="U465" s="77">
        <v>0</v>
      </c>
      <c r="V465" s="77">
        <v>31</v>
      </c>
      <c r="W465" s="77"/>
      <c r="X465" s="77"/>
      <c r="Y465" s="77"/>
      <c r="Z465" s="77" t="s">
        <v>791</v>
      </c>
      <c r="AA465" s="77" t="s">
        <v>834</v>
      </c>
      <c r="AB465" s="77" t="s">
        <v>848</v>
      </c>
      <c r="AC465" s="81" t="s">
        <v>857</v>
      </c>
      <c r="AD465" s="77" t="s">
        <v>859</v>
      </c>
      <c r="AE465" s="83" t="str">
        <f>HYPERLINK("https://twitter.com/littletoright/status/1686694813364596736")</f>
        <v>https://twitter.com/littletoright/status/1686694813364596736</v>
      </c>
      <c r="AF465" s="79">
        <v>45140.46244212963</v>
      </c>
      <c r="AG465" s="85">
        <v>45140</v>
      </c>
      <c r="AH465" s="81" t="s">
        <v>931</v>
      </c>
      <c r="AI465" s="77" t="b">
        <v>0</v>
      </c>
      <c r="AJ465" s="77"/>
      <c r="AK465" s="77"/>
      <c r="AL465" s="77"/>
      <c r="AM465" s="77"/>
      <c r="AN465" s="77"/>
      <c r="AO465" s="77"/>
      <c r="AP465" s="77"/>
      <c r="AQ465" s="77" t="s">
        <v>1013</v>
      </c>
      <c r="AR465" s="77"/>
      <c r="AS465" s="77"/>
      <c r="AT465" s="77"/>
      <c r="AU465" s="77"/>
      <c r="AV465" s="83" t="str">
        <f>HYPERLINK("https://pbs.twimg.com/media/F2hX_mWWAAEddMR.jpg")</f>
        <v>https://pbs.twimg.com/media/F2hX_mWWAAEddMR.jpg</v>
      </c>
      <c r="AW465" s="81" t="s">
        <v>1086</v>
      </c>
      <c r="AX465" s="81" t="s">
        <v>1143</v>
      </c>
      <c r="AY465" s="81" t="s">
        <v>1181</v>
      </c>
      <c r="AZ465" s="81" t="s">
        <v>1144</v>
      </c>
      <c r="BA465" s="81" t="s">
        <v>1190</v>
      </c>
      <c r="BB465" s="81" t="s">
        <v>1190</v>
      </c>
      <c r="BC465" s="81" t="s">
        <v>1144</v>
      </c>
      <c r="BD465" s="81" t="s">
        <v>1207</v>
      </c>
      <c r="BE465" s="77"/>
      <c r="BF465" s="77"/>
      <c r="BG465" s="77"/>
      <c r="BH465" s="77"/>
      <c r="BI465" s="77"/>
      <c r="BJ465">
        <v>1</v>
      </c>
      <c r="BK465" s="76" t="str">
        <f>REPLACE(INDEX(GroupVertices[Group],MATCH(Edges[[#This Row],[Vertex 1]],GroupVertices[Vertex],0)),1,1,"")</f>
        <v>8</v>
      </c>
      <c r="BL465" s="76" t="str">
        <f>REPLACE(INDEX(GroupVertices[Group],MATCH(Edges[[#This Row],[Vertex 2]],GroupVertices[Vertex],0)),1,1,"")</f>
        <v>8</v>
      </c>
      <c r="BM465" s="45"/>
      <c r="BN465" s="46"/>
      <c r="BO465" s="45"/>
      <c r="BP465" s="46"/>
      <c r="BQ465" s="45"/>
      <c r="BR465" s="46"/>
      <c r="BS465" s="45"/>
      <c r="BT465" s="46"/>
      <c r="BU465" s="45"/>
    </row>
    <row r="466" spans="1:73" ht="15">
      <c r="A466" s="61" t="s">
        <v>241</v>
      </c>
      <c r="B466" s="61" t="s">
        <v>500</v>
      </c>
      <c r="C466" s="62" t="s">
        <v>11692</v>
      </c>
      <c r="D466" s="63">
        <v>3</v>
      </c>
      <c r="E466" s="64" t="s">
        <v>132</v>
      </c>
      <c r="F466" s="65">
        <v>32</v>
      </c>
      <c r="G466" s="62"/>
      <c r="H466" s="66"/>
      <c r="I466" s="67"/>
      <c r="J466" s="67"/>
      <c r="K466" s="31" t="s">
        <v>65</v>
      </c>
      <c r="L466" s="75">
        <v>466</v>
      </c>
      <c r="M466" s="75"/>
      <c r="N466" s="69"/>
      <c r="O466" s="77" t="s">
        <v>543</v>
      </c>
      <c r="P466" s="79">
        <v>45140.46244212963</v>
      </c>
      <c r="Q466" s="77" t="s">
        <v>603</v>
      </c>
      <c r="R466" s="77">
        <v>0</v>
      </c>
      <c r="S466" s="77">
        <v>1</v>
      </c>
      <c r="T466" s="77">
        <v>0</v>
      </c>
      <c r="U466" s="77">
        <v>0</v>
      </c>
      <c r="V466" s="77">
        <v>31</v>
      </c>
      <c r="W466" s="77"/>
      <c r="X466" s="77"/>
      <c r="Y466" s="77"/>
      <c r="Z466" s="77" t="s">
        <v>791</v>
      </c>
      <c r="AA466" s="77" t="s">
        <v>834</v>
      </c>
      <c r="AB466" s="77" t="s">
        <v>848</v>
      </c>
      <c r="AC466" s="81" t="s">
        <v>857</v>
      </c>
      <c r="AD466" s="77" t="s">
        <v>859</v>
      </c>
      <c r="AE466" s="83" t="str">
        <f>HYPERLINK("https://twitter.com/littletoright/status/1686694813364596736")</f>
        <v>https://twitter.com/littletoright/status/1686694813364596736</v>
      </c>
      <c r="AF466" s="79">
        <v>45140.46244212963</v>
      </c>
      <c r="AG466" s="85">
        <v>45140</v>
      </c>
      <c r="AH466" s="81" t="s">
        <v>931</v>
      </c>
      <c r="AI466" s="77" t="b">
        <v>0</v>
      </c>
      <c r="AJ466" s="77"/>
      <c r="AK466" s="77"/>
      <c r="AL466" s="77"/>
      <c r="AM466" s="77"/>
      <c r="AN466" s="77"/>
      <c r="AO466" s="77"/>
      <c r="AP466" s="77"/>
      <c r="AQ466" s="77" t="s">
        <v>1013</v>
      </c>
      <c r="AR466" s="77"/>
      <c r="AS466" s="77"/>
      <c r="AT466" s="77"/>
      <c r="AU466" s="77"/>
      <c r="AV466" s="83" t="str">
        <f>HYPERLINK("https://pbs.twimg.com/media/F2hX_mWWAAEddMR.jpg")</f>
        <v>https://pbs.twimg.com/media/F2hX_mWWAAEddMR.jpg</v>
      </c>
      <c r="AW466" s="81" t="s">
        <v>1086</v>
      </c>
      <c r="AX466" s="81" t="s">
        <v>1143</v>
      </c>
      <c r="AY466" s="81" t="s">
        <v>1181</v>
      </c>
      <c r="AZ466" s="81" t="s">
        <v>1144</v>
      </c>
      <c r="BA466" s="81" t="s">
        <v>1190</v>
      </c>
      <c r="BB466" s="81" t="s">
        <v>1190</v>
      </c>
      <c r="BC466" s="81" t="s">
        <v>1144</v>
      </c>
      <c r="BD466" s="81" t="s">
        <v>1207</v>
      </c>
      <c r="BE466" s="77"/>
      <c r="BF466" s="77"/>
      <c r="BG466" s="77"/>
      <c r="BH466" s="77"/>
      <c r="BI466" s="77"/>
      <c r="BJ466">
        <v>1</v>
      </c>
      <c r="BK466" s="76" t="str">
        <f>REPLACE(INDEX(GroupVertices[Group],MATCH(Edges[[#This Row],[Vertex 1]],GroupVertices[Vertex],0)),1,1,"")</f>
        <v>8</v>
      </c>
      <c r="BL466" s="76" t="str">
        <f>REPLACE(INDEX(GroupVertices[Group],MATCH(Edges[[#This Row],[Vertex 2]],GroupVertices[Vertex],0)),1,1,"")</f>
        <v>8</v>
      </c>
      <c r="BM466" s="45"/>
      <c r="BN466" s="46"/>
      <c r="BO466" s="45"/>
      <c r="BP466" s="46"/>
      <c r="BQ466" s="45"/>
      <c r="BR466" s="46"/>
      <c r="BS466" s="45"/>
      <c r="BT466" s="46"/>
      <c r="BU466" s="45"/>
    </row>
    <row r="467" spans="1:73" ht="15">
      <c r="A467" s="61" t="s">
        <v>241</v>
      </c>
      <c r="B467" s="61" t="s">
        <v>501</v>
      </c>
      <c r="C467" s="62" t="s">
        <v>11692</v>
      </c>
      <c r="D467" s="63">
        <v>3</v>
      </c>
      <c r="E467" s="64" t="s">
        <v>132</v>
      </c>
      <c r="F467" s="65">
        <v>32</v>
      </c>
      <c r="G467" s="62"/>
      <c r="H467" s="66"/>
      <c r="I467" s="67"/>
      <c r="J467" s="67"/>
      <c r="K467" s="31" t="s">
        <v>65</v>
      </c>
      <c r="L467" s="75">
        <v>467</v>
      </c>
      <c r="M467" s="75"/>
      <c r="N467" s="69"/>
      <c r="O467" s="77" t="s">
        <v>543</v>
      </c>
      <c r="P467" s="79">
        <v>45140.46244212963</v>
      </c>
      <c r="Q467" s="77" t="s">
        <v>603</v>
      </c>
      <c r="R467" s="77">
        <v>0</v>
      </c>
      <c r="S467" s="77">
        <v>1</v>
      </c>
      <c r="T467" s="77">
        <v>0</v>
      </c>
      <c r="U467" s="77">
        <v>0</v>
      </c>
      <c r="V467" s="77">
        <v>31</v>
      </c>
      <c r="W467" s="77"/>
      <c r="X467" s="77"/>
      <c r="Y467" s="77"/>
      <c r="Z467" s="77" t="s">
        <v>791</v>
      </c>
      <c r="AA467" s="77" t="s">
        <v>834</v>
      </c>
      <c r="AB467" s="77" t="s">
        <v>848</v>
      </c>
      <c r="AC467" s="81" t="s">
        <v>857</v>
      </c>
      <c r="AD467" s="77" t="s">
        <v>859</v>
      </c>
      <c r="AE467" s="83" t="str">
        <f>HYPERLINK("https://twitter.com/littletoright/status/1686694813364596736")</f>
        <v>https://twitter.com/littletoright/status/1686694813364596736</v>
      </c>
      <c r="AF467" s="79">
        <v>45140.46244212963</v>
      </c>
      <c r="AG467" s="85">
        <v>45140</v>
      </c>
      <c r="AH467" s="81" t="s">
        <v>931</v>
      </c>
      <c r="AI467" s="77" t="b">
        <v>0</v>
      </c>
      <c r="AJ467" s="77"/>
      <c r="AK467" s="77"/>
      <c r="AL467" s="77"/>
      <c r="AM467" s="77"/>
      <c r="AN467" s="77"/>
      <c r="AO467" s="77"/>
      <c r="AP467" s="77"/>
      <c r="AQ467" s="77" t="s">
        <v>1013</v>
      </c>
      <c r="AR467" s="77"/>
      <c r="AS467" s="77"/>
      <c r="AT467" s="77"/>
      <c r="AU467" s="77"/>
      <c r="AV467" s="83" t="str">
        <f>HYPERLINK("https://pbs.twimg.com/media/F2hX_mWWAAEddMR.jpg")</f>
        <v>https://pbs.twimg.com/media/F2hX_mWWAAEddMR.jpg</v>
      </c>
      <c r="AW467" s="81" t="s">
        <v>1086</v>
      </c>
      <c r="AX467" s="81" t="s">
        <v>1143</v>
      </c>
      <c r="AY467" s="81" t="s">
        <v>1181</v>
      </c>
      <c r="AZ467" s="81" t="s">
        <v>1144</v>
      </c>
      <c r="BA467" s="81" t="s">
        <v>1190</v>
      </c>
      <c r="BB467" s="81" t="s">
        <v>1190</v>
      </c>
      <c r="BC467" s="81" t="s">
        <v>1144</v>
      </c>
      <c r="BD467" s="81" t="s">
        <v>1207</v>
      </c>
      <c r="BE467" s="77"/>
      <c r="BF467" s="77"/>
      <c r="BG467" s="77"/>
      <c r="BH467" s="77"/>
      <c r="BI467" s="77"/>
      <c r="BJ467">
        <v>1</v>
      </c>
      <c r="BK467" s="76" t="str">
        <f>REPLACE(INDEX(GroupVertices[Group],MATCH(Edges[[#This Row],[Vertex 1]],GroupVertices[Vertex],0)),1,1,"")</f>
        <v>8</v>
      </c>
      <c r="BL467" s="76" t="str">
        <f>REPLACE(INDEX(GroupVertices[Group],MATCH(Edges[[#This Row],[Vertex 2]],GroupVertices[Vertex],0)),1,1,"")</f>
        <v>8</v>
      </c>
      <c r="BM467" s="45"/>
      <c r="BN467" s="46"/>
      <c r="BO467" s="45"/>
      <c r="BP467" s="46"/>
      <c r="BQ467" s="45"/>
      <c r="BR467" s="46"/>
      <c r="BS467" s="45"/>
      <c r="BT467" s="46"/>
      <c r="BU467" s="45"/>
    </row>
    <row r="468" spans="1:73" ht="15">
      <c r="A468" s="61" t="s">
        <v>241</v>
      </c>
      <c r="B468" s="61" t="s">
        <v>259</v>
      </c>
      <c r="C468" s="62" t="s">
        <v>11692</v>
      </c>
      <c r="D468" s="63">
        <v>3</v>
      </c>
      <c r="E468" s="64" t="s">
        <v>132</v>
      </c>
      <c r="F468" s="65">
        <v>32</v>
      </c>
      <c r="G468" s="62"/>
      <c r="H468" s="66"/>
      <c r="I468" s="67"/>
      <c r="J468" s="67"/>
      <c r="K468" s="31" t="s">
        <v>65</v>
      </c>
      <c r="L468" s="75">
        <v>468</v>
      </c>
      <c r="M468" s="75"/>
      <c r="N468" s="69"/>
      <c r="O468" s="77" t="s">
        <v>543</v>
      </c>
      <c r="P468" s="79">
        <v>45140.46244212963</v>
      </c>
      <c r="Q468" s="77" t="s">
        <v>603</v>
      </c>
      <c r="R468" s="77">
        <v>0</v>
      </c>
      <c r="S468" s="77">
        <v>1</v>
      </c>
      <c r="T468" s="77">
        <v>0</v>
      </c>
      <c r="U468" s="77">
        <v>0</v>
      </c>
      <c r="V468" s="77">
        <v>31</v>
      </c>
      <c r="W468" s="77"/>
      <c r="X468" s="77"/>
      <c r="Y468" s="77"/>
      <c r="Z468" s="77" t="s">
        <v>791</v>
      </c>
      <c r="AA468" s="77" t="s">
        <v>834</v>
      </c>
      <c r="AB468" s="77" t="s">
        <v>848</v>
      </c>
      <c r="AC468" s="81" t="s">
        <v>857</v>
      </c>
      <c r="AD468" s="77" t="s">
        <v>859</v>
      </c>
      <c r="AE468" s="83" t="str">
        <f>HYPERLINK("https://twitter.com/littletoright/status/1686694813364596736")</f>
        <v>https://twitter.com/littletoright/status/1686694813364596736</v>
      </c>
      <c r="AF468" s="79">
        <v>45140.46244212963</v>
      </c>
      <c r="AG468" s="85">
        <v>45140</v>
      </c>
      <c r="AH468" s="81" t="s">
        <v>931</v>
      </c>
      <c r="AI468" s="77" t="b">
        <v>0</v>
      </c>
      <c r="AJ468" s="77"/>
      <c r="AK468" s="77"/>
      <c r="AL468" s="77"/>
      <c r="AM468" s="77"/>
      <c r="AN468" s="77"/>
      <c r="AO468" s="77"/>
      <c r="AP468" s="77"/>
      <c r="AQ468" s="77" t="s">
        <v>1013</v>
      </c>
      <c r="AR468" s="77"/>
      <c r="AS468" s="77"/>
      <c r="AT468" s="77"/>
      <c r="AU468" s="77"/>
      <c r="AV468" s="83" t="str">
        <f>HYPERLINK("https://pbs.twimg.com/media/F2hX_mWWAAEddMR.jpg")</f>
        <v>https://pbs.twimg.com/media/F2hX_mWWAAEddMR.jpg</v>
      </c>
      <c r="AW468" s="81" t="s">
        <v>1086</v>
      </c>
      <c r="AX468" s="81" t="s">
        <v>1143</v>
      </c>
      <c r="AY468" s="81" t="s">
        <v>1181</v>
      </c>
      <c r="AZ468" s="81" t="s">
        <v>1144</v>
      </c>
      <c r="BA468" s="81" t="s">
        <v>1190</v>
      </c>
      <c r="BB468" s="81" t="s">
        <v>1190</v>
      </c>
      <c r="BC468" s="81" t="s">
        <v>1144</v>
      </c>
      <c r="BD468" s="81" t="s">
        <v>1207</v>
      </c>
      <c r="BE468" s="77"/>
      <c r="BF468" s="77"/>
      <c r="BG468" s="77"/>
      <c r="BH468" s="77"/>
      <c r="BI468" s="77"/>
      <c r="BJ468">
        <v>1</v>
      </c>
      <c r="BK468" s="76" t="str">
        <f>REPLACE(INDEX(GroupVertices[Group],MATCH(Edges[[#This Row],[Vertex 1]],GroupVertices[Vertex],0)),1,1,"")</f>
        <v>8</v>
      </c>
      <c r="BL468" s="76" t="str">
        <f>REPLACE(INDEX(GroupVertices[Group],MATCH(Edges[[#This Row],[Vertex 2]],GroupVertices[Vertex],0)),1,1,"")</f>
        <v>8</v>
      </c>
      <c r="BM468" s="45"/>
      <c r="BN468" s="46"/>
      <c r="BO468" s="45"/>
      <c r="BP468" s="46"/>
      <c r="BQ468" s="45"/>
      <c r="BR468" s="46"/>
      <c r="BS468" s="45"/>
      <c r="BT468" s="46"/>
      <c r="BU468" s="45"/>
    </row>
    <row r="469" spans="1:73" ht="15">
      <c r="A469" s="61" t="s">
        <v>241</v>
      </c>
      <c r="B469" s="61" t="s">
        <v>260</v>
      </c>
      <c r="C469" s="62" t="s">
        <v>11692</v>
      </c>
      <c r="D469" s="63">
        <v>3</v>
      </c>
      <c r="E469" s="64" t="s">
        <v>132</v>
      </c>
      <c r="F469" s="65">
        <v>32</v>
      </c>
      <c r="G469" s="62"/>
      <c r="H469" s="66"/>
      <c r="I469" s="67"/>
      <c r="J469" s="67"/>
      <c r="K469" s="31" t="s">
        <v>65</v>
      </c>
      <c r="L469" s="75">
        <v>469</v>
      </c>
      <c r="M469" s="75"/>
      <c r="N469" s="69"/>
      <c r="O469" s="77" t="s">
        <v>540</v>
      </c>
      <c r="P469" s="79">
        <v>45140.46244212963</v>
      </c>
      <c r="Q469" s="77" t="s">
        <v>603</v>
      </c>
      <c r="R469" s="77">
        <v>0</v>
      </c>
      <c r="S469" s="77">
        <v>1</v>
      </c>
      <c r="T469" s="77">
        <v>0</v>
      </c>
      <c r="U469" s="77">
        <v>0</v>
      </c>
      <c r="V469" s="77">
        <v>31</v>
      </c>
      <c r="W469" s="77"/>
      <c r="X469" s="77"/>
      <c r="Y469" s="77"/>
      <c r="Z469" s="77" t="s">
        <v>791</v>
      </c>
      <c r="AA469" s="77" t="s">
        <v>834</v>
      </c>
      <c r="AB469" s="77" t="s">
        <v>848</v>
      </c>
      <c r="AC469" s="81" t="s">
        <v>857</v>
      </c>
      <c r="AD469" s="77" t="s">
        <v>859</v>
      </c>
      <c r="AE469" s="83" t="str">
        <f>HYPERLINK("https://twitter.com/littletoright/status/1686694813364596736")</f>
        <v>https://twitter.com/littletoright/status/1686694813364596736</v>
      </c>
      <c r="AF469" s="79">
        <v>45140.46244212963</v>
      </c>
      <c r="AG469" s="85">
        <v>45140</v>
      </c>
      <c r="AH469" s="81" t="s">
        <v>931</v>
      </c>
      <c r="AI469" s="77" t="b">
        <v>0</v>
      </c>
      <c r="AJ469" s="77"/>
      <c r="AK469" s="77"/>
      <c r="AL469" s="77"/>
      <c r="AM469" s="77"/>
      <c r="AN469" s="77"/>
      <c r="AO469" s="77"/>
      <c r="AP469" s="77"/>
      <c r="AQ469" s="77" t="s">
        <v>1013</v>
      </c>
      <c r="AR469" s="77"/>
      <c r="AS469" s="77"/>
      <c r="AT469" s="77"/>
      <c r="AU469" s="77"/>
      <c r="AV469" s="83" t="str">
        <f>HYPERLINK("https://pbs.twimg.com/media/F2hX_mWWAAEddMR.jpg")</f>
        <v>https://pbs.twimg.com/media/F2hX_mWWAAEddMR.jpg</v>
      </c>
      <c r="AW469" s="81" t="s">
        <v>1086</v>
      </c>
      <c r="AX469" s="81" t="s">
        <v>1143</v>
      </c>
      <c r="AY469" s="81" t="s">
        <v>1181</v>
      </c>
      <c r="AZ469" s="81" t="s">
        <v>1144</v>
      </c>
      <c r="BA469" s="81" t="s">
        <v>1190</v>
      </c>
      <c r="BB469" s="81" t="s">
        <v>1190</v>
      </c>
      <c r="BC469" s="81" t="s">
        <v>1144</v>
      </c>
      <c r="BD469" s="81" t="s">
        <v>1207</v>
      </c>
      <c r="BE469" s="77"/>
      <c r="BF469" s="77"/>
      <c r="BG469" s="77"/>
      <c r="BH469" s="77"/>
      <c r="BI469" s="77"/>
      <c r="BJ469">
        <v>1</v>
      </c>
      <c r="BK469" s="76" t="str">
        <f>REPLACE(INDEX(GroupVertices[Group],MATCH(Edges[[#This Row],[Vertex 1]],GroupVertices[Vertex],0)),1,1,"")</f>
        <v>8</v>
      </c>
      <c r="BL469" s="76" t="str">
        <f>REPLACE(INDEX(GroupVertices[Group],MATCH(Edges[[#This Row],[Vertex 2]],GroupVertices[Vertex],0)),1,1,"")</f>
        <v>8</v>
      </c>
      <c r="BM469" s="45">
        <v>0</v>
      </c>
      <c r="BN469" s="46">
        <v>0</v>
      </c>
      <c r="BO469" s="45">
        <v>0</v>
      </c>
      <c r="BP469" s="46">
        <v>0</v>
      </c>
      <c r="BQ469" s="45">
        <v>0</v>
      </c>
      <c r="BR469" s="46">
        <v>0</v>
      </c>
      <c r="BS469" s="45">
        <v>16</v>
      </c>
      <c r="BT469" s="46">
        <v>100</v>
      </c>
      <c r="BU469" s="45">
        <v>16</v>
      </c>
    </row>
    <row r="470" spans="1:73" ht="15">
      <c r="A470" s="61" t="s">
        <v>242</v>
      </c>
      <c r="B470" s="61" t="s">
        <v>502</v>
      </c>
      <c r="C470" s="62" t="s">
        <v>11692</v>
      </c>
      <c r="D470" s="63">
        <v>3</v>
      </c>
      <c r="E470" s="64" t="s">
        <v>132</v>
      </c>
      <c r="F470" s="65">
        <v>32</v>
      </c>
      <c r="G470" s="62"/>
      <c r="H470" s="66"/>
      <c r="I470" s="67"/>
      <c r="J470" s="67"/>
      <c r="K470" s="31" t="s">
        <v>65</v>
      </c>
      <c r="L470" s="75">
        <v>470</v>
      </c>
      <c r="M470" s="75"/>
      <c r="N470" s="69"/>
      <c r="O470" s="77" t="s">
        <v>539</v>
      </c>
      <c r="P470" s="79">
        <v>45163.65677083333</v>
      </c>
      <c r="Q470" s="77" t="s">
        <v>604</v>
      </c>
      <c r="R470" s="77">
        <v>0</v>
      </c>
      <c r="S470" s="77">
        <v>2</v>
      </c>
      <c r="T470" s="77">
        <v>1</v>
      </c>
      <c r="U470" s="77">
        <v>0</v>
      </c>
      <c r="V470" s="77">
        <v>147</v>
      </c>
      <c r="W470" s="81" t="s">
        <v>228</v>
      </c>
      <c r="X470" s="77"/>
      <c r="Y470" s="77"/>
      <c r="Z470" s="77" t="s">
        <v>792</v>
      </c>
      <c r="AA470" s="77"/>
      <c r="AB470" s="77"/>
      <c r="AC470" s="81" t="s">
        <v>855</v>
      </c>
      <c r="AD470" s="77" t="s">
        <v>870</v>
      </c>
      <c r="AE470" s="83" t="str">
        <f>HYPERLINK("https://twitter.com/ainafer/status/1695100155639255280")</f>
        <v>https://twitter.com/ainafer/status/1695100155639255280</v>
      </c>
      <c r="AF470" s="79">
        <v>45163.65677083333</v>
      </c>
      <c r="AG470" s="85">
        <v>45163</v>
      </c>
      <c r="AH470" s="81" t="s">
        <v>932</v>
      </c>
      <c r="AI470" s="77"/>
      <c r="AJ470" s="77"/>
      <c r="AK470" s="77"/>
      <c r="AL470" s="77"/>
      <c r="AM470" s="77"/>
      <c r="AN470" s="77"/>
      <c r="AO470" s="77"/>
      <c r="AP470" s="77"/>
      <c r="AQ470" s="77"/>
      <c r="AR470" s="77"/>
      <c r="AS470" s="77"/>
      <c r="AT470" s="77"/>
      <c r="AU470" s="77"/>
      <c r="AV470" s="83" t="str">
        <f>HYPERLINK("https://pbs.twimg.com/profile_images/1136359347267678208/Pdhm70AX_normal.jpg")</f>
        <v>https://pbs.twimg.com/profile_images/1136359347267678208/Pdhm70AX_normal.jpg</v>
      </c>
      <c r="AW470" s="81" t="s">
        <v>1087</v>
      </c>
      <c r="AX470" s="81" t="s">
        <v>1087</v>
      </c>
      <c r="AY470" s="77"/>
      <c r="AZ470" s="81" t="s">
        <v>1190</v>
      </c>
      <c r="BA470" s="81" t="s">
        <v>1190</v>
      </c>
      <c r="BB470" s="81" t="s">
        <v>1190</v>
      </c>
      <c r="BC470" s="81" t="s">
        <v>1087</v>
      </c>
      <c r="BD470" s="77">
        <v>41388893</v>
      </c>
      <c r="BE470" s="77"/>
      <c r="BF470" s="77"/>
      <c r="BG470" s="77"/>
      <c r="BH470" s="77"/>
      <c r="BI470" s="77"/>
      <c r="BJ470">
        <v>1</v>
      </c>
      <c r="BK470" s="76" t="str">
        <f>REPLACE(INDEX(GroupVertices[Group],MATCH(Edges[[#This Row],[Vertex 1]],GroupVertices[Vertex],0)),1,1,"")</f>
        <v>13</v>
      </c>
      <c r="BL470" s="76" t="str">
        <f>REPLACE(INDEX(GroupVertices[Group],MATCH(Edges[[#This Row],[Vertex 2]],GroupVertices[Vertex],0)),1,1,"")</f>
        <v>13</v>
      </c>
      <c r="BM470" s="45"/>
      <c r="BN470" s="46"/>
      <c r="BO470" s="45"/>
      <c r="BP470" s="46"/>
      <c r="BQ470" s="45"/>
      <c r="BR470" s="46"/>
      <c r="BS470" s="45"/>
      <c r="BT470" s="46"/>
      <c r="BU470" s="45"/>
    </row>
    <row r="471" spans="1:73" ht="15">
      <c r="A471" s="61" t="s">
        <v>242</v>
      </c>
      <c r="B471" s="61" t="s">
        <v>503</v>
      </c>
      <c r="C471" s="62" t="s">
        <v>11692</v>
      </c>
      <c r="D471" s="63">
        <v>3</v>
      </c>
      <c r="E471" s="64" t="s">
        <v>132</v>
      </c>
      <c r="F471" s="65">
        <v>32</v>
      </c>
      <c r="G471" s="62"/>
      <c r="H471" s="66"/>
      <c r="I471" s="67"/>
      <c r="J471" s="67"/>
      <c r="K471" s="31" t="s">
        <v>65</v>
      </c>
      <c r="L471" s="75">
        <v>471</v>
      </c>
      <c r="M471" s="75"/>
      <c r="N471" s="69"/>
      <c r="O471" s="77" t="s">
        <v>539</v>
      </c>
      <c r="P471" s="79">
        <v>45163.65677083333</v>
      </c>
      <c r="Q471" s="77" t="s">
        <v>604</v>
      </c>
      <c r="R471" s="77">
        <v>0</v>
      </c>
      <c r="S471" s="77">
        <v>2</v>
      </c>
      <c r="T471" s="77">
        <v>1</v>
      </c>
      <c r="U471" s="77">
        <v>0</v>
      </c>
      <c r="V471" s="77">
        <v>147</v>
      </c>
      <c r="W471" s="81" t="s">
        <v>228</v>
      </c>
      <c r="X471" s="77"/>
      <c r="Y471" s="77"/>
      <c r="Z471" s="77" t="s">
        <v>792</v>
      </c>
      <c r="AA471" s="77"/>
      <c r="AB471" s="77"/>
      <c r="AC471" s="81" t="s">
        <v>855</v>
      </c>
      <c r="AD471" s="77" t="s">
        <v>870</v>
      </c>
      <c r="AE471" s="83" t="str">
        <f>HYPERLINK("https://twitter.com/ainafer/status/1695100155639255280")</f>
        <v>https://twitter.com/ainafer/status/1695100155639255280</v>
      </c>
      <c r="AF471" s="79">
        <v>45163.65677083333</v>
      </c>
      <c r="AG471" s="85">
        <v>45163</v>
      </c>
      <c r="AH471" s="81" t="s">
        <v>932</v>
      </c>
      <c r="AI471" s="77"/>
      <c r="AJ471" s="77"/>
      <c r="AK471" s="77"/>
      <c r="AL471" s="77"/>
      <c r="AM471" s="77"/>
      <c r="AN471" s="77"/>
      <c r="AO471" s="77"/>
      <c r="AP471" s="77"/>
      <c r="AQ471" s="77"/>
      <c r="AR471" s="77"/>
      <c r="AS471" s="77"/>
      <c r="AT471" s="77"/>
      <c r="AU471" s="77"/>
      <c r="AV471" s="83" t="str">
        <f>HYPERLINK("https://pbs.twimg.com/profile_images/1136359347267678208/Pdhm70AX_normal.jpg")</f>
        <v>https://pbs.twimg.com/profile_images/1136359347267678208/Pdhm70AX_normal.jpg</v>
      </c>
      <c r="AW471" s="81" t="s">
        <v>1087</v>
      </c>
      <c r="AX471" s="81" t="s">
        <v>1087</v>
      </c>
      <c r="AY471" s="77"/>
      <c r="AZ471" s="81" t="s">
        <v>1190</v>
      </c>
      <c r="BA471" s="81" t="s">
        <v>1190</v>
      </c>
      <c r="BB471" s="81" t="s">
        <v>1190</v>
      </c>
      <c r="BC471" s="81" t="s">
        <v>1087</v>
      </c>
      <c r="BD471" s="77">
        <v>41388893</v>
      </c>
      <c r="BE471" s="77"/>
      <c r="BF471" s="77"/>
      <c r="BG471" s="77"/>
      <c r="BH471" s="77"/>
      <c r="BI471" s="77"/>
      <c r="BJ471">
        <v>1</v>
      </c>
      <c r="BK471" s="76" t="str">
        <f>REPLACE(INDEX(GroupVertices[Group],MATCH(Edges[[#This Row],[Vertex 1]],GroupVertices[Vertex],0)),1,1,"")</f>
        <v>13</v>
      </c>
      <c r="BL471" s="76" t="str">
        <f>REPLACE(INDEX(GroupVertices[Group],MATCH(Edges[[#This Row],[Vertex 2]],GroupVertices[Vertex],0)),1,1,"")</f>
        <v>13</v>
      </c>
      <c r="BM471" s="45">
        <v>0</v>
      </c>
      <c r="BN471" s="46">
        <v>0</v>
      </c>
      <c r="BO471" s="45">
        <v>0</v>
      </c>
      <c r="BP471" s="46">
        <v>0</v>
      </c>
      <c r="BQ471" s="45">
        <v>0</v>
      </c>
      <c r="BR471" s="46">
        <v>0</v>
      </c>
      <c r="BS471" s="45">
        <v>14</v>
      </c>
      <c r="BT471" s="46">
        <v>70</v>
      </c>
      <c r="BU471" s="45">
        <v>20</v>
      </c>
    </row>
    <row r="472" spans="1:73" ht="15">
      <c r="A472" s="61" t="s">
        <v>243</v>
      </c>
      <c r="B472" s="61" t="s">
        <v>243</v>
      </c>
      <c r="C472" s="62" t="s">
        <v>11692</v>
      </c>
      <c r="D472" s="63">
        <v>3</v>
      </c>
      <c r="E472" s="64" t="s">
        <v>132</v>
      </c>
      <c r="F472" s="65">
        <v>32</v>
      </c>
      <c r="G472" s="62"/>
      <c r="H472" s="66"/>
      <c r="I472" s="67"/>
      <c r="J472" s="67"/>
      <c r="K472" s="31" t="s">
        <v>65</v>
      </c>
      <c r="L472" s="75">
        <v>472</v>
      </c>
      <c r="M472" s="75"/>
      <c r="N472" s="69"/>
      <c r="O472" s="77" t="s">
        <v>178</v>
      </c>
      <c r="P472" s="79">
        <v>45143.5871412037</v>
      </c>
      <c r="Q472" s="77" t="s">
        <v>605</v>
      </c>
      <c r="R472" s="77">
        <v>1025</v>
      </c>
      <c r="S472" s="77">
        <v>4572</v>
      </c>
      <c r="T472" s="77">
        <v>2055</v>
      </c>
      <c r="U472" s="77">
        <v>143</v>
      </c>
      <c r="V472" s="77">
        <v>1781431</v>
      </c>
      <c r="W472" s="77"/>
      <c r="X472" s="77"/>
      <c r="Y472" s="77"/>
      <c r="Z472" s="77"/>
      <c r="AA472" s="77" t="s">
        <v>835</v>
      </c>
      <c r="AB472" s="77" t="s">
        <v>848</v>
      </c>
      <c r="AC472" s="81" t="s">
        <v>853</v>
      </c>
      <c r="AD472" s="77" t="s">
        <v>859</v>
      </c>
      <c r="AE472" s="83" t="str">
        <f>HYPERLINK("https://twitter.com/edkrassen/status/1687827166476562432")</f>
        <v>https://twitter.com/edkrassen/status/1687827166476562432</v>
      </c>
      <c r="AF472" s="79">
        <v>45143.5871412037</v>
      </c>
      <c r="AG472" s="85">
        <v>45143</v>
      </c>
      <c r="AH472" s="81" t="s">
        <v>933</v>
      </c>
      <c r="AI472" s="77" t="b">
        <v>0</v>
      </c>
      <c r="AJ472" s="77"/>
      <c r="AK472" s="77"/>
      <c r="AL472" s="77"/>
      <c r="AM472" s="77"/>
      <c r="AN472" s="77"/>
      <c r="AO472" s="77"/>
      <c r="AP472" s="77"/>
      <c r="AQ472" s="77" t="s">
        <v>1014</v>
      </c>
      <c r="AR472" s="77"/>
      <c r="AS472" s="77"/>
      <c r="AT472" s="77"/>
      <c r="AU472" s="77"/>
      <c r="AV472" s="83" t="str">
        <f>HYPERLINK("https://pbs.twimg.com/media/F2xcgEnXsAA-vCp.jpg")</f>
        <v>https://pbs.twimg.com/media/F2xcgEnXsAA-vCp.jpg</v>
      </c>
      <c r="AW472" s="81" t="s">
        <v>1088</v>
      </c>
      <c r="AX472" s="81" t="s">
        <v>1088</v>
      </c>
      <c r="AY472" s="77"/>
      <c r="AZ472" s="81" t="s">
        <v>1190</v>
      </c>
      <c r="BA472" s="81" t="s">
        <v>1190</v>
      </c>
      <c r="BB472" s="81" t="s">
        <v>1190</v>
      </c>
      <c r="BC472" s="81" t="s">
        <v>1088</v>
      </c>
      <c r="BD472" s="77">
        <v>132339474</v>
      </c>
      <c r="BE472" s="77"/>
      <c r="BF472" s="77"/>
      <c r="BG472" s="77"/>
      <c r="BH472" s="77"/>
      <c r="BI472" s="77"/>
      <c r="BJ472">
        <v>1</v>
      </c>
      <c r="BK472" s="76" t="str">
        <f>REPLACE(INDEX(GroupVertices[Group],MATCH(Edges[[#This Row],[Vertex 1]],GroupVertices[Vertex],0)),1,1,"")</f>
        <v>9</v>
      </c>
      <c r="BL472" s="76" t="str">
        <f>REPLACE(INDEX(GroupVertices[Group],MATCH(Edges[[#This Row],[Vertex 2]],GroupVertices[Vertex],0)),1,1,"")</f>
        <v>9</v>
      </c>
      <c r="BM472" s="45">
        <v>3</v>
      </c>
      <c r="BN472" s="46">
        <v>6.25</v>
      </c>
      <c r="BO472" s="45">
        <v>0</v>
      </c>
      <c r="BP472" s="46">
        <v>0</v>
      </c>
      <c r="BQ472" s="45">
        <v>0</v>
      </c>
      <c r="BR472" s="46">
        <v>0</v>
      </c>
      <c r="BS472" s="45">
        <v>24</v>
      </c>
      <c r="BT472" s="46">
        <v>50</v>
      </c>
      <c r="BU472" s="45">
        <v>48</v>
      </c>
    </row>
    <row r="473" spans="1:73" ht="15">
      <c r="A473" s="61" t="s">
        <v>244</v>
      </c>
      <c r="B473" s="61" t="s">
        <v>243</v>
      </c>
      <c r="C473" s="62" t="s">
        <v>11692</v>
      </c>
      <c r="D473" s="63">
        <v>3</v>
      </c>
      <c r="E473" s="64" t="s">
        <v>132</v>
      </c>
      <c r="F473" s="65">
        <v>32</v>
      </c>
      <c r="G473" s="62"/>
      <c r="H473" s="66"/>
      <c r="I473" s="67"/>
      <c r="J473" s="67"/>
      <c r="K473" s="31" t="s">
        <v>65</v>
      </c>
      <c r="L473" s="75">
        <v>473</v>
      </c>
      <c r="M473" s="75"/>
      <c r="N473" s="69"/>
      <c r="O473" s="77" t="s">
        <v>542</v>
      </c>
      <c r="P473" s="79">
        <v>45143.93451388889</v>
      </c>
      <c r="Q473" s="77" t="s">
        <v>606</v>
      </c>
      <c r="R473" s="77">
        <v>0</v>
      </c>
      <c r="S473" s="77">
        <v>0</v>
      </c>
      <c r="T473" s="77">
        <v>0</v>
      </c>
      <c r="U473" s="77">
        <v>0</v>
      </c>
      <c r="V473" s="77">
        <v>11</v>
      </c>
      <c r="W473" s="77"/>
      <c r="X473" s="77"/>
      <c r="Y473" s="77"/>
      <c r="Z473" s="77" t="s">
        <v>793</v>
      </c>
      <c r="AA473" s="77"/>
      <c r="AB473" s="77"/>
      <c r="AC473" s="81" t="s">
        <v>853</v>
      </c>
      <c r="AD473" s="77" t="s">
        <v>859</v>
      </c>
      <c r="AE473" s="83" t="str">
        <f>HYPERLINK("https://twitter.com/pilotbeac0n/status/1687953050433171456")</f>
        <v>https://twitter.com/pilotbeac0n/status/1687953050433171456</v>
      </c>
      <c r="AF473" s="79">
        <v>45143.93451388889</v>
      </c>
      <c r="AG473" s="85">
        <v>45143</v>
      </c>
      <c r="AH473" s="81" t="s">
        <v>934</v>
      </c>
      <c r="AI473" s="77"/>
      <c r="AJ473" s="77"/>
      <c r="AK473" s="77"/>
      <c r="AL473" s="77"/>
      <c r="AM473" s="77"/>
      <c r="AN473" s="77"/>
      <c r="AO473" s="77"/>
      <c r="AP473" s="77"/>
      <c r="AQ473" s="77"/>
      <c r="AR473" s="77"/>
      <c r="AS473" s="77"/>
      <c r="AT473" s="77"/>
      <c r="AU473" s="77"/>
      <c r="AV473" s="83" t="str">
        <f>HYPERLINK("https://pbs.twimg.com/profile_images/1700371194879549440/QiQHamC2_normal.jpg")</f>
        <v>https://pbs.twimg.com/profile_images/1700371194879549440/QiQHamC2_normal.jpg</v>
      </c>
      <c r="AW473" s="81" t="s">
        <v>1089</v>
      </c>
      <c r="AX473" s="81" t="s">
        <v>1089</v>
      </c>
      <c r="AY473" s="77"/>
      <c r="AZ473" s="81" t="s">
        <v>1190</v>
      </c>
      <c r="BA473" s="81" t="s">
        <v>1088</v>
      </c>
      <c r="BB473" s="81" t="s">
        <v>1190</v>
      </c>
      <c r="BC473" s="81" t="s">
        <v>1088</v>
      </c>
      <c r="BD473" s="81" t="s">
        <v>1182</v>
      </c>
      <c r="BE473" s="77"/>
      <c r="BF473" s="77"/>
      <c r="BG473" s="77"/>
      <c r="BH473" s="77"/>
      <c r="BI473" s="77"/>
      <c r="BJ473">
        <v>1</v>
      </c>
      <c r="BK473" s="76" t="str">
        <f>REPLACE(INDEX(GroupVertices[Group],MATCH(Edges[[#This Row],[Vertex 1]],GroupVertices[Vertex],0)),1,1,"")</f>
        <v>9</v>
      </c>
      <c r="BL473" s="76" t="str">
        <f>REPLACE(INDEX(GroupVertices[Group],MATCH(Edges[[#This Row],[Vertex 2]],GroupVertices[Vertex],0)),1,1,"")</f>
        <v>9</v>
      </c>
      <c r="BM473" s="45"/>
      <c r="BN473" s="46"/>
      <c r="BO473" s="45"/>
      <c r="BP473" s="46"/>
      <c r="BQ473" s="45"/>
      <c r="BR473" s="46"/>
      <c r="BS473" s="45"/>
      <c r="BT473" s="46"/>
      <c r="BU473" s="45"/>
    </row>
    <row r="474" spans="1:73" ht="15">
      <c r="A474" s="61" t="s">
        <v>244</v>
      </c>
      <c r="B474" s="61" t="s">
        <v>504</v>
      </c>
      <c r="C474" s="62" t="s">
        <v>11692</v>
      </c>
      <c r="D474" s="63">
        <v>3</v>
      </c>
      <c r="E474" s="64" t="s">
        <v>132</v>
      </c>
      <c r="F474" s="65">
        <v>32</v>
      </c>
      <c r="G474" s="62"/>
      <c r="H474" s="66"/>
      <c r="I474" s="67"/>
      <c r="J474" s="67"/>
      <c r="K474" s="31" t="s">
        <v>65</v>
      </c>
      <c r="L474" s="75">
        <v>474</v>
      </c>
      <c r="M474" s="75"/>
      <c r="N474" s="69"/>
      <c r="O474" s="77" t="s">
        <v>539</v>
      </c>
      <c r="P474" s="79">
        <v>45143.92355324074</v>
      </c>
      <c r="Q474" s="77" t="s">
        <v>607</v>
      </c>
      <c r="R474" s="77">
        <v>0</v>
      </c>
      <c r="S474" s="77">
        <v>0</v>
      </c>
      <c r="T474" s="77">
        <v>0</v>
      </c>
      <c r="U474" s="77">
        <v>1</v>
      </c>
      <c r="V474" s="77">
        <v>18</v>
      </c>
      <c r="W474" s="77"/>
      <c r="X474" s="77"/>
      <c r="Y474" s="77"/>
      <c r="Z474" s="77" t="s">
        <v>794</v>
      </c>
      <c r="AA474" s="77"/>
      <c r="AB474" s="77"/>
      <c r="AC474" s="81" t="s">
        <v>853</v>
      </c>
      <c r="AD474" s="77" t="s">
        <v>859</v>
      </c>
      <c r="AE474" s="83" t="str">
        <f>HYPERLINK("https://twitter.com/pilotbeac0n/status/1687949078389530624")</f>
        <v>https://twitter.com/pilotbeac0n/status/1687949078389530624</v>
      </c>
      <c r="AF474" s="79">
        <v>45143.92355324074</v>
      </c>
      <c r="AG474" s="85">
        <v>45143</v>
      </c>
      <c r="AH474" s="81" t="s">
        <v>935</v>
      </c>
      <c r="AI474" s="77"/>
      <c r="AJ474" s="77"/>
      <c r="AK474" s="77"/>
      <c r="AL474" s="77"/>
      <c r="AM474" s="77"/>
      <c r="AN474" s="77"/>
      <c r="AO474" s="77"/>
      <c r="AP474" s="77"/>
      <c r="AQ474" s="77"/>
      <c r="AR474" s="77"/>
      <c r="AS474" s="77"/>
      <c r="AT474" s="77"/>
      <c r="AU474" s="77"/>
      <c r="AV474" s="83" t="str">
        <f>HYPERLINK("https://pbs.twimg.com/profile_images/1700371194879549440/QiQHamC2_normal.jpg")</f>
        <v>https://pbs.twimg.com/profile_images/1700371194879549440/QiQHamC2_normal.jpg</v>
      </c>
      <c r="AW474" s="81" t="s">
        <v>1090</v>
      </c>
      <c r="AX474" s="81" t="s">
        <v>1090</v>
      </c>
      <c r="AY474" s="77"/>
      <c r="AZ474" s="81" t="s">
        <v>1190</v>
      </c>
      <c r="BA474" s="81" t="s">
        <v>1190</v>
      </c>
      <c r="BB474" s="81" t="s">
        <v>1190</v>
      </c>
      <c r="BC474" s="81" t="s">
        <v>1090</v>
      </c>
      <c r="BD474" s="81" t="s">
        <v>1182</v>
      </c>
      <c r="BE474" s="77"/>
      <c r="BF474" s="77"/>
      <c r="BG474" s="77"/>
      <c r="BH474" s="77"/>
      <c r="BI474" s="77"/>
      <c r="BJ474">
        <v>1</v>
      </c>
      <c r="BK474" s="76" t="str">
        <f>REPLACE(INDEX(GroupVertices[Group],MATCH(Edges[[#This Row],[Vertex 1]],GroupVertices[Vertex],0)),1,1,"")</f>
        <v>9</v>
      </c>
      <c r="BL474" s="76" t="str">
        <f>REPLACE(INDEX(GroupVertices[Group],MATCH(Edges[[#This Row],[Vertex 2]],GroupVertices[Vertex],0)),1,1,"")</f>
        <v>9</v>
      </c>
      <c r="BM474" s="45"/>
      <c r="BN474" s="46"/>
      <c r="BO474" s="45"/>
      <c r="BP474" s="46"/>
      <c r="BQ474" s="45"/>
      <c r="BR474" s="46"/>
      <c r="BS474" s="45"/>
      <c r="BT474" s="46"/>
      <c r="BU474" s="45"/>
    </row>
    <row r="475" spans="1:73" ht="15">
      <c r="A475" s="61" t="s">
        <v>244</v>
      </c>
      <c r="B475" s="61" t="s">
        <v>505</v>
      </c>
      <c r="C475" s="62" t="s">
        <v>11692</v>
      </c>
      <c r="D475" s="63">
        <v>3</v>
      </c>
      <c r="E475" s="64" t="s">
        <v>132</v>
      </c>
      <c r="F475" s="65">
        <v>32</v>
      </c>
      <c r="G475" s="62"/>
      <c r="H475" s="66"/>
      <c r="I475" s="67"/>
      <c r="J475" s="67"/>
      <c r="K475" s="31" t="s">
        <v>65</v>
      </c>
      <c r="L475" s="75">
        <v>475</v>
      </c>
      <c r="M475" s="75"/>
      <c r="N475" s="69"/>
      <c r="O475" s="77" t="s">
        <v>539</v>
      </c>
      <c r="P475" s="79">
        <v>45143.92355324074</v>
      </c>
      <c r="Q475" s="77" t="s">
        <v>607</v>
      </c>
      <c r="R475" s="77">
        <v>0</v>
      </c>
      <c r="S475" s="77">
        <v>0</v>
      </c>
      <c r="T475" s="77">
        <v>0</v>
      </c>
      <c r="U475" s="77">
        <v>1</v>
      </c>
      <c r="V475" s="77">
        <v>18</v>
      </c>
      <c r="W475" s="77"/>
      <c r="X475" s="77"/>
      <c r="Y475" s="77"/>
      <c r="Z475" s="77" t="s">
        <v>794</v>
      </c>
      <c r="AA475" s="77"/>
      <c r="AB475" s="77"/>
      <c r="AC475" s="81" t="s">
        <v>853</v>
      </c>
      <c r="AD475" s="77" t="s">
        <v>859</v>
      </c>
      <c r="AE475" s="83" t="str">
        <f>HYPERLINK("https://twitter.com/pilotbeac0n/status/1687949078389530624")</f>
        <v>https://twitter.com/pilotbeac0n/status/1687949078389530624</v>
      </c>
      <c r="AF475" s="79">
        <v>45143.92355324074</v>
      </c>
      <c r="AG475" s="85">
        <v>45143</v>
      </c>
      <c r="AH475" s="81" t="s">
        <v>935</v>
      </c>
      <c r="AI475" s="77"/>
      <c r="AJ475" s="77"/>
      <c r="AK475" s="77"/>
      <c r="AL475" s="77"/>
      <c r="AM475" s="77"/>
      <c r="AN475" s="77"/>
      <c r="AO475" s="77"/>
      <c r="AP475" s="77"/>
      <c r="AQ475" s="77"/>
      <c r="AR475" s="77"/>
      <c r="AS475" s="77"/>
      <c r="AT475" s="77"/>
      <c r="AU475" s="77"/>
      <c r="AV475" s="83" t="str">
        <f>HYPERLINK("https://pbs.twimg.com/profile_images/1700371194879549440/QiQHamC2_normal.jpg")</f>
        <v>https://pbs.twimg.com/profile_images/1700371194879549440/QiQHamC2_normal.jpg</v>
      </c>
      <c r="AW475" s="81" t="s">
        <v>1090</v>
      </c>
      <c r="AX475" s="81" t="s">
        <v>1090</v>
      </c>
      <c r="AY475" s="77"/>
      <c r="AZ475" s="81" t="s">
        <v>1190</v>
      </c>
      <c r="BA475" s="81" t="s">
        <v>1190</v>
      </c>
      <c r="BB475" s="81" t="s">
        <v>1190</v>
      </c>
      <c r="BC475" s="81" t="s">
        <v>1090</v>
      </c>
      <c r="BD475" s="81" t="s">
        <v>1182</v>
      </c>
      <c r="BE475" s="77"/>
      <c r="BF475" s="77"/>
      <c r="BG475" s="77"/>
      <c r="BH475" s="77"/>
      <c r="BI475" s="77"/>
      <c r="BJ475">
        <v>1</v>
      </c>
      <c r="BK475" s="76" t="str">
        <f>REPLACE(INDEX(GroupVertices[Group],MATCH(Edges[[#This Row],[Vertex 1]],GroupVertices[Vertex],0)),1,1,"")</f>
        <v>9</v>
      </c>
      <c r="BL475" s="76" t="str">
        <f>REPLACE(INDEX(GroupVertices[Group],MATCH(Edges[[#This Row],[Vertex 2]],GroupVertices[Vertex],0)),1,1,"")</f>
        <v>9</v>
      </c>
      <c r="BM475" s="45"/>
      <c r="BN475" s="46"/>
      <c r="BO475" s="45"/>
      <c r="BP475" s="46"/>
      <c r="BQ475" s="45"/>
      <c r="BR475" s="46"/>
      <c r="BS475" s="45"/>
      <c r="BT475" s="46"/>
      <c r="BU475" s="45"/>
    </row>
    <row r="476" spans="1:73" ht="15">
      <c r="A476" s="61" t="s">
        <v>244</v>
      </c>
      <c r="B476" s="61" t="s">
        <v>506</v>
      </c>
      <c r="C476" s="62" t="s">
        <v>11692</v>
      </c>
      <c r="D476" s="63">
        <v>3</v>
      </c>
      <c r="E476" s="64" t="s">
        <v>132</v>
      </c>
      <c r="F476" s="65">
        <v>32</v>
      </c>
      <c r="G476" s="62"/>
      <c r="H476" s="66"/>
      <c r="I476" s="67"/>
      <c r="J476" s="67"/>
      <c r="K476" s="31" t="s">
        <v>65</v>
      </c>
      <c r="L476" s="75">
        <v>476</v>
      </c>
      <c r="M476" s="75"/>
      <c r="N476" s="69"/>
      <c r="O476" s="77" t="s">
        <v>539</v>
      </c>
      <c r="P476" s="79">
        <v>45143.92355324074</v>
      </c>
      <c r="Q476" s="77" t="s">
        <v>607</v>
      </c>
      <c r="R476" s="77">
        <v>0</v>
      </c>
      <c r="S476" s="77">
        <v>0</v>
      </c>
      <c r="T476" s="77">
        <v>0</v>
      </c>
      <c r="U476" s="77">
        <v>1</v>
      </c>
      <c r="V476" s="77">
        <v>18</v>
      </c>
      <c r="W476" s="77"/>
      <c r="X476" s="77"/>
      <c r="Y476" s="77"/>
      <c r="Z476" s="77" t="s">
        <v>794</v>
      </c>
      <c r="AA476" s="77"/>
      <c r="AB476" s="77"/>
      <c r="AC476" s="81" t="s">
        <v>853</v>
      </c>
      <c r="AD476" s="77" t="s">
        <v>859</v>
      </c>
      <c r="AE476" s="83" t="str">
        <f>HYPERLINK("https://twitter.com/pilotbeac0n/status/1687949078389530624")</f>
        <v>https://twitter.com/pilotbeac0n/status/1687949078389530624</v>
      </c>
      <c r="AF476" s="79">
        <v>45143.92355324074</v>
      </c>
      <c r="AG476" s="85">
        <v>45143</v>
      </c>
      <c r="AH476" s="81" t="s">
        <v>935</v>
      </c>
      <c r="AI476" s="77"/>
      <c r="AJ476" s="77"/>
      <c r="AK476" s="77"/>
      <c r="AL476" s="77"/>
      <c r="AM476" s="77"/>
      <c r="AN476" s="77"/>
      <c r="AO476" s="77"/>
      <c r="AP476" s="77"/>
      <c r="AQ476" s="77"/>
      <c r="AR476" s="77"/>
      <c r="AS476" s="77"/>
      <c r="AT476" s="77"/>
      <c r="AU476" s="77"/>
      <c r="AV476" s="83" t="str">
        <f>HYPERLINK("https://pbs.twimg.com/profile_images/1700371194879549440/QiQHamC2_normal.jpg")</f>
        <v>https://pbs.twimg.com/profile_images/1700371194879549440/QiQHamC2_normal.jpg</v>
      </c>
      <c r="AW476" s="81" t="s">
        <v>1090</v>
      </c>
      <c r="AX476" s="81" t="s">
        <v>1090</v>
      </c>
      <c r="AY476" s="77"/>
      <c r="AZ476" s="81" t="s">
        <v>1190</v>
      </c>
      <c r="BA476" s="81" t="s">
        <v>1190</v>
      </c>
      <c r="BB476" s="81" t="s">
        <v>1190</v>
      </c>
      <c r="BC476" s="81" t="s">
        <v>1090</v>
      </c>
      <c r="BD476" s="81" t="s">
        <v>1182</v>
      </c>
      <c r="BE476" s="77"/>
      <c r="BF476" s="77"/>
      <c r="BG476" s="77"/>
      <c r="BH476" s="77"/>
      <c r="BI476" s="77"/>
      <c r="BJ476">
        <v>1</v>
      </c>
      <c r="BK476" s="76" t="str">
        <f>REPLACE(INDEX(GroupVertices[Group],MATCH(Edges[[#This Row],[Vertex 1]],GroupVertices[Vertex],0)),1,1,"")</f>
        <v>9</v>
      </c>
      <c r="BL476" s="76" t="str">
        <f>REPLACE(INDEX(GroupVertices[Group],MATCH(Edges[[#This Row],[Vertex 2]],GroupVertices[Vertex],0)),1,1,"")</f>
        <v>9</v>
      </c>
      <c r="BM476" s="45"/>
      <c r="BN476" s="46"/>
      <c r="BO476" s="45"/>
      <c r="BP476" s="46"/>
      <c r="BQ476" s="45"/>
      <c r="BR476" s="46"/>
      <c r="BS476" s="45"/>
      <c r="BT476" s="46"/>
      <c r="BU476" s="45"/>
    </row>
    <row r="477" spans="1:73" ht="15">
      <c r="A477" s="61" t="s">
        <v>244</v>
      </c>
      <c r="B477" s="61" t="s">
        <v>507</v>
      </c>
      <c r="C477" s="62" t="s">
        <v>11692</v>
      </c>
      <c r="D477" s="63">
        <v>3</v>
      </c>
      <c r="E477" s="64" t="s">
        <v>132</v>
      </c>
      <c r="F477" s="65">
        <v>32</v>
      </c>
      <c r="G477" s="62"/>
      <c r="H477" s="66"/>
      <c r="I477" s="67"/>
      <c r="J477" s="67"/>
      <c r="K477" s="31" t="s">
        <v>65</v>
      </c>
      <c r="L477" s="75">
        <v>477</v>
      </c>
      <c r="M477" s="75"/>
      <c r="N477" s="69"/>
      <c r="O477" s="77" t="s">
        <v>539</v>
      </c>
      <c r="P477" s="79">
        <v>45143.92355324074</v>
      </c>
      <c r="Q477" s="77" t="s">
        <v>607</v>
      </c>
      <c r="R477" s="77">
        <v>0</v>
      </c>
      <c r="S477" s="77">
        <v>0</v>
      </c>
      <c r="T477" s="77">
        <v>0</v>
      </c>
      <c r="U477" s="77">
        <v>1</v>
      </c>
      <c r="V477" s="77">
        <v>18</v>
      </c>
      <c r="W477" s="77"/>
      <c r="X477" s="77"/>
      <c r="Y477" s="77"/>
      <c r="Z477" s="77" t="s">
        <v>794</v>
      </c>
      <c r="AA477" s="77"/>
      <c r="AB477" s="77"/>
      <c r="AC477" s="81" t="s">
        <v>853</v>
      </c>
      <c r="AD477" s="77" t="s">
        <v>859</v>
      </c>
      <c r="AE477" s="83" t="str">
        <f>HYPERLINK("https://twitter.com/pilotbeac0n/status/1687949078389530624")</f>
        <v>https://twitter.com/pilotbeac0n/status/1687949078389530624</v>
      </c>
      <c r="AF477" s="79">
        <v>45143.92355324074</v>
      </c>
      <c r="AG477" s="85">
        <v>45143</v>
      </c>
      <c r="AH477" s="81" t="s">
        <v>935</v>
      </c>
      <c r="AI477" s="77"/>
      <c r="AJ477" s="77"/>
      <c r="AK477" s="77"/>
      <c r="AL477" s="77"/>
      <c r="AM477" s="77"/>
      <c r="AN477" s="77"/>
      <c r="AO477" s="77"/>
      <c r="AP477" s="77"/>
      <c r="AQ477" s="77"/>
      <c r="AR477" s="77"/>
      <c r="AS477" s="77"/>
      <c r="AT477" s="77"/>
      <c r="AU477" s="77"/>
      <c r="AV477" s="83" t="str">
        <f>HYPERLINK("https://pbs.twimg.com/profile_images/1700371194879549440/QiQHamC2_normal.jpg")</f>
        <v>https://pbs.twimg.com/profile_images/1700371194879549440/QiQHamC2_normal.jpg</v>
      </c>
      <c r="AW477" s="81" t="s">
        <v>1090</v>
      </c>
      <c r="AX477" s="81" t="s">
        <v>1090</v>
      </c>
      <c r="AY477" s="77"/>
      <c r="AZ477" s="81" t="s">
        <v>1190</v>
      </c>
      <c r="BA477" s="81" t="s">
        <v>1190</v>
      </c>
      <c r="BB477" s="81" t="s">
        <v>1190</v>
      </c>
      <c r="BC477" s="81" t="s">
        <v>1090</v>
      </c>
      <c r="BD477" s="81" t="s">
        <v>1182</v>
      </c>
      <c r="BE477" s="77"/>
      <c r="BF477" s="77"/>
      <c r="BG477" s="77"/>
      <c r="BH477" s="77"/>
      <c r="BI477" s="77"/>
      <c r="BJ477">
        <v>1</v>
      </c>
      <c r="BK477" s="76" t="str">
        <f>REPLACE(INDEX(GroupVertices[Group],MATCH(Edges[[#This Row],[Vertex 1]],GroupVertices[Vertex],0)),1,1,"")</f>
        <v>9</v>
      </c>
      <c r="BL477" s="76" t="str">
        <f>REPLACE(INDEX(GroupVertices[Group],MATCH(Edges[[#This Row],[Vertex 2]],GroupVertices[Vertex],0)),1,1,"")</f>
        <v>9</v>
      </c>
      <c r="BM477" s="45"/>
      <c r="BN477" s="46"/>
      <c r="BO477" s="45"/>
      <c r="BP477" s="46"/>
      <c r="BQ477" s="45"/>
      <c r="BR477" s="46"/>
      <c r="BS477" s="45"/>
      <c r="BT477" s="46"/>
      <c r="BU477" s="45"/>
    </row>
    <row r="478" spans="1:73" ht="15">
      <c r="A478" s="61" t="s">
        <v>245</v>
      </c>
      <c r="B478" s="61" t="s">
        <v>245</v>
      </c>
      <c r="C478" s="62" t="s">
        <v>11692</v>
      </c>
      <c r="D478" s="63">
        <v>3</v>
      </c>
      <c r="E478" s="64" t="s">
        <v>132</v>
      </c>
      <c r="F478" s="65">
        <v>32</v>
      </c>
      <c r="G478" s="62"/>
      <c r="H478" s="66"/>
      <c r="I478" s="67"/>
      <c r="J478" s="67"/>
      <c r="K478" s="31" t="s">
        <v>65</v>
      </c>
      <c r="L478" s="75">
        <v>478</v>
      </c>
      <c r="M478" s="75"/>
      <c r="N478" s="69"/>
      <c r="O478" s="77" t="s">
        <v>178</v>
      </c>
      <c r="P478" s="79">
        <v>45167.98125</v>
      </c>
      <c r="Q478" s="77" t="s">
        <v>608</v>
      </c>
      <c r="R478" s="77">
        <v>10</v>
      </c>
      <c r="S478" s="77">
        <v>37</v>
      </c>
      <c r="T478" s="77">
        <v>4</v>
      </c>
      <c r="U478" s="77">
        <v>2</v>
      </c>
      <c r="V478" s="77">
        <v>5321</v>
      </c>
      <c r="W478" s="77"/>
      <c r="X478" s="83" t="str">
        <f>HYPERLINK("https://www.coasttocoastam.com/article/british-woman-tormented-by-haunted-cell-phone/")</f>
        <v>https://www.coasttocoastam.com/article/british-woman-tormented-by-haunted-cell-phone/</v>
      </c>
      <c r="Y478" s="77" t="s">
        <v>746</v>
      </c>
      <c r="Z478" s="77"/>
      <c r="AA478" s="77"/>
      <c r="AB478" s="77"/>
      <c r="AC478" s="81" t="s">
        <v>853</v>
      </c>
      <c r="AD478" s="77" t="s">
        <v>859</v>
      </c>
      <c r="AE478" s="83" t="str">
        <f>HYPERLINK("https://twitter.com/coasttocoastam/status/1696667294716354566")</f>
        <v>https://twitter.com/coasttocoastam/status/1696667294716354566</v>
      </c>
      <c r="AF478" s="79">
        <v>45167.98125</v>
      </c>
      <c r="AG478" s="85">
        <v>45167</v>
      </c>
      <c r="AH478" s="81" t="s">
        <v>936</v>
      </c>
      <c r="AI478" s="77" t="b">
        <v>0</v>
      </c>
      <c r="AJ478" s="77"/>
      <c r="AK478" s="77"/>
      <c r="AL478" s="77"/>
      <c r="AM478" s="77"/>
      <c r="AN478" s="77"/>
      <c r="AO478" s="77"/>
      <c r="AP478" s="77"/>
      <c r="AQ478" s="77"/>
      <c r="AR478" s="77"/>
      <c r="AS478" s="77"/>
      <c r="AT478" s="77"/>
      <c r="AU478" s="77"/>
      <c r="AV478" s="83" t="str">
        <f>HYPERLINK("https://pbs.twimg.com/profile_images/587896291658633216/qFEEgO5Y_normal.jpg")</f>
        <v>https://pbs.twimg.com/profile_images/587896291658633216/qFEEgO5Y_normal.jpg</v>
      </c>
      <c r="AW478" s="81" t="s">
        <v>1091</v>
      </c>
      <c r="AX478" s="81" t="s">
        <v>1091</v>
      </c>
      <c r="AY478" s="77"/>
      <c r="AZ478" s="81" t="s">
        <v>1190</v>
      </c>
      <c r="BA478" s="81" t="s">
        <v>1190</v>
      </c>
      <c r="BB478" s="81" t="s">
        <v>1190</v>
      </c>
      <c r="BC478" s="81" t="s">
        <v>1091</v>
      </c>
      <c r="BD478" s="77">
        <v>41635723</v>
      </c>
      <c r="BE478" s="77"/>
      <c r="BF478" s="77"/>
      <c r="BG478" s="77"/>
      <c r="BH478" s="77"/>
      <c r="BI478" s="77"/>
      <c r="BJ478">
        <v>1</v>
      </c>
      <c r="BK478" s="76" t="str">
        <f>REPLACE(INDEX(GroupVertices[Group],MATCH(Edges[[#This Row],[Vertex 1]],GroupVertices[Vertex],0)),1,1,"")</f>
        <v>9</v>
      </c>
      <c r="BL478" s="76" t="str">
        <f>REPLACE(INDEX(GroupVertices[Group],MATCH(Edges[[#This Row],[Vertex 2]],GroupVertices[Vertex],0)),1,1,"")</f>
        <v>9</v>
      </c>
      <c r="BM478" s="45">
        <v>0</v>
      </c>
      <c r="BN478" s="46">
        <v>0</v>
      </c>
      <c r="BO478" s="45">
        <v>1</v>
      </c>
      <c r="BP478" s="46">
        <v>14.285714285714286</v>
      </c>
      <c r="BQ478" s="45">
        <v>0</v>
      </c>
      <c r="BR478" s="46">
        <v>0</v>
      </c>
      <c r="BS478" s="45">
        <v>5</v>
      </c>
      <c r="BT478" s="46">
        <v>71.42857142857143</v>
      </c>
      <c r="BU478" s="45">
        <v>7</v>
      </c>
    </row>
    <row r="479" spans="1:73" ht="15">
      <c r="A479" s="61" t="s">
        <v>244</v>
      </c>
      <c r="B479" s="61" t="s">
        <v>245</v>
      </c>
      <c r="C479" s="62" t="s">
        <v>11692</v>
      </c>
      <c r="D479" s="63">
        <v>3</v>
      </c>
      <c r="E479" s="64" t="s">
        <v>132</v>
      </c>
      <c r="F479" s="65">
        <v>32</v>
      </c>
      <c r="G479" s="62"/>
      <c r="H479" s="66"/>
      <c r="I479" s="67"/>
      <c r="J479" s="67"/>
      <c r="K479" s="31" t="s">
        <v>65</v>
      </c>
      <c r="L479" s="75">
        <v>479</v>
      </c>
      <c r="M479" s="75"/>
      <c r="N479" s="69"/>
      <c r="O479" s="77" t="s">
        <v>542</v>
      </c>
      <c r="P479" s="79">
        <v>45167.98547453704</v>
      </c>
      <c r="Q479" s="77" t="s">
        <v>609</v>
      </c>
      <c r="R479" s="77">
        <v>0</v>
      </c>
      <c r="S479" s="77">
        <v>0</v>
      </c>
      <c r="T479" s="77">
        <v>0</v>
      </c>
      <c r="U479" s="77">
        <v>0</v>
      </c>
      <c r="V479" s="77">
        <v>27</v>
      </c>
      <c r="W479" s="77"/>
      <c r="X479" s="83" t="str">
        <f>HYPERLINK("http://nodexlgraphgallery.org")</f>
        <v>http://nodexlgraphgallery.org</v>
      </c>
      <c r="Y479" s="77" t="s">
        <v>732</v>
      </c>
      <c r="Z479" s="77"/>
      <c r="AA479" s="77"/>
      <c r="AB479" s="77"/>
      <c r="AC479" s="81" t="s">
        <v>853</v>
      </c>
      <c r="AD479" s="77" t="s">
        <v>859</v>
      </c>
      <c r="AE479" s="83" t="str">
        <f>HYPERLINK("https://twitter.com/pilotbeac0n/status/1696668824882553098")</f>
        <v>https://twitter.com/pilotbeac0n/status/1696668824882553098</v>
      </c>
      <c r="AF479" s="79">
        <v>45167.98547453704</v>
      </c>
      <c r="AG479" s="85">
        <v>45167</v>
      </c>
      <c r="AH479" s="81" t="s">
        <v>937</v>
      </c>
      <c r="AI479" s="77" t="b">
        <v>0</v>
      </c>
      <c r="AJ479" s="77"/>
      <c r="AK479" s="77"/>
      <c r="AL479" s="77"/>
      <c r="AM479" s="77"/>
      <c r="AN479" s="77"/>
      <c r="AO479" s="77"/>
      <c r="AP479" s="77"/>
      <c r="AQ479" s="77"/>
      <c r="AR479" s="77"/>
      <c r="AS479" s="77"/>
      <c r="AT479" s="77"/>
      <c r="AU479" s="77"/>
      <c r="AV479" s="83" t="str">
        <f>HYPERLINK("https://pbs.twimg.com/profile_images/1700371194879549440/QiQHamC2_normal.jpg")</f>
        <v>https://pbs.twimg.com/profile_images/1700371194879549440/QiQHamC2_normal.jpg</v>
      </c>
      <c r="AW479" s="81" t="s">
        <v>1092</v>
      </c>
      <c r="AX479" s="81" t="s">
        <v>1092</v>
      </c>
      <c r="AY479" s="77"/>
      <c r="AZ479" s="81" t="s">
        <v>1190</v>
      </c>
      <c r="BA479" s="81" t="s">
        <v>1091</v>
      </c>
      <c r="BB479" s="81" t="s">
        <v>1190</v>
      </c>
      <c r="BC479" s="81" t="s">
        <v>1091</v>
      </c>
      <c r="BD479" s="81" t="s">
        <v>1182</v>
      </c>
      <c r="BE479" s="77"/>
      <c r="BF479" s="77"/>
      <c r="BG479" s="77"/>
      <c r="BH479" s="77"/>
      <c r="BI479" s="77"/>
      <c r="BJ479">
        <v>1</v>
      </c>
      <c r="BK479" s="76" t="str">
        <f>REPLACE(INDEX(GroupVertices[Group],MATCH(Edges[[#This Row],[Vertex 1]],GroupVertices[Vertex],0)),1,1,"")</f>
        <v>9</v>
      </c>
      <c r="BL479" s="76" t="str">
        <f>REPLACE(INDEX(GroupVertices[Group],MATCH(Edges[[#This Row],[Vertex 2]],GroupVertices[Vertex],0)),1,1,"")</f>
        <v>9</v>
      </c>
      <c r="BM479" s="45">
        <v>0</v>
      </c>
      <c r="BN479" s="46">
        <v>0</v>
      </c>
      <c r="BO479" s="45">
        <v>4</v>
      </c>
      <c r="BP479" s="46">
        <v>14.285714285714286</v>
      </c>
      <c r="BQ479" s="45">
        <v>0</v>
      </c>
      <c r="BR479" s="46">
        <v>0</v>
      </c>
      <c r="BS479" s="45">
        <v>13</v>
      </c>
      <c r="BT479" s="46">
        <v>46.42857142857143</v>
      </c>
      <c r="BU479" s="45">
        <v>28</v>
      </c>
    </row>
    <row r="480" spans="1:73" ht="15">
      <c r="A480" s="61" t="s">
        <v>244</v>
      </c>
      <c r="B480" s="61" t="s">
        <v>508</v>
      </c>
      <c r="C480" s="62" t="s">
        <v>11692</v>
      </c>
      <c r="D480" s="63">
        <v>3</v>
      </c>
      <c r="E480" s="64" t="s">
        <v>132</v>
      </c>
      <c r="F480" s="65">
        <v>32</v>
      </c>
      <c r="G480" s="62"/>
      <c r="H480" s="66"/>
      <c r="I480" s="67"/>
      <c r="J480" s="67"/>
      <c r="K480" s="31" t="s">
        <v>65</v>
      </c>
      <c r="L480" s="75">
        <v>480</v>
      </c>
      <c r="M480" s="75"/>
      <c r="N480" s="69"/>
      <c r="O480" s="77" t="s">
        <v>544</v>
      </c>
      <c r="P480" s="79">
        <v>45142.18702546296</v>
      </c>
      <c r="Q480" s="77" t="s">
        <v>610</v>
      </c>
      <c r="R480" s="77">
        <v>0</v>
      </c>
      <c r="S480" s="77">
        <v>0</v>
      </c>
      <c r="T480" s="77">
        <v>1</v>
      </c>
      <c r="U480" s="77">
        <v>0</v>
      </c>
      <c r="V480" s="77">
        <v>10</v>
      </c>
      <c r="W480" s="77"/>
      <c r="X480" s="83" t="str">
        <f>HYPERLINK("http://nodexgraphgallery.org")</f>
        <v>http://nodexgraphgallery.org</v>
      </c>
      <c r="Y480" s="77" t="s">
        <v>747</v>
      </c>
      <c r="Z480" s="77" t="s">
        <v>795</v>
      </c>
      <c r="AA480" s="77"/>
      <c r="AB480" s="77"/>
      <c r="AC480" s="81" t="s">
        <v>853</v>
      </c>
      <c r="AD480" s="77" t="s">
        <v>859</v>
      </c>
      <c r="AE480" s="83" t="str">
        <f>HYPERLINK("https://twitter.com/pilotbeac0n/status/1687319783220658176")</f>
        <v>https://twitter.com/pilotbeac0n/status/1687319783220658176</v>
      </c>
      <c r="AF480" s="79">
        <v>45142.18702546296</v>
      </c>
      <c r="AG480" s="85">
        <v>45142</v>
      </c>
      <c r="AH480" s="81" t="s">
        <v>938</v>
      </c>
      <c r="AI480" s="77" t="b">
        <v>0</v>
      </c>
      <c r="AJ480" s="77"/>
      <c r="AK480" s="77"/>
      <c r="AL480" s="77"/>
      <c r="AM480" s="77"/>
      <c r="AN480" s="77"/>
      <c r="AO480" s="77"/>
      <c r="AP480" s="77"/>
      <c r="AQ480" s="77"/>
      <c r="AR480" s="77"/>
      <c r="AS480" s="77"/>
      <c r="AT480" s="77"/>
      <c r="AU480" s="77"/>
      <c r="AV480" s="83" t="str">
        <f>HYPERLINK("https://pbs.twimg.com/profile_images/1700371194879549440/QiQHamC2_normal.jpg")</f>
        <v>https://pbs.twimg.com/profile_images/1700371194879549440/QiQHamC2_normal.jpg</v>
      </c>
      <c r="AW480" s="81" t="s">
        <v>1093</v>
      </c>
      <c r="AX480" s="81" t="s">
        <v>1093</v>
      </c>
      <c r="AY480" s="77"/>
      <c r="AZ480" s="81" t="s">
        <v>1190</v>
      </c>
      <c r="BA480" s="81" t="s">
        <v>1094</v>
      </c>
      <c r="BB480" s="81" t="s">
        <v>1190</v>
      </c>
      <c r="BC480" s="81" t="s">
        <v>1094</v>
      </c>
      <c r="BD480" s="81" t="s">
        <v>1182</v>
      </c>
      <c r="BE480" s="77"/>
      <c r="BF480" s="77"/>
      <c r="BG480" s="77"/>
      <c r="BH480" s="77"/>
      <c r="BI480" s="77"/>
      <c r="BJ480">
        <v>1</v>
      </c>
      <c r="BK480" s="76" t="str">
        <f>REPLACE(INDEX(GroupVertices[Group],MATCH(Edges[[#This Row],[Vertex 1]],GroupVertices[Vertex],0)),1,1,"")</f>
        <v>9</v>
      </c>
      <c r="BL480" s="76" t="str">
        <f>REPLACE(INDEX(GroupVertices[Group],MATCH(Edges[[#This Row],[Vertex 2]],GroupVertices[Vertex],0)),1,1,"")</f>
        <v>9</v>
      </c>
      <c r="BM480" s="45"/>
      <c r="BN480" s="46"/>
      <c r="BO480" s="45"/>
      <c r="BP480" s="46"/>
      <c r="BQ480" s="45"/>
      <c r="BR480" s="46"/>
      <c r="BS480" s="45"/>
      <c r="BT480" s="46"/>
      <c r="BU480" s="45"/>
    </row>
    <row r="481" spans="1:73" ht="15">
      <c r="A481" s="61" t="s">
        <v>246</v>
      </c>
      <c r="B481" s="61" t="s">
        <v>509</v>
      </c>
      <c r="C481" s="62" t="s">
        <v>11692</v>
      </c>
      <c r="D481" s="63">
        <v>3</v>
      </c>
      <c r="E481" s="64" t="s">
        <v>132</v>
      </c>
      <c r="F481" s="65">
        <v>32</v>
      </c>
      <c r="G481" s="62"/>
      <c r="H481" s="66"/>
      <c r="I481" s="67"/>
      <c r="J481" s="67"/>
      <c r="K481" s="31" t="s">
        <v>65</v>
      </c>
      <c r="L481" s="75">
        <v>481</v>
      </c>
      <c r="M481" s="75"/>
      <c r="N481" s="69"/>
      <c r="O481" s="77" t="s">
        <v>539</v>
      </c>
      <c r="P481" s="79">
        <v>43818.09357638889</v>
      </c>
      <c r="Q481" s="77" t="s">
        <v>611</v>
      </c>
      <c r="R481" s="77">
        <v>88</v>
      </c>
      <c r="S481" s="77">
        <v>148</v>
      </c>
      <c r="T481" s="77">
        <v>3</v>
      </c>
      <c r="U481" s="77">
        <v>24</v>
      </c>
      <c r="V481" s="77"/>
      <c r="W481" s="77"/>
      <c r="X481" s="77"/>
      <c r="Y481" s="77"/>
      <c r="Z481" s="77" t="s">
        <v>509</v>
      </c>
      <c r="AA481" s="77"/>
      <c r="AB481" s="77"/>
      <c r="AC481" s="81" t="s">
        <v>857</v>
      </c>
      <c r="AD481" s="77" t="s">
        <v>859</v>
      </c>
      <c r="AE481" s="83" t="str">
        <f>HYPERLINK("https://twitter.com/dwighttyree/status/1207484381478166528")</f>
        <v>https://twitter.com/dwighttyree/status/1207484381478166528</v>
      </c>
      <c r="AF481" s="79">
        <v>43818.09357638889</v>
      </c>
      <c r="AG481" s="85">
        <v>43818</v>
      </c>
      <c r="AH481" s="81" t="s">
        <v>939</v>
      </c>
      <c r="AI481" s="77"/>
      <c r="AJ481" s="77" t="s">
        <v>995</v>
      </c>
      <c r="AK481" s="77" t="s">
        <v>996</v>
      </c>
      <c r="AL481" s="77" t="s">
        <v>997</v>
      </c>
      <c r="AM481" s="77" t="s">
        <v>998</v>
      </c>
      <c r="AN481" s="77" t="s">
        <v>999</v>
      </c>
      <c r="AO481" s="77" t="s">
        <v>1000</v>
      </c>
      <c r="AP481" s="77" t="s">
        <v>1001</v>
      </c>
      <c r="AQ481" s="77"/>
      <c r="AR481" s="77"/>
      <c r="AS481" s="77"/>
      <c r="AT481" s="77"/>
      <c r="AU481" s="77"/>
      <c r="AV481" s="83" t="str">
        <f>HYPERLINK("https://pbs.twimg.com/profile_images/1688651370100932608/_zm8ZoNq_normal.jpg")</f>
        <v>https://pbs.twimg.com/profile_images/1688651370100932608/_zm8ZoNq_normal.jpg</v>
      </c>
      <c r="AW481" s="81" t="s">
        <v>1094</v>
      </c>
      <c r="AX481" s="81" t="s">
        <v>1094</v>
      </c>
      <c r="AY481" s="77"/>
      <c r="AZ481" s="81" t="s">
        <v>1190</v>
      </c>
      <c r="BA481" s="81" t="s">
        <v>1190</v>
      </c>
      <c r="BB481" s="81" t="s">
        <v>1190</v>
      </c>
      <c r="BC481" s="81" t="s">
        <v>1094</v>
      </c>
      <c r="BD481" s="81" t="s">
        <v>1208</v>
      </c>
      <c r="BE481" s="77"/>
      <c r="BF481" s="77"/>
      <c r="BG481" s="77"/>
      <c r="BH481" s="77"/>
      <c r="BI481" s="77"/>
      <c r="BJ481">
        <v>1</v>
      </c>
      <c r="BK481" s="76" t="str">
        <f>REPLACE(INDEX(GroupVertices[Group],MATCH(Edges[[#This Row],[Vertex 1]],GroupVertices[Vertex],0)),1,1,"")</f>
        <v>9</v>
      </c>
      <c r="BL481" s="76" t="str">
        <f>REPLACE(INDEX(GroupVertices[Group],MATCH(Edges[[#This Row],[Vertex 2]],GroupVertices[Vertex],0)),1,1,"")</f>
        <v>9</v>
      </c>
      <c r="BM481" s="45">
        <v>0</v>
      </c>
      <c r="BN481" s="46">
        <v>0</v>
      </c>
      <c r="BO481" s="45">
        <v>1</v>
      </c>
      <c r="BP481" s="46">
        <v>14.285714285714286</v>
      </c>
      <c r="BQ481" s="45">
        <v>0</v>
      </c>
      <c r="BR481" s="46">
        <v>0</v>
      </c>
      <c r="BS481" s="45">
        <v>3</v>
      </c>
      <c r="BT481" s="46">
        <v>42.857142857142854</v>
      </c>
      <c r="BU481" s="45">
        <v>7</v>
      </c>
    </row>
    <row r="482" spans="1:73" ht="15">
      <c r="A482" s="61" t="s">
        <v>244</v>
      </c>
      <c r="B482" s="61" t="s">
        <v>509</v>
      </c>
      <c r="C482" s="62" t="s">
        <v>11692</v>
      </c>
      <c r="D482" s="63">
        <v>3</v>
      </c>
      <c r="E482" s="64" t="s">
        <v>132</v>
      </c>
      <c r="F482" s="65">
        <v>32</v>
      </c>
      <c r="G482" s="62"/>
      <c r="H482" s="66"/>
      <c r="I482" s="67"/>
      <c r="J482" s="67"/>
      <c r="K482" s="31" t="s">
        <v>65</v>
      </c>
      <c r="L482" s="75">
        <v>482</v>
      </c>
      <c r="M482" s="75"/>
      <c r="N482" s="69"/>
      <c r="O482" s="77" t="s">
        <v>539</v>
      </c>
      <c r="P482" s="79">
        <v>45143.92355324074</v>
      </c>
      <c r="Q482" s="77" t="s">
        <v>607</v>
      </c>
      <c r="R482" s="77">
        <v>0</v>
      </c>
      <c r="S482" s="77">
        <v>0</v>
      </c>
      <c r="T482" s="77">
        <v>0</v>
      </c>
      <c r="U482" s="77">
        <v>1</v>
      </c>
      <c r="V482" s="77">
        <v>18</v>
      </c>
      <c r="W482" s="77"/>
      <c r="X482" s="77"/>
      <c r="Y482" s="77"/>
      <c r="Z482" s="77" t="s">
        <v>794</v>
      </c>
      <c r="AA482" s="77"/>
      <c r="AB482" s="77"/>
      <c r="AC482" s="81" t="s">
        <v>853</v>
      </c>
      <c r="AD482" s="77" t="s">
        <v>859</v>
      </c>
      <c r="AE482" s="83" t="str">
        <f>HYPERLINK("https://twitter.com/pilotbeac0n/status/1687949078389530624")</f>
        <v>https://twitter.com/pilotbeac0n/status/1687949078389530624</v>
      </c>
      <c r="AF482" s="79">
        <v>45143.92355324074</v>
      </c>
      <c r="AG482" s="85">
        <v>45143</v>
      </c>
      <c r="AH482" s="81" t="s">
        <v>935</v>
      </c>
      <c r="AI482" s="77"/>
      <c r="AJ482" s="77"/>
      <c r="AK482" s="77"/>
      <c r="AL482" s="77"/>
      <c r="AM482" s="77"/>
      <c r="AN482" s="77"/>
      <c r="AO482" s="77"/>
      <c r="AP482" s="77"/>
      <c r="AQ482" s="77"/>
      <c r="AR482" s="77"/>
      <c r="AS482" s="77"/>
      <c r="AT482" s="77"/>
      <c r="AU482" s="77"/>
      <c r="AV482" s="83" t="str">
        <f>HYPERLINK("https://pbs.twimg.com/profile_images/1700371194879549440/QiQHamC2_normal.jpg")</f>
        <v>https://pbs.twimg.com/profile_images/1700371194879549440/QiQHamC2_normal.jpg</v>
      </c>
      <c r="AW482" s="81" t="s">
        <v>1090</v>
      </c>
      <c r="AX482" s="81" t="s">
        <v>1090</v>
      </c>
      <c r="AY482" s="77"/>
      <c r="AZ482" s="81" t="s">
        <v>1190</v>
      </c>
      <c r="BA482" s="81" t="s">
        <v>1190</v>
      </c>
      <c r="BB482" s="81" t="s">
        <v>1190</v>
      </c>
      <c r="BC482" s="81" t="s">
        <v>1090</v>
      </c>
      <c r="BD482" s="81" t="s">
        <v>1182</v>
      </c>
      <c r="BE482" s="77"/>
      <c r="BF482" s="77"/>
      <c r="BG482" s="77"/>
      <c r="BH482" s="77"/>
      <c r="BI482" s="77"/>
      <c r="BJ482">
        <v>1</v>
      </c>
      <c r="BK482" s="76" t="str">
        <f>REPLACE(INDEX(GroupVertices[Group],MATCH(Edges[[#This Row],[Vertex 1]],GroupVertices[Vertex],0)),1,1,"")</f>
        <v>9</v>
      </c>
      <c r="BL482" s="76" t="str">
        <f>REPLACE(INDEX(GroupVertices[Group],MATCH(Edges[[#This Row],[Vertex 2]],GroupVertices[Vertex],0)),1,1,"")</f>
        <v>9</v>
      </c>
      <c r="BM482" s="45">
        <v>0</v>
      </c>
      <c r="BN482" s="46">
        <v>0</v>
      </c>
      <c r="BO482" s="45">
        <v>0</v>
      </c>
      <c r="BP482" s="46">
        <v>0</v>
      </c>
      <c r="BQ482" s="45">
        <v>0</v>
      </c>
      <c r="BR482" s="46">
        <v>0</v>
      </c>
      <c r="BS482" s="45">
        <v>11</v>
      </c>
      <c r="BT482" s="46">
        <v>64.70588235294117</v>
      </c>
      <c r="BU482" s="45">
        <v>17</v>
      </c>
    </row>
    <row r="483" spans="1:73" ht="15">
      <c r="A483" s="61" t="s">
        <v>244</v>
      </c>
      <c r="B483" s="61" t="s">
        <v>509</v>
      </c>
      <c r="C483" s="62" t="s">
        <v>11692</v>
      </c>
      <c r="D483" s="63">
        <v>3</v>
      </c>
      <c r="E483" s="64" t="s">
        <v>132</v>
      </c>
      <c r="F483" s="65">
        <v>32</v>
      </c>
      <c r="G483" s="62"/>
      <c r="H483" s="66"/>
      <c r="I483" s="67"/>
      <c r="J483" s="67"/>
      <c r="K483" s="31" t="s">
        <v>65</v>
      </c>
      <c r="L483" s="75">
        <v>483</v>
      </c>
      <c r="M483" s="75"/>
      <c r="N483" s="69"/>
      <c r="O483" s="77" t="s">
        <v>544</v>
      </c>
      <c r="P483" s="79">
        <v>45142.18702546296</v>
      </c>
      <c r="Q483" s="77" t="s">
        <v>610</v>
      </c>
      <c r="R483" s="77">
        <v>0</v>
      </c>
      <c r="S483" s="77">
        <v>0</v>
      </c>
      <c r="T483" s="77">
        <v>1</v>
      </c>
      <c r="U483" s="77">
        <v>0</v>
      </c>
      <c r="V483" s="77">
        <v>10</v>
      </c>
      <c r="W483" s="77"/>
      <c r="X483" s="83" t="str">
        <f>HYPERLINK("http://nodexgraphgallery.org")</f>
        <v>http://nodexgraphgallery.org</v>
      </c>
      <c r="Y483" s="77" t="s">
        <v>747</v>
      </c>
      <c r="Z483" s="77" t="s">
        <v>795</v>
      </c>
      <c r="AA483" s="77"/>
      <c r="AB483" s="77"/>
      <c r="AC483" s="81" t="s">
        <v>853</v>
      </c>
      <c r="AD483" s="77" t="s">
        <v>859</v>
      </c>
      <c r="AE483" s="83" t="str">
        <f>HYPERLINK("https://twitter.com/pilotbeac0n/status/1687319783220658176")</f>
        <v>https://twitter.com/pilotbeac0n/status/1687319783220658176</v>
      </c>
      <c r="AF483" s="79">
        <v>45142.18702546296</v>
      </c>
      <c r="AG483" s="85">
        <v>45142</v>
      </c>
      <c r="AH483" s="81" t="s">
        <v>938</v>
      </c>
      <c r="AI483" s="77" t="b">
        <v>0</v>
      </c>
      <c r="AJ483" s="77"/>
      <c r="AK483" s="77"/>
      <c r="AL483" s="77"/>
      <c r="AM483" s="77"/>
      <c r="AN483" s="77"/>
      <c r="AO483" s="77"/>
      <c r="AP483" s="77"/>
      <c r="AQ483" s="77"/>
      <c r="AR483" s="77"/>
      <c r="AS483" s="77"/>
      <c r="AT483" s="77"/>
      <c r="AU483" s="77"/>
      <c r="AV483" s="83" t="str">
        <f>HYPERLINK("https://pbs.twimg.com/profile_images/1700371194879549440/QiQHamC2_normal.jpg")</f>
        <v>https://pbs.twimg.com/profile_images/1700371194879549440/QiQHamC2_normal.jpg</v>
      </c>
      <c r="AW483" s="81" t="s">
        <v>1093</v>
      </c>
      <c r="AX483" s="81" t="s">
        <v>1093</v>
      </c>
      <c r="AY483" s="77"/>
      <c r="AZ483" s="81" t="s">
        <v>1190</v>
      </c>
      <c r="BA483" s="81" t="s">
        <v>1094</v>
      </c>
      <c r="BB483" s="81" t="s">
        <v>1190</v>
      </c>
      <c r="BC483" s="81" t="s">
        <v>1094</v>
      </c>
      <c r="BD483" s="81" t="s">
        <v>1182</v>
      </c>
      <c r="BE483" s="77"/>
      <c r="BF483" s="77"/>
      <c r="BG483" s="77"/>
      <c r="BH483" s="77"/>
      <c r="BI483" s="77"/>
      <c r="BJ483">
        <v>1</v>
      </c>
      <c r="BK483" s="76" t="str">
        <f>REPLACE(INDEX(GroupVertices[Group],MATCH(Edges[[#This Row],[Vertex 1]],GroupVertices[Vertex],0)),1,1,"")</f>
        <v>9</v>
      </c>
      <c r="BL483" s="76" t="str">
        <f>REPLACE(INDEX(GroupVertices[Group],MATCH(Edges[[#This Row],[Vertex 2]],GroupVertices[Vertex],0)),1,1,"")</f>
        <v>9</v>
      </c>
      <c r="BM483" s="45">
        <v>0</v>
      </c>
      <c r="BN483" s="46">
        <v>0</v>
      </c>
      <c r="BO483" s="45">
        <v>1</v>
      </c>
      <c r="BP483" s="46">
        <v>2.7027027027027026</v>
      </c>
      <c r="BQ483" s="45">
        <v>0</v>
      </c>
      <c r="BR483" s="46">
        <v>0</v>
      </c>
      <c r="BS483" s="45">
        <v>25</v>
      </c>
      <c r="BT483" s="46">
        <v>67.56756756756756</v>
      </c>
      <c r="BU483" s="45">
        <v>37</v>
      </c>
    </row>
    <row r="484" spans="1:73" ht="15">
      <c r="A484" s="61" t="s">
        <v>244</v>
      </c>
      <c r="B484" s="61" t="s">
        <v>246</v>
      </c>
      <c r="C484" s="62" t="s">
        <v>11692</v>
      </c>
      <c r="D484" s="63">
        <v>3</v>
      </c>
      <c r="E484" s="64" t="s">
        <v>132</v>
      </c>
      <c r="F484" s="65">
        <v>32</v>
      </c>
      <c r="G484" s="62"/>
      <c r="H484" s="66"/>
      <c r="I484" s="67"/>
      <c r="J484" s="67"/>
      <c r="K484" s="31" t="s">
        <v>65</v>
      </c>
      <c r="L484" s="75">
        <v>484</v>
      </c>
      <c r="M484" s="75"/>
      <c r="N484" s="69"/>
      <c r="O484" s="77" t="s">
        <v>542</v>
      </c>
      <c r="P484" s="79">
        <v>45142.18702546296</v>
      </c>
      <c r="Q484" s="77" t="s">
        <v>610</v>
      </c>
      <c r="R484" s="77">
        <v>0</v>
      </c>
      <c r="S484" s="77">
        <v>0</v>
      </c>
      <c r="T484" s="77">
        <v>1</v>
      </c>
      <c r="U484" s="77">
        <v>0</v>
      </c>
      <c r="V484" s="77">
        <v>10</v>
      </c>
      <c r="W484" s="77"/>
      <c r="X484" s="83" t="str">
        <f>HYPERLINK("http://nodexgraphgallery.org")</f>
        <v>http://nodexgraphgallery.org</v>
      </c>
      <c r="Y484" s="77" t="s">
        <v>747</v>
      </c>
      <c r="Z484" s="77" t="s">
        <v>795</v>
      </c>
      <c r="AA484" s="77"/>
      <c r="AB484" s="77"/>
      <c r="AC484" s="81" t="s">
        <v>853</v>
      </c>
      <c r="AD484" s="77" t="s">
        <v>859</v>
      </c>
      <c r="AE484" s="83" t="str">
        <f>HYPERLINK("https://twitter.com/pilotbeac0n/status/1687319783220658176")</f>
        <v>https://twitter.com/pilotbeac0n/status/1687319783220658176</v>
      </c>
      <c r="AF484" s="79">
        <v>45142.18702546296</v>
      </c>
      <c r="AG484" s="85">
        <v>45142</v>
      </c>
      <c r="AH484" s="81" t="s">
        <v>938</v>
      </c>
      <c r="AI484" s="77" t="b">
        <v>0</v>
      </c>
      <c r="AJ484" s="77"/>
      <c r="AK484" s="77"/>
      <c r="AL484" s="77"/>
      <c r="AM484" s="77"/>
      <c r="AN484" s="77"/>
      <c r="AO484" s="77"/>
      <c r="AP484" s="77"/>
      <c r="AQ484" s="77"/>
      <c r="AR484" s="77"/>
      <c r="AS484" s="77"/>
      <c r="AT484" s="77"/>
      <c r="AU484" s="77"/>
      <c r="AV484" s="83" t="str">
        <f>HYPERLINK("https://pbs.twimg.com/profile_images/1700371194879549440/QiQHamC2_normal.jpg")</f>
        <v>https://pbs.twimg.com/profile_images/1700371194879549440/QiQHamC2_normal.jpg</v>
      </c>
      <c r="AW484" s="81" t="s">
        <v>1093</v>
      </c>
      <c r="AX484" s="81" t="s">
        <v>1093</v>
      </c>
      <c r="AY484" s="77"/>
      <c r="AZ484" s="81" t="s">
        <v>1190</v>
      </c>
      <c r="BA484" s="81" t="s">
        <v>1094</v>
      </c>
      <c r="BB484" s="81" t="s">
        <v>1190</v>
      </c>
      <c r="BC484" s="81" t="s">
        <v>1094</v>
      </c>
      <c r="BD484" s="81" t="s">
        <v>1182</v>
      </c>
      <c r="BE484" s="77"/>
      <c r="BF484" s="77"/>
      <c r="BG484" s="77"/>
      <c r="BH484" s="77"/>
      <c r="BI484" s="77"/>
      <c r="BJ484">
        <v>1</v>
      </c>
      <c r="BK484" s="76" t="str">
        <f>REPLACE(INDEX(GroupVertices[Group],MATCH(Edges[[#This Row],[Vertex 1]],GroupVertices[Vertex],0)),1,1,"")</f>
        <v>9</v>
      </c>
      <c r="BL484" s="76" t="str">
        <f>REPLACE(INDEX(GroupVertices[Group],MATCH(Edges[[#This Row],[Vertex 2]],GroupVertices[Vertex],0)),1,1,"")</f>
        <v>9</v>
      </c>
      <c r="BM484" s="45"/>
      <c r="BN484" s="46"/>
      <c r="BO484" s="45"/>
      <c r="BP484" s="46"/>
      <c r="BQ484" s="45"/>
      <c r="BR484" s="46"/>
      <c r="BS484" s="45"/>
      <c r="BT484" s="46"/>
      <c r="BU484" s="45"/>
    </row>
    <row r="485" spans="1:73" ht="15">
      <c r="A485" s="61" t="s">
        <v>247</v>
      </c>
      <c r="B485" s="61" t="s">
        <v>244</v>
      </c>
      <c r="C485" s="62" t="s">
        <v>11692</v>
      </c>
      <c r="D485" s="63">
        <v>3</v>
      </c>
      <c r="E485" s="64" t="s">
        <v>132</v>
      </c>
      <c r="F485" s="65">
        <v>32</v>
      </c>
      <c r="G485" s="62"/>
      <c r="H485" s="66"/>
      <c r="I485" s="67"/>
      <c r="J485" s="67"/>
      <c r="K485" s="31" t="s">
        <v>66</v>
      </c>
      <c r="L485" s="75">
        <v>485</v>
      </c>
      <c r="M485" s="75"/>
      <c r="N485" s="69"/>
      <c r="O485" s="77" t="s">
        <v>540</v>
      </c>
      <c r="P485" s="79">
        <v>45143.71824074074</v>
      </c>
      <c r="Q485" s="77" t="s">
        <v>612</v>
      </c>
      <c r="R485" s="77">
        <v>0</v>
      </c>
      <c r="S485" s="77">
        <v>0</v>
      </c>
      <c r="T485" s="77">
        <v>0</v>
      </c>
      <c r="U485" s="77">
        <v>1</v>
      </c>
      <c r="V485" s="77">
        <v>12</v>
      </c>
      <c r="W485" s="77"/>
      <c r="X485" s="77"/>
      <c r="Y485" s="77"/>
      <c r="Z485" s="77" t="s">
        <v>796</v>
      </c>
      <c r="AA485" s="77" t="s">
        <v>836</v>
      </c>
      <c r="AB485" s="77" t="s">
        <v>848</v>
      </c>
      <c r="AC485" s="81" t="s">
        <v>855</v>
      </c>
      <c r="AD485" s="77" t="s">
        <v>862</v>
      </c>
      <c r="AE485" s="83" t="str">
        <f>HYPERLINK("https://twitter.com/541lcbt/status/1687874675853189120")</f>
        <v>https://twitter.com/541lcbt/status/1687874675853189120</v>
      </c>
      <c r="AF485" s="79">
        <v>45143.71824074074</v>
      </c>
      <c r="AG485" s="85">
        <v>45143</v>
      </c>
      <c r="AH485" s="81" t="s">
        <v>940</v>
      </c>
      <c r="AI485" s="77" t="b">
        <v>0</v>
      </c>
      <c r="AJ485" s="77"/>
      <c r="AK485" s="77"/>
      <c r="AL485" s="77"/>
      <c r="AM485" s="77"/>
      <c r="AN485" s="77"/>
      <c r="AO485" s="77"/>
      <c r="AP485" s="77"/>
      <c r="AQ485" s="77" t="s">
        <v>1015</v>
      </c>
      <c r="AR485" s="77"/>
      <c r="AS485" s="77"/>
      <c r="AT485" s="77"/>
      <c r="AU485" s="77"/>
      <c r="AV485" s="83" t="str">
        <f>HYPERLINK("https://pbs.twimg.com/media/F2yJDWKaUAAe9g2.jpg")</f>
        <v>https://pbs.twimg.com/media/F2yJDWKaUAAe9g2.jpg</v>
      </c>
      <c r="AW485" s="81" t="s">
        <v>1095</v>
      </c>
      <c r="AX485" s="81" t="s">
        <v>1159</v>
      </c>
      <c r="AY485" s="81" t="s">
        <v>1182</v>
      </c>
      <c r="AZ485" s="81" t="s">
        <v>1159</v>
      </c>
      <c r="BA485" s="81" t="s">
        <v>1190</v>
      </c>
      <c r="BB485" s="81" t="s">
        <v>1190</v>
      </c>
      <c r="BC485" s="81" t="s">
        <v>1159</v>
      </c>
      <c r="BD485" s="81" t="s">
        <v>1209</v>
      </c>
      <c r="BE485" s="77"/>
      <c r="BF485" s="77"/>
      <c r="BG485" s="77"/>
      <c r="BH485" s="77"/>
      <c r="BI485" s="77"/>
      <c r="BJ485">
        <v>1</v>
      </c>
      <c r="BK485" s="76" t="str">
        <f>REPLACE(INDEX(GroupVertices[Group],MATCH(Edges[[#This Row],[Vertex 1]],GroupVertices[Vertex],0)),1,1,"")</f>
        <v>9</v>
      </c>
      <c r="BL485" s="76" t="str">
        <f>REPLACE(INDEX(GroupVertices[Group],MATCH(Edges[[#This Row],[Vertex 2]],GroupVertices[Vertex],0)),1,1,"")</f>
        <v>9</v>
      </c>
      <c r="BM485" s="45">
        <v>0</v>
      </c>
      <c r="BN485" s="46">
        <v>0</v>
      </c>
      <c r="BO485" s="45">
        <v>0</v>
      </c>
      <c r="BP485" s="46">
        <v>0</v>
      </c>
      <c r="BQ485" s="45">
        <v>0</v>
      </c>
      <c r="BR485" s="46">
        <v>0</v>
      </c>
      <c r="BS485" s="45">
        <v>2</v>
      </c>
      <c r="BT485" s="46">
        <v>100</v>
      </c>
      <c r="BU485" s="45">
        <v>2</v>
      </c>
    </row>
    <row r="486" spans="1:73" ht="15">
      <c r="A486" s="61" t="s">
        <v>244</v>
      </c>
      <c r="B486" s="61" t="s">
        <v>247</v>
      </c>
      <c r="C486" s="62" t="s">
        <v>11692</v>
      </c>
      <c r="D486" s="63">
        <v>3</v>
      </c>
      <c r="E486" s="64" t="s">
        <v>132</v>
      </c>
      <c r="F486" s="65">
        <v>32</v>
      </c>
      <c r="G486" s="62"/>
      <c r="H486" s="66"/>
      <c r="I486" s="67"/>
      <c r="J486" s="67"/>
      <c r="K486" s="31" t="s">
        <v>66</v>
      </c>
      <c r="L486" s="75">
        <v>486</v>
      </c>
      <c r="M486" s="75"/>
      <c r="N486" s="69"/>
      <c r="O486" s="77" t="s">
        <v>542</v>
      </c>
      <c r="P486" s="79">
        <v>45143.90568287037</v>
      </c>
      <c r="Q486" s="77" t="s">
        <v>613</v>
      </c>
      <c r="R486" s="77">
        <v>0</v>
      </c>
      <c r="S486" s="77">
        <v>0</v>
      </c>
      <c r="T486" s="77">
        <v>0</v>
      </c>
      <c r="U486" s="77">
        <v>0</v>
      </c>
      <c r="V486" s="77">
        <v>4</v>
      </c>
      <c r="W486" s="77"/>
      <c r="X486" s="77"/>
      <c r="Y486" s="77"/>
      <c r="Z486" s="77" t="s">
        <v>793</v>
      </c>
      <c r="AA486" s="77"/>
      <c r="AB486" s="77"/>
      <c r="AC486" s="81" t="s">
        <v>853</v>
      </c>
      <c r="AD486" s="77" t="s">
        <v>859</v>
      </c>
      <c r="AE486" s="83" t="str">
        <f>HYPERLINK("https://twitter.com/pilotbeac0n/status/1687942602413494272")</f>
        <v>https://twitter.com/pilotbeac0n/status/1687942602413494272</v>
      </c>
      <c r="AF486" s="79">
        <v>45143.90568287037</v>
      </c>
      <c r="AG486" s="85">
        <v>45143</v>
      </c>
      <c r="AH486" s="81" t="s">
        <v>941</v>
      </c>
      <c r="AI486" s="77"/>
      <c r="AJ486" s="77"/>
      <c r="AK486" s="77"/>
      <c r="AL486" s="77"/>
      <c r="AM486" s="77"/>
      <c r="AN486" s="77"/>
      <c r="AO486" s="77"/>
      <c r="AP486" s="77"/>
      <c r="AQ486" s="77"/>
      <c r="AR486" s="77"/>
      <c r="AS486" s="77"/>
      <c r="AT486" s="77"/>
      <c r="AU486" s="77"/>
      <c r="AV486" s="83" t="str">
        <f>HYPERLINK("https://pbs.twimg.com/profile_images/1700371194879549440/QiQHamC2_normal.jpg")</f>
        <v>https://pbs.twimg.com/profile_images/1700371194879549440/QiQHamC2_normal.jpg</v>
      </c>
      <c r="AW486" s="81" t="s">
        <v>1096</v>
      </c>
      <c r="AX486" s="81" t="s">
        <v>1096</v>
      </c>
      <c r="AY486" s="77"/>
      <c r="AZ486" s="81" t="s">
        <v>1190</v>
      </c>
      <c r="BA486" s="81" t="s">
        <v>1095</v>
      </c>
      <c r="BB486" s="81" t="s">
        <v>1190</v>
      </c>
      <c r="BC486" s="81" t="s">
        <v>1095</v>
      </c>
      <c r="BD486" s="81" t="s">
        <v>1182</v>
      </c>
      <c r="BE486" s="77"/>
      <c r="BF486" s="77"/>
      <c r="BG486" s="77"/>
      <c r="BH486" s="77"/>
      <c r="BI486" s="77"/>
      <c r="BJ486">
        <v>1</v>
      </c>
      <c r="BK486" s="76" t="str">
        <f>REPLACE(INDEX(GroupVertices[Group],MATCH(Edges[[#This Row],[Vertex 1]],GroupVertices[Vertex],0)),1,1,"")</f>
        <v>9</v>
      </c>
      <c r="BL486" s="76" t="str">
        <f>REPLACE(INDEX(GroupVertices[Group],MATCH(Edges[[#This Row],[Vertex 2]],GroupVertices[Vertex],0)),1,1,"")</f>
        <v>9</v>
      </c>
      <c r="BM486" s="45">
        <v>0</v>
      </c>
      <c r="BN486" s="46">
        <v>0</v>
      </c>
      <c r="BO486" s="45">
        <v>1</v>
      </c>
      <c r="BP486" s="46">
        <v>6.25</v>
      </c>
      <c r="BQ486" s="45">
        <v>0</v>
      </c>
      <c r="BR486" s="46">
        <v>0</v>
      </c>
      <c r="BS486" s="45">
        <v>6</v>
      </c>
      <c r="BT486" s="46">
        <v>37.5</v>
      </c>
      <c r="BU486" s="45">
        <v>16</v>
      </c>
    </row>
    <row r="487" spans="1:73" ht="15">
      <c r="A487" s="61" t="s">
        <v>229</v>
      </c>
      <c r="B487" s="61" t="s">
        <v>471</v>
      </c>
      <c r="C487" s="62" t="s">
        <v>11696</v>
      </c>
      <c r="D487" s="63">
        <v>8.6</v>
      </c>
      <c r="E487" s="64" t="s">
        <v>136</v>
      </c>
      <c r="F487" s="65">
        <v>14.399999999999999</v>
      </c>
      <c r="G487" s="62"/>
      <c r="H487" s="66"/>
      <c r="I487" s="67"/>
      <c r="J487" s="67"/>
      <c r="K487" s="31" t="s">
        <v>65</v>
      </c>
      <c r="L487" s="75">
        <v>487</v>
      </c>
      <c r="M487" s="75"/>
      <c r="N487" s="69"/>
      <c r="O487" s="77" t="s">
        <v>543</v>
      </c>
      <c r="P487" s="79">
        <v>45161.32444444444</v>
      </c>
      <c r="Q487" s="77" t="s">
        <v>595</v>
      </c>
      <c r="R487" s="77">
        <v>1</v>
      </c>
      <c r="S487" s="77">
        <v>1</v>
      </c>
      <c r="T487" s="77">
        <v>1</v>
      </c>
      <c r="U487" s="77">
        <v>0</v>
      </c>
      <c r="V487" s="77">
        <v>98</v>
      </c>
      <c r="W487" s="81" t="s">
        <v>701</v>
      </c>
      <c r="X487" s="77"/>
      <c r="Y487" s="77"/>
      <c r="Z487" s="77" t="s">
        <v>785</v>
      </c>
      <c r="AA487" s="77"/>
      <c r="AB487" s="77"/>
      <c r="AC487" s="81" t="s">
        <v>853</v>
      </c>
      <c r="AD487" s="77" t="s">
        <v>860</v>
      </c>
      <c r="AE487" s="83" t="str">
        <f>HYPERLINK("https://twitter.com/mihkal/status/1694254950790918501")</f>
        <v>https://twitter.com/mihkal/status/1694254950790918501</v>
      </c>
      <c r="AF487" s="79">
        <v>45161.32444444444</v>
      </c>
      <c r="AG487" s="85">
        <v>45161</v>
      </c>
      <c r="AH487" s="81" t="s">
        <v>923</v>
      </c>
      <c r="AI487" s="77"/>
      <c r="AJ487" s="77"/>
      <c r="AK487" s="77"/>
      <c r="AL487" s="77"/>
      <c r="AM487" s="77"/>
      <c r="AN487" s="77"/>
      <c r="AO487" s="77"/>
      <c r="AP487" s="77"/>
      <c r="AQ487" s="77"/>
      <c r="AR487" s="77"/>
      <c r="AS487" s="77"/>
      <c r="AT487" s="77"/>
      <c r="AU487" s="77"/>
      <c r="AV487" s="83" t="str">
        <f>HYPERLINK("https://pbs.twimg.com/profile_images/1663227887837757440/XOjtFF4W_normal.jpg")</f>
        <v>https://pbs.twimg.com/profile_images/1663227887837757440/XOjtFF4W_normal.jpg</v>
      </c>
      <c r="AW487" s="81" t="s">
        <v>1078</v>
      </c>
      <c r="AX487" s="81" t="s">
        <v>1158</v>
      </c>
      <c r="AY487" s="81" t="s">
        <v>1180</v>
      </c>
      <c r="AZ487" s="81" t="s">
        <v>1194</v>
      </c>
      <c r="BA487" s="81" t="s">
        <v>1190</v>
      </c>
      <c r="BB487" s="81" t="s">
        <v>1190</v>
      </c>
      <c r="BC487" s="81" t="s">
        <v>1194</v>
      </c>
      <c r="BD487" s="77">
        <v>24256031</v>
      </c>
      <c r="BE487" s="77"/>
      <c r="BF487" s="77"/>
      <c r="BG487" s="77"/>
      <c r="BH487" s="77"/>
      <c r="BI487" s="77"/>
      <c r="BJ487">
        <v>5</v>
      </c>
      <c r="BK487" s="76" t="str">
        <f>REPLACE(INDEX(GroupVertices[Group],MATCH(Edges[[#This Row],[Vertex 1]],GroupVertices[Vertex],0)),1,1,"")</f>
        <v>1</v>
      </c>
      <c r="BL487" s="76" t="str">
        <f>REPLACE(INDEX(GroupVertices[Group],MATCH(Edges[[#This Row],[Vertex 2]],GroupVertices[Vertex],0)),1,1,"")</f>
        <v>9</v>
      </c>
      <c r="BM487" s="45"/>
      <c r="BN487" s="46"/>
      <c r="BO487" s="45"/>
      <c r="BP487" s="46"/>
      <c r="BQ487" s="45"/>
      <c r="BR487" s="46"/>
      <c r="BS487" s="45"/>
      <c r="BT487" s="46"/>
      <c r="BU487" s="45"/>
    </row>
    <row r="488" spans="1:73" ht="15">
      <c r="A488" s="61" t="s">
        <v>229</v>
      </c>
      <c r="B488" s="61" t="s">
        <v>471</v>
      </c>
      <c r="C488" s="62" t="s">
        <v>11696</v>
      </c>
      <c r="D488" s="63">
        <v>8.6</v>
      </c>
      <c r="E488" s="64" t="s">
        <v>136</v>
      </c>
      <c r="F488" s="65">
        <v>14.399999999999999</v>
      </c>
      <c r="G488" s="62"/>
      <c r="H488" s="66"/>
      <c r="I488" s="67"/>
      <c r="J488" s="67"/>
      <c r="K488" s="31" t="s">
        <v>65</v>
      </c>
      <c r="L488" s="75">
        <v>488</v>
      </c>
      <c r="M488" s="75"/>
      <c r="N488" s="69"/>
      <c r="O488" s="77" t="s">
        <v>543</v>
      </c>
      <c r="P488" s="79">
        <v>45161.33721064815</v>
      </c>
      <c r="Q488" s="77" t="s">
        <v>596</v>
      </c>
      <c r="R488" s="77">
        <v>0</v>
      </c>
      <c r="S488" s="77">
        <v>1</v>
      </c>
      <c r="T488" s="77">
        <v>1</v>
      </c>
      <c r="U488" s="77">
        <v>0</v>
      </c>
      <c r="V488" s="77">
        <v>39</v>
      </c>
      <c r="W488" s="81" t="s">
        <v>702</v>
      </c>
      <c r="X488" s="77"/>
      <c r="Y488" s="77"/>
      <c r="Z488" s="77" t="s">
        <v>786</v>
      </c>
      <c r="AA488" s="77"/>
      <c r="AB488" s="77"/>
      <c r="AC488" s="81" t="s">
        <v>853</v>
      </c>
      <c r="AD488" s="77" t="s">
        <v>860</v>
      </c>
      <c r="AE488" s="83" t="str">
        <f>HYPERLINK("https://twitter.com/mihkal/status/1694259577104019568")</f>
        <v>https://twitter.com/mihkal/status/1694259577104019568</v>
      </c>
      <c r="AF488" s="79">
        <v>45161.33721064815</v>
      </c>
      <c r="AG488" s="85">
        <v>45161</v>
      </c>
      <c r="AH488" s="81" t="s">
        <v>924</v>
      </c>
      <c r="AI488" s="77"/>
      <c r="AJ488" s="77"/>
      <c r="AK488" s="77"/>
      <c r="AL488" s="77"/>
      <c r="AM488" s="77"/>
      <c r="AN488" s="77"/>
      <c r="AO488" s="77"/>
      <c r="AP488" s="77"/>
      <c r="AQ488" s="77"/>
      <c r="AR488" s="77"/>
      <c r="AS488" s="77"/>
      <c r="AT488" s="77"/>
      <c r="AU488" s="77"/>
      <c r="AV488" s="83" t="str">
        <f>HYPERLINK("https://pbs.twimg.com/profile_images/1663227887837757440/XOjtFF4W_normal.jpg")</f>
        <v>https://pbs.twimg.com/profile_images/1663227887837757440/XOjtFF4W_normal.jpg</v>
      </c>
      <c r="AW488" s="81" t="s">
        <v>1079</v>
      </c>
      <c r="AX488" s="81" t="s">
        <v>1158</v>
      </c>
      <c r="AY488" s="81" t="s">
        <v>1169</v>
      </c>
      <c r="AZ488" s="81" t="s">
        <v>1078</v>
      </c>
      <c r="BA488" s="81" t="s">
        <v>1190</v>
      </c>
      <c r="BB488" s="81" t="s">
        <v>1190</v>
      </c>
      <c r="BC488" s="81" t="s">
        <v>1078</v>
      </c>
      <c r="BD488" s="77">
        <v>24256031</v>
      </c>
      <c r="BE488" s="77"/>
      <c r="BF488" s="77"/>
      <c r="BG488" s="77"/>
      <c r="BH488" s="77"/>
      <c r="BI488" s="77"/>
      <c r="BJ488">
        <v>5</v>
      </c>
      <c r="BK488" s="76" t="str">
        <f>REPLACE(INDEX(GroupVertices[Group],MATCH(Edges[[#This Row],[Vertex 1]],GroupVertices[Vertex],0)),1,1,"")</f>
        <v>1</v>
      </c>
      <c r="BL488" s="76" t="str">
        <f>REPLACE(INDEX(GroupVertices[Group],MATCH(Edges[[#This Row],[Vertex 2]],GroupVertices[Vertex],0)),1,1,"")</f>
        <v>9</v>
      </c>
      <c r="BM488" s="45">
        <v>0</v>
      </c>
      <c r="BN488" s="46">
        <v>0</v>
      </c>
      <c r="BO488" s="45">
        <v>0</v>
      </c>
      <c r="BP488" s="46">
        <v>0</v>
      </c>
      <c r="BQ488" s="45">
        <v>0</v>
      </c>
      <c r="BR488" s="46">
        <v>0</v>
      </c>
      <c r="BS488" s="45">
        <v>10</v>
      </c>
      <c r="BT488" s="46">
        <v>90.9090909090909</v>
      </c>
      <c r="BU488" s="45">
        <v>11</v>
      </c>
    </row>
    <row r="489" spans="1:73" ht="15">
      <c r="A489" s="61" t="s">
        <v>229</v>
      </c>
      <c r="B489" s="61" t="s">
        <v>471</v>
      </c>
      <c r="C489" s="62" t="s">
        <v>11696</v>
      </c>
      <c r="D489" s="63">
        <v>8.6</v>
      </c>
      <c r="E489" s="64" t="s">
        <v>136</v>
      </c>
      <c r="F489" s="65">
        <v>14.399999999999999</v>
      </c>
      <c r="G489" s="62"/>
      <c r="H489" s="66"/>
      <c r="I489" s="67"/>
      <c r="J489" s="67"/>
      <c r="K489" s="31" t="s">
        <v>65</v>
      </c>
      <c r="L489" s="75">
        <v>489</v>
      </c>
      <c r="M489" s="75"/>
      <c r="N489" s="69"/>
      <c r="O489" s="77" t="s">
        <v>543</v>
      </c>
      <c r="P489" s="79">
        <v>45161.33939814815</v>
      </c>
      <c r="Q489" s="77" t="s">
        <v>597</v>
      </c>
      <c r="R489" s="77">
        <v>0</v>
      </c>
      <c r="S489" s="77">
        <v>2</v>
      </c>
      <c r="T489" s="77">
        <v>0</v>
      </c>
      <c r="U489" s="77">
        <v>0</v>
      </c>
      <c r="V489" s="77">
        <v>64</v>
      </c>
      <c r="W489" s="81" t="s">
        <v>702</v>
      </c>
      <c r="X489" s="83" t="str">
        <f>HYPERLINK("https://drive.google.com/file/d/1V8VDKgqRE3Ait1LOwdKrF73c0Y2BEvse/view?usp=sharing")</f>
        <v>https://drive.google.com/file/d/1V8VDKgqRE3Ait1LOwdKrF73c0Y2BEvse/view?usp=sharing</v>
      </c>
      <c r="Y489" s="77" t="s">
        <v>739</v>
      </c>
      <c r="Z489" s="77" t="s">
        <v>787</v>
      </c>
      <c r="AA489" s="77"/>
      <c r="AB489" s="77"/>
      <c r="AC489" s="81" t="s">
        <v>853</v>
      </c>
      <c r="AD489" s="77" t="s">
        <v>860</v>
      </c>
      <c r="AE489" s="83" t="str">
        <f>HYPERLINK("https://twitter.com/mihkal/status/1694260369382903812")</f>
        <v>https://twitter.com/mihkal/status/1694260369382903812</v>
      </c>
      <c r="AF489" s="79">
        <v>45161.33939814815</v>
      </c>
      <c r="AG489" s="85">
        <v>45161</v>
      </c>
      <c r="AH489" s="81" t="s">
        <v>925</v>
      </c>
      <c r="AI489" s="77" t="b">
        <v>0</v>
      </c>
      <c r="AJ489" s="77"/>
      <c r="AK489" s="77"/>
      <c r="AL489" s="77"/>
      <c r="AM489" s="77"/>
      <c r="AN489" s="77"/>
      <c r="AO489" s="77"/>
      <c r="AP489" s="77"/>
      <c r="AQ489" s="77"/>
      <c r="AR489" s="77"/>
      <c r="AS489" s="77"/>
      <c r="AT489" s="77"/>
      <c r="AU489" s="77"/>
      <c r="AV489" s="83" t="str">
        <f>HYPERLINK("https://pbs.twimg.com/profile_images/1663227887837757440/XOjtFF4W_normal.jpg")</f>
        <v>https://pbs.twimg.com/profile_images/1663227887837757440/XOjtFF4W_normal.jpg</v>
      </c>
      <c r="AW489" s="81" t="s">
        <v>1080</v>
      </c>
      <c r="AX489" s="81" t="s">
        <v>1158</v>
      </c>
      <c r="AY489" s="81" t="s">
        <v>1169</v>
      </c>
      <c r="AZ489" s="81" t="s">
        <v>1081</v>
      </c>
      <c r="BA489" s="81" t="s">
        <v>1190</v>
      </c>
      <c r="BB489" s="81" t="s">
        <v>1190</v>
      </c>
      <c r="BC489" s="81" t="s">
        <v>1081</v>
      </c>
      <c r="BD489" s="77">
        <v>24256031</v>
      </c>
      <c r="BE489" s="77"/>
      <c r="BF489" s="77"/>
      <c r="BG489" s="77"/>
      <c r="BH489" s="77"/>
      <c r="BI489" s="77"/>
      <c r="BJ489">
        <v>5</v>
      </c>
      <c r="BK489" s="76" t="str">
        <f>REPLACE(INDEX(GroupVertices[Group],MATCH(Edges[[#This Row],[Vertex 1]],GroupVertices[Vertex],0)),1,1,"")</f>
        <v>1</v>
      </c>
      <c r="BL489" s="76" t="str">
        <f>REPLACE(INDEX(GroupVertices[Group],MATCH(Edges[[#This Row],[Vertex 2]],GroupVertices[Vertex],0)),1,1,"")</f>
        <v>9</v>
      </c>
      <c r="BM489" s="45">
        <v>0</v>
      </c>
      <c r="BN489" s="46">
        <v>0</v>
      </c>
      <c r="BO489" s="45">
        <v>0</v>
      </c>
      <c r="BP489" s="46">
        <v>0</v>
      </c>
      <c r="BQ489" s="45">
        <v>0</v>
      </c>
      <c r="BR489" s="46">
        <v>0</v>
      </c>
      <c r="BS489" s="45">
        <v>15</v>
      </c>
      <c r="BT489" s="46">
        <v>100</v>
      </c>
      <c r="BU489" s="45">
        <v>15</v>
      </c>
    </row>
    <row r="490" spans="1:73" ht="15">
      <c r="A490" s="61" t="s">
        <v>229</v>
      </c>
      <c r="B490" s="61" t="s">
        <v>471</v>
      </c>
      <c r="C490" s="62" t="s">
        <v>11696</v>
      </c>
      <c r="D490" s="63">
        <v>8.6</v>
      </c>
      <c r="E490" s="64" t="s">
        <v>136</v>
      </c>
      <c r="F490" s="65">
        <v>14.399999999999999</v>
      </c>
      <c r="G490" s="62"/>
      <c r="H490" s="66"/>
      <c r="I490" s="67"/>
      <c r="J490" s="67"/>
      <c r="K490" s="31" t="s">
        <v>65</v>
      </c>
      <c r="L490" s="75">
        <v>490</v>
      </c>
      <c r="M490" s="75"/>
      <c r="N490" s="69"/>
      <c r="O490" s="77" t="s">
        <v>543</v>
      </c>
      <c r="P490" s="79">
        <v>45161.33829861111</v>
      </c>
      <c r="Q490" s="77" t="s">
        <v>598</v>
      </c>
      <c r="R490" s="77">
        <v>1</v>
      </c>
      <c r="S490" s="77">
        <v>4</v>
      </c>
      <c r="T490" s="77">
        <v>1</v>
      </c>
      <c r="U490" s="77">
        <v>1</v>
      </c>
      <c r="V490" s="77">
        <v>186</v>
      </c>
      <c r="W490" s="81" t="s">
        <v>703</v>
      </c>
      <c r="X490" s="83" t="str">
        <f>HYPERLINK("https://nodexlgraphgallery.org/Pages/Graph.aspx?graphID=292277")</f>
        <v>https://nodexlgraphgallery.org/Pages/Graph.aspx?graphID=292277</v>
      </c>
      <c r="Y490" s="77" t="s">
        <v>732</v>
      </c>
      <c r="Z490" s="77" t="s">
        <v>788</v>
      </c>
      <c r="AA490" s="77"/>
      <c r="AB490" s="77"/>
      <c r="AC490" s="81" t="s">
        <v>853</v>
      </c>
      <c r="AD490" s="77" t="s">
        <v>860</v>
      </c>
      <c r="AE490" s="83" t="str">
        <f>HYPERLINK("https://twitter.com/mihkal/status/1694259968608735298")</f>
        <v>https://twitter.com/mihkal/status/1694259968608735298</v>
      </c>
      <c r="AF490" s="79">
        <v>45161.33829861111</v>
      </c>
      <c r="AG490" s="85">
        <v>45161</v>
      </c>
      <c r="AH490" s="81" t="s">
        <v>926</v>
      </c>
      <c r="AI490" s="77" t="b">
        <v>0</v>
      </c>
      <c r="AJ490" s="77"/>
      <c r="AK490" s="77"/>
      <c r="AL490" s="77"/>
      <c r="AM490" s="77"/>
      <c r="AN490" s="77"/>
      <c r="AO490" s="77"/>
      <c r="AP490" s="77"/>
      <c r="AQ490" s="77"/>
      <c r="AR490" s="77"/>
      <c r="AS490" s="77"/>
      <c r="AT490" s="77"/>
      <c r="AU490" s="77"/>
      <c r="AV490" s="83" t="str">
        <f>HYPERLINK("https://pbs.twimg.com/profile_images/1663227887837757440/XOjtFF4W_normal.jpg")</f>
        <v>https://pbs.twimg.com/profile_images/1663227887837757440/XOjtFF4W_normal.jpg</v>
      </c>
      <c r="AW490" s="81" t="s">
        <v>1081</v>
      </c>
      <c r="AX490" s="81" t="s">
        <v>1158</v>
      </c>
      <c r="AY490" s="81" t="s">
        <v>1169</v>
      </c>
      <c r="AZ490" s="81" t="s">
        <v>1079</v>
      </c>
      <c r="BA490" s="81" t="s">
        <v>1190</v>
      </c>
      <c r="BB490" s="81" t="s">
        <v>1190</v>
      </c>
      <c r="BC490" s="81" t="s">
        <v>1079</v>
      </c>
      <c r="BD490" s="77">
        <v>24256031</v>
      </c>
      <c r="BE490" s="77"/>
      <c r="BF490" s="77"/>
      <c r="BG490" s="77"/>
      <c r="BH490" s="77"/>
      <c r="BI490" s="77"/>
      <c r="BJ490">
        <v>5</v>
      </c>
      <c r="BK490" s="76" t="str">
        <f>REPLACE(INDEX(GroupVertices[Group],MATCH(Edges[[#This Row],[Vertex 1]],GroupVertices[Vertex],0)),1,1,"")</f>
        <v>1</v>
      </c>
      <c r="BL490" s="76" t="str">
        <f>REPLACE(INDEX(GroupVertices[Group],MATCH(Edges[[#This Row],[Vertex 2]],GroupVertices[Vertex],0)),1,1,"")</f>
        <v>9</v>
      </c>
      <c r="BM490" s="45"/>
      <c r="BN490" s="46"/>
      <c r="BO490" s="45"/>
      <c r="BP490" s="46"/>
      <c r="BQ490" s="45"/>
      <c r="BR490" s="46"/>
      <c r="BS490" s="45"/>
      <c r="BT490" s="46"/>
      <c r="BU490" s="45"/>
    </row>
    <row r="491" spans="1:73" ht="15">
      <c r="A491" s="61" t="s">
        <v>229</v>
      </c>
      <c r="B491" s="61" t="s">
        <v>471</v>
      </c>
      <c r="C491" s="62" t="s">
        <v>11696</v>
      </c>
      <c r="D491" s="63">
        <v>8.6</v>
      </c>
      <c r="E491" s="64" t="s">
        <v>136</v>
      </c>
      <c r="F491" s="65">
        <v>14.399999999999999</v>
      </c>
      <c r="G491" s="62"/>
      <c r="H491" s="66"/>
      <c r="I491" s="67"/>
      <c r="J491" s="67"/>
      <c r="K491" s="31" t="s">
        <v>65</v>
      </c>
      <c r="L491" s="75">
        <v>491</v>
      </c>
      <c r="M491" s="75"/>
      <c r="N491" s="69"/>
      <c r="O491" s="77" t="s">
        <v>543</v>
      </c>
      <c r="P491" s="79">
        <v>45161.33829861111</v>
      </c>
      <c r="Q491" s="77" t="s">
        <v>598</v>
      </c>
      <c r="R491" s="77">
        <v>1</v>
      </c>
      <c r="S491" s="77">
        <v>4</v>
      </c>
      <c r="T491" s="77">
        <v>1</v>
      </c>
      <c r="U491" s="77">
        <v>1</v>
      </c>
      <c r="V491" s="77">
        <v>186</v>
      </c>
      <c r="W491" s="81" t="s">
        <v>703</v>
      </c>
      <c r="X491" s="83" t="str">
        <f>HYPERLINK("https://nodexlgraphgallery.org/Pages/Graph.aspx?graphID=292277")</f>
        <v>https://nodexlgraphgallery.org/Pages/Graph.aspx?graphID=292277</v>
      </c>
      <c r="Y491" s="77" t="s">
        <v>732</v>
      </c>
      <c r="Z491" s="77" t="s">
        <v>788</v>
      </c>
      <c r="AA491" s="77"/>
      <c r="AB491" s="77"/>
      <c r="AC491" s="81" t="s">
        <v>853</v>
      </c>
      <c r="AD491" s="77" t="s">
        <v>860</v>
      </c>
      <c r="AE491" s="83" t="str">
        <f>HYPERLINK("https://twitter.com/mihkal/status/1694259968608735298")</f>
        <v>https://twitter.com/mihkal/status/1694259968608735298</v>
      </c>
      <c r="AF491" s="79">
        <v>45161.33829861111</v>
      </c>
      <c r="AG491" s="85">
        <v>45161</v>
      </c>
      <c r="AH491" s="81" t="s">
        <v>926</v>
      </c>
      <c r="AI491" s="77" t="b">
        <v>0</v>
      </c>
      <c r="AJ491" s="77"/>
      <c r="AK491" s="77"/>
      <c r="AL491" s="77"/>
      <c r="AM491" s="77"/>
      <c r="AN491" s="77"/>
      <c r="AO491" s="77"/>
      <c r="AP491" s="77"/>
      <c r="AQ491" s="77"/>
      <c r="AR491" s="77"/>
      <c r="AS491" s="77"/>
      <c r="AT491" s="77"/>
      <c r="AU491" s="77"/>
      <c r="AV491" s="83" t="str">
        <f>HYPERLINK("https://pbs.twimg.com/profile_images/1663227887837757440/XOjtFF4W_normal.jpg")</f>
        <v>https://pbs.twimg.com/profile_images/1663227887837757440/XOjtFF4W_normal.jpg</v>
      </c>
      <c r="AW491" s="81" t="s">
        <v>1081</v>
      </c>
      <c r="AX491" s="81" t="s">
        <v>1158</v>
      </c>
      <c r="AY491" s="81" t="s">
        <v>1169</v>
      </c>
      <c r="AZ491" s="81" t="s">
        <v>1079</v>
      </c>
      <c r="BA491" s="81" t="s">
        <v>1190</v>
      </c>
      <c r="BB491" s="81" t="s">
        <v>1190</v>
      </c>
      <c r="BC491" s="81" t="s">
        <v>1079</v>
      </c>
      <c r="BD491" s="77">
        <v>24256031</v>
      </c>
      <c r="BE491" s="77"/>
      <c r="BF491" s="77"/>
      <c r="BG491" s="77"/>
      <c r="BH491" s="77"/>
      <c r="BI491" s="77"/>
      <c r="BJ491">
        <v>5</v>
      </c>
      <c r="BK491" s="76" t="str">
        <f>REPLACE(INDEX(GroupVertices[Group],MATCH(Edges[[#This Row],[Vertex 1]],GroupVertices[Vertex],0)),1,1,"")</f>
        <v>1</v>
      </c>
      <c r="BL491" s="76" t="str">
        <f>REPLACE(INDEX(GroupVertices[Group],MATCH(Edges[[#This Row],[Vertex 2]],GroupVertices[Vertex],0)),1,1,"")</f>
        <v>9</v>
      </c>
      <c r="BM491" s="45">
        <v>0</v>
      </c>
      <c r="BN491" s="46">
        <v>0</v>
      </c>
      <c r="BO491" s="45">
        <v>0</v>
      </c>
      <c r="BP491" s="46">
        <v>0</v>
      </c>
      <c r="BQ491" s="45">
        <v>0</v>
      </c>
      <c r="BR491" s="46">
        <v>0</v>
      </c>
      <c r="BS491" s="45">
        <v>16</v>
      </c>
      <c r="BT491" s="46">
        <v>94.11764705882354</v>
      </c>
      <c r="BU491" s="45">
        <v>17</v>
      </c>
    </row>
    <row r="492" spans="1:73" ht="15">
      <c r="A492" s="61" t="s">
        <v>244</v>
      </c>
      <c r="B492" s="61" t="s">
        <v>471</v>
      </c>
      <c r="C492" s="62" t="s">
        <v>11694</v>
      </c>
      <c r="D492" s="63">
        <v>5.8</v>
      </c>
      <c r="E492" s="64" t="s">
        <v>132</v>
      </c>
      <c r="F492" s="65">
        <v>23.2</v>
      </c>
      <c r="G492" s="62"/>
      <c r="H492" s="66"/>
      <c r="I492" s="67"/>
      <c r="J492" s="67"/>
      <c r="K492" s="31" t="s">
        <v>65</v>
      </c>
      <c r="L492" s="75">
        <v>492</v>
      </c>
      <c r="M492" s="75"/>
      <c r="N492" s="69"/>
      <c r="O492" s="77" t="s">
        <v>544</v>
      </c>
      <c r="P492" s="79">
        <v>45143.93451388889</v>
      </c>
      <c r="Q492" s="77" t="s">
        <v>606</v>
      </c>
      <c r="R492" s="77">
        <v>0</v>
      </c>
      <c r="S492" s="77">
        <v>0</v>
      </c>
      <c r="T492" s="77">
        <v>0</v>
      </c>
      <c r="U492" s="77">
        <v>0</v>
      </c>
      <c r="V492" s="77">
        <v>11</v>
      </c>
      <c r="W492" s="77"/>
      <c r="X492" s="77"/>
      <c r="Y492" s="77"/>
      <c r="Z492" s="77" t="s">
        <v>793</v>
      </c>
      <c r="AA492" s="77"/>
      <c r="AB492" s="77"/>
      <c r="AC492" s="81" t="s">
        <v>853</v>
      </c>
      <c r="AD492" s="77" t="s">
        <v>859</v>
      </c>
      <c r="AE492" s="83" t="str">
        <f>HYPERLINK("https://twitter.com/pilotbeac0n/status/1687953050433171456")</f>
        <v>https://twitter.com/pilotbeac0n/status/1687953050433171456</v>
      </c>
      <c r="AF492" s="79">
        <v>45143.93451388889</v>
      </c>
      <c r="AG492" s="85">
        <v>45143</v>
      </c>
      <c r="AH492" s="81" t="s">
        <v>934</v>
      </c>
      <c r="AI492" s="77"/>
      <c r="AJ492" s="77"/>
      <c r="AK492" s="77"/>
      <c r="AL492" s="77"/>
      <c r="AM492" s="77"/>
      <c r="AN492" s="77"/>
      <c r="AO492" s="77"/>
      <c r="AP492" s="77"/>
      <c r="AQ492" s="77"/>
      <c r="AR492" s="77"/>
      <c r="AS492" s="77"/>
      <c r="AT492" s="77"/>
      <c r="AU492" s="77"/>
      <c r="AV492" s="83" t="str">
        <f>HYPERLINK("https://pbs.twimg.com/profile_images/1700371194879549440/QiQHamC2_normal.jpg")</f>
        <v>https://pbs.twimg.com/profile_images/1700371194879549440/QiQHamC2_normal.jpg</v>
      </c>
      <c r="AW492" s="81" t="s">
        <v>1089</v>
      </c>
      <c r="AX492" s="81" t="s">
        <v>1089</v>
      </c>
      <c r="AY492" s="77"/>
      <c r="AZ492" s="81" t="s">
        <v>1190</v>
      </c>
      <c r="BA492" s="81" t="s">
        <v>1088</v>
      </c>
      <c r="BB492" s="81" t="s">
        <v>1190</v>
      </c>
      <c r="BC492" s="81" t="s">
        <v>1088</v>
      </c>
      <c r="BD492" s="81" t="s">
        <v>1182</v>
      </c>
      <c r="BE492" s="77"/>
      <c r="BF492" s="77"/>
      <c r="BG492" s="77"/>
      <c r="BH492" s="77"/>
      <c r="BI492" s="77"/>
      <c r="BJ492">
        <v>3</v>
      </c>
      <c r="BK492" s="76" t="str">
        <f>REPLACE(INDEX(GroupVertices[Group],MATCH(Edges[[#This Row],[Vertex 1]],GroupVertices[Vertex],0)),1,1,"")</f>
        <v>9</v>
      </c>
      <c r="BL492" s="76" t="str">
        <f>REPLACE(INDEX(GroupVertices[Group],MATCH(Edges[[#This Row],[Vertex 2]],GroupVertices[Vertex],0)),1,1,"")</f>
        <v>9</v>
      </c>
      <c r="BM492" s="45"/>
      <c r="BN492" s="46"/>
      <c r="BO492" s="45"/>
      <c r="BP492" s="46"/>
      <c r="BQ492" s="45"/>
      <c r="BR492" s="46"/>
      <c r="BS492" s="45"/>
      <c r="BT492" s="46"/>
      <c r="BU492" s="45"/>
    </row>
    <row r="493" spans="1:73" ht="15">
      <c r="A493" s="61" t="s">
        <v>244</v>
      </c>
      <c r="B493" s="61" t="s">
        <v>471</v>
      </c>
      <c r="C493" s="62" t="s">
        <v>11694</v>
      </c>
      <c r="D493" s="63">
        <v>5.8</v>
      </c>
      <c r="E493" s="64" t="s">
        <v>132</v>
      </c>
      <c r="F493" s="65">
        <v>23.2</v>
      </c>
      <c r="G493" s="62"/>
      <c r="H493" s="66"/>
      <c r="I493" s="67"/>
      <c r="J493" s="67"/>
      <c r="K493" s="31" t="s">
        <v>65</v>
      </c>
      <c r="L493" s="75">
        <v>493</v>
      </c>
      <c r="M493" s="75"/>
      <c r="N493" s="69"/>
      <c r="O493" s="77" t="s">
        <v>544</v>
      </c>
      <c r="P493" s="79">
        <v>45143.92417824074</v>
      </c>
      <c r="Q493" s="77" t="s">
        <v>614</v>
      </c>
      <c r="R493" s="77">
        <v>0</v>
      </c>
      <c r="S493" s="77">
        <v>0</v>
      </c>
      <c r="T493" s="77">
        <v>1</v>
      </c>
      <c r="U493" s="77">
        <v>0</v>
      </c>
      <c r="V493" s="77">
        <v>5</v>
      </c>
      <c r="W493" s="77"/>
      <c r="X493" s="77"/>
      <c r="Y493" s="77"/>
      <c r="Z493" s="77" t="s">
        <v>793</v>
      </c>
      <c r="AA493" s="77"/>
      <c r="AB493" s="77"/>
      <c r="AC493" s="81" t="s">
        <v>853</v>
      </c>
      <c r="AD493" s="77" t="s">
        <v>859</v>
      </c>
      <c r="AE493" s="83" t="str">
        <f>HYPERLINK("https://twitter.com/pilotbeac0n/status/1687949306228264960")</f>
        <v>https://twitter.com/pilotbeac0n/status/1687949306228264960</v>
      </c>
      <c r="AF493" s="79">
        <v>45143.92417824074</v>
      </c>
      <c r="AG493" s="85">
        <v>45143</v>
      </c>
      <c r="AH493" s="81" t="s">
        <v>942</v>
      </c>
      <c r="AI493" s="77"/>
      <c r="AJ493" s="77"/>
      <c r="AK493" s="77"/>
      <c r="AL493" s="77"/>
      <c r="AM493" s="77"/>
      <c r="AN493" s="77"/>
      <c r="AO493" s="77"/>
      <c r="AP493" s="77"/>
      <c r="AQ493" s="77"/>
      <c r="AR493" s="77"/>
      <c r="AS493" s="77"/>
      <c r="AT493" s="77"/>
      <c r="AU493" s="77"/>
      <c r="AV493" s="83" t="str">
        <f>HYPERLINK("https://pbs.twimg.com/profile_images/1700371194879549440/QiQHamC2_normal.jpg")</f>
        <v>https://pbs.twimg.com/profile_images/1700371194879549440/QiQHamC2_normal.jpg</v>
      </c>
      <c r="AW493" s="81" t="s">
        <v>1097</v>
      </c>
      <c r="AX493" s="81" t="s">
        <v>1097</v>
      </c>
      <c r="AY493" s="77"/>
      <c r="AZ493" s="81" t="s">
        <v>1190</v>
      </c>
      <c r="BA493" s="81" t="s">
        <v>1090</v>
      </c>
      <c r="BB493" s="81" t="s">
        <v>1190</v>
      </c>
      <c r="BC493" s="81" t="s">
        <v>1090</v>
      </c>
      <c r="BD493" s="81" t="s">
        <v>1182</v>
      </c>
      <c r="BE493" s="77"/>
      <c r="BF493" s="77"/>
      <c r="BG493" s="77"/>
      <c r="BH493" s="77"/>
      <c r="BI493" s="77"/>
      <c r="BJ493">
        <v>3</v>
      </c>
      <c r="BK493" s="76" t="str">
        <f>REPLACE(INDEX(GroupVertices[Group],MATCH(Edges[[#This Row],[Vertex 1]],GroupVertices[Vertex],0)),1,1,"")</f>
        <v>9</v>
      </c>
      <c r="BL493" s="76" t="str">
        <f>REPLACE(INDEX(GroupVertices[Group],MATCH(Edges[[#This Row],[Vertex 2]],GroupVertices[Vertex],0)),1,1,"")</f>
        <v>9</v>
      </c>
      <c r="BM493" s="45"/>
      <c r="BN493" s="46"/>
      <c r="BO493" s="45"/>
      <c r="BP493" s="46"/>
      <c r="BQ493" s="45"/>
      <c r="BR493" s="46"/>
      <c r="BS493" s="45"/>
      <c r="BT493" s="46"/>
      <c r="BU493" s="45"/>
    </row>
    <row r="494" spans="1:73" ht="15">
      <c r="A494" s="61" t="s">
        <v>244</v>
      </c>
      <c r="B494" s="61" t="s">
        <v>471</v>
      </c>
      <c r="C494" s="62" t="s">
        <v>11694</v>
      </c>
      <c r="D494" s="63">
        <v>5.8</v>
      </c>
      <c r="E494" s="64" t="s">
        <v>132</v>
      </c>
      <c r="F494" s="65">
        <v>23.2</v>
      </c>
      <c r="G494" s="62"/>
      <c r="H494" s="66"/>
      <c r="I494" s="67"/>
      <c r="J494" s="67"/>
      <c r="K494" s="31" t="s">
        <v>65</v>
      </c>
      <c r="L494" s="75">
        <v>494</v>
      </c>
      <c r="M494" s="75"/>
      <c r="N494" s="69"/>
      <c r="O494" s="77" t="s">
        <v>544</v>
      </c>
      <c r="P494" s="79">
        <v>45143.90568287037</v>
      </c>
      <c r="Q494" s="77" t="s">
        <v>613</v>
      </c>
      <c r="R494" s="77">
        <v>0</v>
      </c>
      <c r="S494" s="77">
        <v>0</v>
      </c>
      <c r="T494" s="77">
        <v>0</v>
      </c>
      <c r="U494" s="77">
        <v>0</v>
      </c>
      <c r="V494" s="77">
        <v>4</v>
      </c>
      <c r="W494" s="77"/>
      <c r="X494" s="77"/>
      <c r="Y494" s="77"/>
      <c r="Z494" s="77" t="s">
        <v>793</v>
      </c>
      <c r="AA494" s="77"/>
      <c r="AB494" s="77"/>
      <c r="AC494" s="81" t="s">
        <v>853</v>
      </c>
      <c r="AD494" s="77" t="s">
        <v>859</v>
      </c>
      <c r="AE494" s="83" t="str">
        <f>HYPERLINK("https://twitter.com/pilotbeac0n/status/1687942602413494272")</f>
        <v>https://twitter.com/pilotbeac0n/status/1687942602413494272</v>
      </c>
      <c r="AF494" s="79">
        <v>45143.90568287037</v>
      </c>
      <c r="AG494" s="85">
        <v>45143</v>
      </c>
      <c r="AH494" s="81" t="s">
        <v>941</v>
      </c>
      <c r="AI494" s="77"/>
      <c r="AJ494" s="77"/>
      <c r="AK494" s="77"/>
      <c r="AL494" s="77"/>
      <c r="AM494" s="77"/>
      <c r="AN494" s="77"/>
      <c r="AO494" s="77"/>
      <c r="AP494" s="77"/>
      <c r="AQ494" s="77"/>
      <c r="AR494" s="77"/>
      <c r="AS494" s="77"/>
      <c r="AT494" s="77"/>
      <c r="AU494" s="77"/>
      <c r="AV494" s="83" t="str">
        <f>HYPERLINK("https://pbs.twimg.com/profile_images/1700371194879549440/QiQHamC2_normal.jpg")</f>
        <v>https://pbs.twimg.com/profile_images/1700371194879549440/QiQHamC2_normal.jpg</v>
      </c>
      <c r="AW494" s="81" t="s">
        <v>1096</v>
      </c>
      <c r="AX494" s="81" t="s">
        <v>1096</v>
      </c>
      <c r="AY494" s="77"/>
      <c r="AZ494" s="81" t="s">
        <v>1190</v>
      </c>
      <c r="BA494" s="81" t="s">
        <v>1095</v>
      </c>
      <c r="BB494" s="81" t="s">
        <v>1190</v>
      </c>
      <c r="BC494" s="81" t="s">
        <v>1095</v>
      </c>
      <c r="BD494" s="81" t="s">
        <v>1182</v>
      </c>
      <c r="BE494" s="77"/>
      <c r="BF494" s="77"/>
      <c r="BG494" s="77"/>
      <c r="BH494" s="77"/>
      <c r="BI494" s="77"/>
      <c r="BJ494">
        <v>3</v>
      </c>
      <c r="BK494" s="76" t="str">
        <f>REPLACE(INDEX(GroupVertices[Group],MATCH(Edges[[#This Row],[Vertex 1]],GroupVertices[Vertex],0)),1,1,"")</f>
        <v>9</v>
      </c>
      <c r="BL494" s="76" t="str">
        <f>REPLACE(INDEX(GroupVertices[Group],MATCH(Edges[[#This Row],[Vertex 2]],GroupVertices[Vertex],0)),1,1,"")</f>
        <v>9</v>
      </c>
      <c r="BM494" s="45"/>
      <c r="BN494" s="46"/>
      <c r="BO494" s="45"/>
      <c r="BP494" s="46"/>
      <c r="BQ494" s="45"/>
      <c r="BR494" s="46"/>
      <c r="BS494" s="45"/>
      <c r="BT494" s="46"/>
      <c r="BU494" s="45"/>
    </row>
    <row r="495" spans="1:73" ht="15">
      <c r="A495" s="61" t="s">
        <v>244</v>
      </c>
      <c r="B495" s="61" t="s">
        <v>471</v>
      </c>
      <c r="C495" s="62" t="s">
        <v>11692</v>
      </c>
      <c r="D495" s="63">
        <v>3</v>
      </c>
      <c r="E495" s="64" t="s">
        <v>132</v>
      </c>
      <c r="F495" s="65">
        <v>32</v>
      </c>
      <c r="G495" s="62"/>
      <c r="H495" s="66"/>
      <c r="I495" s="67"/>
      <c r="J495" s="67"/>
      <c r="K495" s="31" t="s">
        <v>65</v>
      </c>
      <c r="L495" s="75">
        <v>495</v>
      </c>
      <c r="M495" s="75"/>
      <c r="N495" s="69"/>
      <c r="O495" s="77" t="s">
        <v>539</v>
      </c>
      <c r="P495" s="79">
        <v>45143.59144675926</v>
      </c>
      <c r="Q495" s="77" t="s">
        <v>615</v>
      </c>
      <c r="R495" s="77">
        <v>1</v>
      </c>
      <c r="S495" s="77">
        <v>0</v>
      </c>
      <c r="T495" s="77">
        <v>0</v>
      </c>
      <c r="U495" s="77">
        <v>1</v>
      </c>
      <c r="V495" s="77">
        <v>9</v>
      </c>
      <c r="W495" s="77"/>
      <c r="X495" s="77"/>
      <c r="Y495" s="77"/>
      <c r="Z495" s="77" t="s">
        <v>793</v>
      </c>
      <c r="AA495" s="77"/>
      <c r="AB495" s="77"/>
      <c r="AC495" s="81" t="s">
        <v>853</v>
      </c>
      <c r="AD495" s="77" t="s">
        <v>859</v>
      </c>
      <c r="AE495" s="83" t="str">
        <f>HYPERLINK("https://twitter.com/pilotbeac0n/status/1687828726560833537")</f>
        <v>https://twitter.com/pilotbeac0n/status/1687828726560833537</v>
      </c>
      <c r="AF495" s="79">
        <v>45143.59144675926</v>
      </c>
      <c r="AG495" s="85">
        <v>45143</v>
      </c>
      <c r="AH495" s="81" t="s">
        <v>943</v>
      </c>
      <c r="AI495" s="77"/>
      <c r="AJ495" s="77"/>
      <c r="AK495" s="77"/>
      <c r="AL495" s="77"/>
      <c r="AM495" s="77"/>
      <c r="AN495" s="77"/>
      <c r="AO495" s="77"/>
      <c r="AP495" s="77"/>
      <c r="AQ495" s="77"/>
      <c r="AR495" s="77"/>
      <c r="AS495" s="77"/>
      <c r="AT495" s="77"/>
      <c r="AU495" s="77"/>
      <c r="AV495" s="83" t="str">
        <f>HYPERLINK("https://pbs.twimg.com/profile_images/1700371194879549440/QiQHamC2_normal.jpg")</f>
        <v>https://pbs.twimg.com/profile_images/1700371194879549440/QiQHamC2_normal.jpg</v>
      </c>
      <c r="AW495" s="81" t="s">
        <v>1098</v>
      </c>
      <c r="AX495" s="81" t="s">
        <v>1098</v>
      </c>
      <c r="AY495" s="77"/>
      <c r="AZ495" s="81" t="s">
        <v>1190</v>
      </c>
      <c r="BA495" s="81" t="s">
        <v>1190</v>
      </c>
      <c r="BB495" s="81" t="s">
        <v>1190</v>
      </c>
      <c r="BC495" s="81" t="s">
        <v>1098</v>
      </c>
      <c r="BD495" s="81" t="s">
        <v>1182</v>
      </c>
      <c r="BE495" s="77"/>
      <c r="BF495" s="77"/>
      <c r="BG495" s="77"/>
      <c r="BH495" s="77"/>
      <c r="BI495" s="77"/>
      <c r="BJ495">
        <v>1</v>
      </c>
      <c r="BK495" s="76" t="str">
        <f>REPLACE(INDEX(GroupVertices[Group],MATCH(Edges[[#This Row],[Vertex 1]],GroupVertices[Vertex],0)),1,1,"")</f>
        <v>9</v>
      </c>
      <c r="BL495" s="76" t="str">
        <f>REPLACE(INDEX(GroupVertices[Group],MATCH(Edges[[#This Row],[Vertex 2]],GroupVertices[Vertex],0)),1,1,"")</f>
        <v>9</v>
      </c>
      <c r="BM495" s="45"/>
      <c r="BN495" s="46"/>
      <c r="BO495" s="45"/>
      <c r="BP495" s="46"/>
      <c r="BQ495" s="45"/>
      <c r="BR495" s="46"/>
      <c r="BS495" s="45"/>
      <c r="BT495" s="46"/>
      <c r="BU495" s="45"/>
    </row>
    <row r="496" spans="1:73" ht="15">
      <c r="A496" s="61" t="s">
        <v>244</v>
      </c>
      <c r="B496" s="61" t="s">
        <v>228</v>
      </c>
      <c r="C496" s="62" t="s">
        <v>11696</v>
      </c>
      <c r="D496" s="63">
        <v>8.6</v>
      </c>
      <c r="E496" s="64" t="s">
        <v>136</v>
      </c>
      <c r="F496" s="65">
        <v>14.399999999999999</v>
      </c>
      <c r="G496" s="62"/>
      <c r="H496" s="66"/>
      <c r="I496" s="67"/>
      <c r="J496" s="67"/>
      <c r="K496" s="31" t="s">
        <v>65</v>
      </c>
      <c r="L496" s="75">
        <v>496</v>
      </c>
      <c r="M496" s="75"/>
      <c r="N496" s="69"/>
      <c r="O496" s="77" t="s">
        <v>539</v>
      </c>
      <c r="P496" s="79">
        <v>45142.116006944445</v>
      </c>
      <c r="Q496" s="77" t="s">
        <v>616</v>
      </c>
      <c r="R496" s="77">
        <v>0</v>
      </c>
      <c r="S496" s="77">
        <v>0</v>
      </c>
      <c r="T496" s="77">
        <v>0</v>
      </c>
      <c r="U496" s="77">
        <v>0</v>
      </c>
      <c r="V496" s="77">
        <v>5</v>
      </c>
      <c r="W496" s="77"/>
      <c r="X496" s="77"/>
      <c r="Y496" s="77"/>
      <c r="Z496" s="77" t="s">
        <v>228</v>
      </c>
      <c r="AA496" s="77"/>
      <c r="AB496" s="77"/>
      <c r="AC496" s="81" t="s">
        <v>853</v>
      </c>
      <c r="AD496" s="77" t="s">
        <v>859</v>
      </c>
      <c r="AE496" s="83" t="str">
        <f>HYPERLINK("https://twitter.com/pilotbeac0n/status/1687294045629157376")</f>
        <v>https://twitter.com/pilotbeac0n/status/1687294045629157376</v>
      </c>
      <c r="AF496" s="79">
        <v>45142.116006944445</v>
      </c>
      <c r="AG496" s="85">
        <v>45142</v>
      </c>
      <c r="AH496" s="81" t="s">
        <v>944</v>
      </c>
      <c r="AI496" s="77"/>
      <c r="AJ496" s="77"/>
      <c r="AK496" s="77"/>
      <c r="AL496" s="77"/>
      <c r="AM496" s="77"/>
      <c r="AN496" s="77"/>
      <c r="AO496" s="77"/>
      <c r="AP496" s="77"/>
      <c r="AQ496" s="77"/>
      <c r="AR496" s="77"/>
      <c r="AS496" s="77"/>
      <c r="AT496" s="77"/>
      <c r="AU496" s="77"/>
      <c r="AV496" s="83" t="str">
        <f>HYPERLINK("https://pbs.twimg.com/profile_images/1700371194879549440/QiQHamC2_normal.jpg")</f>
        <v>https://pbs.twimg.com/profile_images/1700371194879549440/QiQHamC2_normal.jpg</v>
      </c>
      <c r="AW496" s="81" t="s">
        <v>1099</v>
      </c>
      <c r="AX496" s="81" t="s">
        <v>1099</v>
      </c>
      <c r="AY496" s="77"/>
      <c r="AZ496" s="81" t="s">
        <v>1190</v>
      </c>
      <c r="BA496" s="81" t="s">
        <v>1190</v>
      </c>
      <c r="BB496" s="81" t="s">
        <v>1190</v>
      </c>
      <c r="BC496" s="81" t="s">
        <v>1099</v>
      </c>
      <c r="BD496" s="81" t="s">
        <v>1182</v>
      </c>
      <c r="BE496" s="77"/>
      <c r="BF496" s="77"/>
      <c r="BG496" s="77"/>
      <c r="BH496" s="77"/>
      <c r="BI496" s="77"/>
      <c r="BJ496">
        <v>5</v>
      </c>
      <c r="BK496" s="76" t="str">
        <f>REPLACE(INDEX(GroupVertices[Group],MATCH(Edges[[#This Row],[Vertex 1]],GroupVertices[Vertex],0)),1,1,"")</f>
        <v>9</v>
      </c>
      <c r="BL496" s="76" t="str">
        <f>REPLACE(INDEX(GroupVertices[Group],MATCH(Edges[[#This Row],[Vertex 2]],GroupVertices[Vertex],0)),1,1,"")</f>
        <v>2</v>
      </c>
      <c r="BM496" s="45">
        <v>0</v>
      </c>
      <c r="BN496" s="46">
        <v>0</v>
      </c>
      <c r="BO496" s="45">
        <v>0</v>
      </c>
      <c r="BP496" s="46">
        <v>0</v>
      </c>
      <c r="BQ496" s="45">
        <v>0</v>
      </c>
      <c r="BR496" s="46">
        <v>0</v>
      </c>
      <c r="BS496" s="45">
        <v>3</v>
      </c>
      <c r="BT496" s="46">
        <v>60</v>
      </c>
      <c r="BU496" s="45">
        <v>5</v>
      </c>
    </row>
    <row r="497" spans="1:73" ht="15">
      <c r="A497" s="61" t="s">
        <v>244</v>
      </c>
      <c r="B497" s="61" t="s">
        <v>228</v>
      </c>
      <c r="C497" s="62" t="s">
        <v>11696</v>
      </c>
      <c r="D497" s="63">
        <v>8.6</v>
      </c>
      <c r="E497" s="64" t="s">
        <v>136</v>
      </c>
      <c r="F497" s="65">
        <v>14.399999999999999</v>
      </c>
      <c r="G497" s="62"/>
      <c r="H497" s="66"/>
      <c r="I497" s="67"/>
      <c r="J497" s="67"/>
      <c r="K497" s="31" t="s">
        <v>65</v>
      </c>
      <c r="L497" s="75">
        <v>497</v>
      </c>
      <c r="M497" s="75"/>
      <c r="N497" s="69"/>
      <c r="O497" s="77" t="s">
        <v>539</v>
      </c>
      <c r="P497" s="79">
        <v>45156.081030092595</v>
      </c>
      <c r="Q497" s="77" t="s">
        <v>617</v>
      </c>
      <c r="R497" s="77">
        <v>0</v>
      </c>
      <c r="S497" s="77">
        <v>0</v>
      </c>
      <c r="T497" s="77">
        <v>0</v>
      </c>
      <c r="U497" s="77">
        <v>0</v>
      </c>
      <c r="V497" s="77">
        <v>16</v>
      </c>
      <c r="W497" s="77"/>
      <c r="X497" s="77"/>
      <c r="Y497" s="77"/>
      <c r="Z497" s="77" t="s">
        <v>228</v>
      </c>
      <c r="AA497" s="77"/>
      <c r="AB497" s="77"/>
      <c r="AC497" s="81" t="s">
        <v>853</v>
      </c>
      <c r="AD497" s="77" t="s">
        <v>859</v>
      </c>
      <c r="AE497" s="83" t="str">
        <f>HYPERLINK("https://twitter.com/pilotbeac0n/status/1692354801299083527")</f>
        <v>https://twitter.com/pilotbeac0n/status/1692354801299083527</v>
      </c>
      <c r="AF497" s="79">
        <v>45156.081030092595</v>
      </c>
      <c r="AG497" s="85">
        <v>45156</v>
      </c>
      <c r="AH497" s="81" t="s">
        <v>945</v>
      </c>
      <c r="AI497" s="77"/>
      <c r="AJ497" s="77"/>
      <c r="AK497" s="77"/>
      <c r="AL497" s="77"/>
      <c r="AM497" s="77"/>
      <c r="AN497" s="77"/>
      <c r="AO497" s="77"/>
      <c r="AP497" s="77"/>
      <c r="AQ497" s="77"/>
      <c r="AR497" s="77"/>
      <c r="AS497" s="77"/>
      <c r="AT497" s="77"/>
      <c r="AU497" s="77"/>
      <c r="AV497" s="83" t="str">
        <f>HYPERLINK("https://pbs.twimg.com/profile_images/1700371194879549440/QiQHamC2_normal.jpg")</f>
        <v>https://pbs.twimg.com/profile_images/1700371194879549440/QiQHamC2_normal.jpg</v>
      </c>
      <c r="AW497" s="81" t="s">
        <v>1100</v>
      </c>
      <c r="AX497" s="81" t="s">
        <v>1100</v>
      </c>
      <c r="AY497" s="77"/>
      <c r="AZ497" s="81" t="s">
        <v>1190</v>
      </c>
      <c r="BA497" s="81" t="s">
        <v>1190</v>
      </c>
      <c r="BB497" s="81" t="s">
        <v>1190</v>
      </c>
      <c r="BC497" s="81" t="s">
        <v>1100</v>
      </c>
      <c r="BD497" s="81" t="s">
        <v>1182</v>
      </c>
      <c r="BE497" s="77"/>
      <c r="BF497" s="77"/>
      <c r="BG497" s="77"/>
      <c r="BH497" s="77"/>
      <c r="BI497" s="77"/>
      <c r="BJ497">
        <v>5</v>
      </c>
      <c r="BK497" s="76" t="str">
        <f>REPLACE(INDEX(GroupVertices[Group],MATCH(Edges[[#This Row],[Vertex 1]],GroupVertices[Vertex],0)),1,1,"")</f>
        <v>9</v>
      </c>
      <c r="BL497" s="76" t="str">
        <f>REPLACE(INDEX(GroupVertices[Group],MATCH(Edges[[#This Row],[Vertex 2]],GroupVertices[Vertex],0)),1,1,"")</f>
        <v>2</v>
      </c>
      <c r="BM497" s="45">
        <v>1</v>
      </c>
      <c r="BN497" s="46">
        <v>6.25</v>
      </c>
      <c r="BO497" s="45">
        <v>0</v>
      </c>
      <c r="BP497" s="46">
        <v>0</v>
      </c>
      <c r="BQ497" s="45">
        <v>0</v>
      </c>
      <c r="BR497" s="46">
        <v>0</v>
      </c>
      <c r="BS497" s="45">
        <v>5</v>
      </c>
      <c r="BT497" s="46">
        <v>31.25</v>
      </c>
      <c r="BU497" s="45">
        <v>16</v>
      </c>
    </row>
    <row r="498" spans="1:73" ht="15">
      <c r="A498" s="61" t="s">
        <v>244</v>
      </c>
      <c r="B498" s="61" t="s">
        <v>228</v>
      </c>
      <c r="C498" s="62" t="s">
        <v>11696</v>
      </c>
      <c r="D498" s="63">
        <v>8.6</v>
      </c>
      <c r="E498" s="64" t="s">
        <v>136</v>
      </c>
      <c r="F498" s="65">
        <v>14.399999999999999</v>
      </c>
      <c r="G498" s="62"/>
      <c r="H498" s="66"/>
      <c r="I498" s="67"/>
      <c r="J498" s="67"/>
      <c r="K498" s="31" t="s">
        <v>65</v>
      </c>
      <c r="L498" s="75">
        <v>498</v>
      </c>
      <c r="M498" s="75"/>
      <c r="N498" s="69"/>
      <c r="O498" s="77" t="s">
        <v>539</v>
      </c>
      <c r="P498" s="79">
        <v>45156.05740740741</v>
      </c>
      <c r="Q498" s="77" t="s">
        <v>618</v>
      </c>
      <c r="R498" s="77">
        <v>0</v>
      </c>
      <c r="S498" s="77">
        <v>0</v>
      </c>
      <c r="T498" s="77">
        <v>1</v>
      </c>
      <c r="U498" s="77">
        <v>0</v>
      </c>
      <c r="V498" s="77">
        <v>20</v>
      </c>
      <c r="W498" s="77"/>
      <c r="X498" s="77"/>
      <c r="Y498" s="77"/>
      <c r="Z498" s="77" t="s">
        <v>228</v>
      </c>
      <c r="AA498" s="77"/>
      <c r="AB498" s="77"/>
      <c r="AC498" s="81" t="s">
        <v>853</v>
      </c>
      <c r="AD498" s="77" t="s">
        <v>859</v>
      </c>
      <c r="AE498" s="83" t="str">
        <f>HYPERLINK("https://twitter.com/pilotbeac0n/status/1692346239600476400")</f>
        <v>https://twitter.com/pilotbeac0n/status/1692346239600476400</v>
      </c>
      <c r="AF498" s="79">
        <v>45156.05740740741</v>
      </c>
      <c r="AG498" s="85">
        <v>45156</v>
      </c>
      <c r="AH498" s="81" t="s">
        <v>946</v>
      </c>
      <c r="AI498" s="77"/>
      <c r="AJ498" s="77"/>
      <c r="AK498" s="77"/>
      <c r="AL498" s="77"/>
      <c r="AM498" s="77"/>
      <c r="AN498" s="77"/>
      <c r="AO498" s="77"/>
      <c r="AP498" s="77"/>
      <c r="AQ498" s="77"/>
      <c r="AR498" s="77"/>
      <c r="AS498" s="77"/>
      <c r="AT498" s="77"/>
      <c r="AU498" s="77"/>
      <c r="AV498" s="83" t="str">
        <f>HYPERLINK("https://pbs.twimg.com/profile_images/1700371194879549440/QiQHamC2_normal.jpg")</f>
        <v>https://pbs.twimg.com/profile_images/1700371194879549440/QiQHamC2_normal.jpg</v>
      </c>
      <c r="AW498" s="81" t="s">
        <v>1101</v>
      </c>
      <c r="AX498" s="81" t="s">
        <v>1101</v>
      </c>
      <c r="AY498" s="77"/>
      <c r="AZ498" s="81" t="s">
        <v>1190</v>
      </c>
      <c r="BA498" s="81" t="s">
        <v>1190</v>
      </c>
      <c r="BB498" s="81" t="s">
        <v>1190</v>
      </c>
      <c r="BC498" s="81" t="s">
        <v>1101</v>
      </c>
      <c r="BD498" s="81" t="s">
        <v>1182</v>
      </c>
      <c r="BE498" s="77"/>
      <c r="BF498" s="77"/>
      <c r="BG498" s="77"/>
      <c r="BH498" s="77"/>
      <c r="BI498" s="77"/>
      <c r="BJ498">
        <v>5</v>
      </c>
      <c r="BK498" s="76" t="str">
        <f>REPLACE(INDEX(GroupVertices[Group],MATCH(Edges[[#This Row],[Vertex 1]],GroupVertices[Vertex],0)),1,1,"")</f>
        <v>9</v>
      </c>
      <c r="BL498" s="76" t="str">
        <f>REPLACE(INDEX(GroupVertices[Group],MATCH(Edges[[#This Row],[Vertex 2]],GroupVertices[Vertex],0)),1,1,"")</f>
        <v>2</v>
      </c>
      <c r="BM498" s="45">
        <v>0</v>
      </c>
      <c r="BN498" s="46">
        <v>0</v>
      </c>
      <c r="BO498" s="45">
        <v>1</v>
      </c>
      <c r="BP498" s="46">
        <v>7.6923076923076925</v>
      </c>
      <c r="BQ498" s="45">
        <v>0</v>
      </c>
      <c r="BR498" s="46">
        <v>0</v>
      </c>
      <c r="BS498" s="45">
        <v>7</v>
      </c>
      <c r="BT498" s="46">
        <v>53.84615384615385</v>
      </c>
      <c r="BU498" s="45">
        <v>13</v>
      </c>
    </row>
    <row r="499" spans="1:73" ht="15">
      <c r="A499" s="61" t="s">
        <v>244</v>
      </c>
      <c r="B499" s="61" t="s">
        <v>244</v>
      </c>
      <c r="C499" s="62" t="s">
        <v>11695</v>
      </c>
      <c r="D499" s="63">
        <v>7.2</v>
      </c>
      <c r="E499" s="64" t="s">
        <v>132</v>
      </c>
      <c r="F499" s="65">
        <v>18.8</v>
      </c>
      <c r="G499" s="62"/>
      <c r="H499" s="66"/>
      <c r="I499" s="67"/>
      <c r="J499" s="67"/>
      <c r="K499" s="31" t="s">
        <v>65</v>
      </c>
      <c r="L499" s="75">
        <v>499</v>
      </c>
      <c r="M499" s="75"/>
      <c r="N499" s="69"/>
      <c r="O499" s="77" t="s">
        <v>540</v>
      </c>
      <c r="P499" s="79">
        <v>45157.04403935185</v>
      </c>
      <c r="Q499" s="77" t="s">
        <v>619</v>
      </c>
      <c r="R499" s="77">
        <v>1</v>
      </c>
      <c r="S499" s="77">
        <v>0</v>
      </c>
      <c r="T499" s="77">
        <v>1</v>
      </c>
      <c r="U499" s="77">
        <v>0</v>
      </c>
      <c r="V499" s="77">
        <v>14</v>
      </c>
      <c r="W499" s="77"/>
      <c r="X499" s="77"/>
      <c r="Y499" s="77"/>
      <c r="Z499" s="77"/>
      <c r="AA499" s="77"/>
      <c r="AB499" s="77"/>
      <c r="AC499" s="81" t="s">
        <v>853</v>
      </c>
      <c r="AD499" s="77" t="s">
        <v>859</v>
      </c>
      <c r="AE499" s="83" t="str">
        <f>HYPERLINK("https://twitter.com/pilotbeac0n/status/1692703781350437282")</f>
        <v>https://twitter.com/pilotbeac0n/status/1692703781350437282</v>
      </c>
      <c r="AF499" s="79">
        <v>45157.04403935185</v>
      </c>
      <c r="AG499" s="85">
        <v>45157</v>
      </c>
      <c r="AH499" s="81" t="s">
        <v>947</v>
      </c>
      <c r="AI499" s="77"/>
      <c r="AJ499" s="77"/>
      <c r="AK499" s="77"/>
      <c r="AL499" s="77"/>
      <c r="AM499" s="77"/>
      <c r="AN499" s="77"/>
      <c r="AO499" s="77"/>
      <c r="AP499" s="77"/>
      <c r="AQ499" s="77"/>
      <c r="AR499" s="77"/>
      <c r="AS499" s="77"/>
      <c r="AT499" s="77"/>
      <c r="AU499" s="77"/>
      <c r="AV499" s="83" t="str">
        <f>HYPERLINK("https://pbs.twimg.com/profile_images/1700371194879549440/QiQHamC2_normal.jpg")</f>
        <v>https://pbs.twimg.com/profile_images/1700371194879549440/QiQHamC2_normal.jpg</v>
      </c>
      <c r="AW499" s="81" t="s">
        <v>1102</v>
      </c>
      <c r="AX499" s="81" t="s">
        <v>1160</v>
      </c>
      <c r="AY499" s="81" t="s">
        <v>1182</v>
      </c>
      <c r="AZ499" s="81" t="s">
        <v>1195</v>
      </c>
      <c r="BA499" s="81" t="s">
        <v>1190</v>
      </c>
      <c r="BB499" s="81" t="s">
        <v>1190</v>
      </c>
      <c r="BC499" s="81" t="s">
        <v>1195</v>
      </c>
      <c r="BD499" s="81" t="s">
        <v>1182</v>
      </c>
      <c r="BE499" s="77"/>
      <c r="BF499" s="77"/>
      <c r="BG499" s="77"/>
      <c r="BH499" s="77"/>
      <c r="BI499" s="77"/>
      <c r="BJ499">
        <v>4</v>
      </c>
      <c r="BK499" s="76" t="str">
        <f>REPLACE(INDEX(GroupVertices[Group],MATCH(Edges[[#This Row],[Vertex 1]],GroupVertices[Vertex],0)),1,1,"")</f>
        <v>9</v>
      </c>
      <c r="BL499" s="76" t="str">
        <f>REPLACE(INDEX(GroupVertices[Group],MATCH(Edges[[#This Row],[Vertex 2]],GroupVertices[Vertex],0)),1,1,"")</f>
        <v>9</v>
      </c>
      <c r="BM499" s="45">
        <v>3</v>
      </c>
      <c r="BN499" s="46">
        <v>8.108108108108109</v>
      </c>
      <c r="BO499" s="45">
        <v>2</v>
      </c>
      <c r="BP499" s="46">
        <v>5.405405405405405</v>
      </c>
      <c r="BQ499" s="45">
        <v>0</v>
      </c>
      <c r="BR499" s="46">
        <v>0</v>
      </c>
      <c r="BS499" s="45">
        <v>26</v>
      </c>
      <c r="BT499" s="46">
        <v>70.27027027027027</v>
      </c>
      <c r="BU499" s="45">
        <v>37</v>
      </c>
    </row>
    <row r="500" spans="1:73" ht="15">
      <c r="A500" s="61" t="s">
        <v>244</v>
      </c>
      <c r="B500" s="61" t="s">
        <v>244</v>
      </c>
      <c r="C500" s="62" t="s">
        <v>11694</v>
      </c>
      <c r="D500" s="63">
        <v>5.8</v>
      </c>
      <c r="E500" s="64" t="s">
        <v>132</v>
      </c>
      <c r="F500" s="65">
        <v>23.2</v>
      </c>
      <c r="G500" s="62"/>
      <c r="H500" s="66"/>
      <c r="I500" s="67"/>
      <c r="J500" s="67"/>
      <c r="K500" s="31" t="s">
        <v>65</v>
      </c>
      <c r="L500" s="75">
        <v>500</v>
      </c>
      <c r="M500" s="75"/>
      <c r="N500" s="69"/>
      <c r="O500" s="77" t="s">
        <v>178</v>
      </c>
      <c r="P500" s="79">
        <v>45164.582453703704</v>
      </c>
      <c r="Q500" s="77" t="s">
        <v>620</v>
      </c>
      <c r="R500" s="77">
        <v>0</v>
      </c>
      <c r="S500" s="77">
        <v>0</v>
      </c>
      <c r="T500" s="77">
        <v>1</v>
      </c>
      <c r="U500" s="77">
        <v>1</v>
      </c>
      <c r="V500" s="77">
        <v>20</v>
      </c>
      <c r="W500" s="77"/>
      <c r="X500" s="77"/>
      <c r="Y500" s="77"/>
      <c r="Z500" s="77"/>
      <c r="AA500" s="77"/>
      <c r="AB500" s="77"/>
      <c r="AC500" s="81" t="s">
        <v>853</v>
      </c>
      <c r="AD500" s="77" t="s">
        <v>859</v>
      </c>
      <c r="AE500" s="83" t="str">
        <f>HYPERLINK("https://twitter.com/pilotbeac0n/status/1695435614605529249")</f>
        <v>https://twitter.com/pilotbeac0n/status/1695435614605529249</v>
      </c>
      <c r="AF500" s="79">
        <v>45164.582453703704</v>
      </c>
      <c r="AG500" s="85">
        <v>45164</v>
      </c>
      <c r="AH500" s="81" t="s">
        <v>948</v>
      </c>
      <c r="AI500" s="77"/>
      <c r="AJ500" s="77"/>
      <c r="AK500" s="77"/>
      <c r="AL500" s="77"/>
      <c r="AM500" s="77"/>
      <c r="AN500" s="77"/>
      <c r="AO500" s="77"/>
      <c r="AP500" s="77"/>
      <c r="AQ500" s="77"/>
      <c r="AR500" s="77"/>
      <c r="AS500" s="77"/>
      <c r="AT500" s="77"/>
      <c r="AU500" s="77"/>
      <c r="AV500" s="83" t="str">
        <f>HYPERLINK("https://pbs.twimg.com/profile_images/1700371194879549440/QiQHamC2_normal.jpg")</f>
        <v>https://pbs.twimg.com/profile_images/1700371194879549440/QiQHamC2_normal.jpg</v>
      </c>
      <c r="AW500" s="81" t="s">
        <v>1103</v>
      </c>
      <c r="AX500" s="81" t="s">
        <v>1103</v>
      </c>
      <c r="AY500" s="77"/>
      <c r="AZ500" s="81" t="s">
        <v>1190</v>
      </c>
      <c r="BA500" s="81" t="s">
        <v>1190</v>
      </c>
      <c r="BB500" s="81" t="s">
        <v>1190</v>
      </c>
      <c r="BC500" s="81" t="s">
        <v>1103</v>
      </c>
      <c r="BD500" s="81" t="s">
        <v>1182</v>
      </c>
      <c r="BE500" s="77"/>
      <c r="BF500" s="77"/>
      <c r="BG500" s="77"/>
      <c r="BH500" s="77"/>
      <c r="BI500" s="77"/>
      <c r="BJ500">
        <v>3</v>
      </c>
      <c r="BK500" s="76" t="str">
        <f>REPLACE(INDEX(GroupVertices[Group],MATCH(Edges[[#This Row],[Vertex 1]],GroupVertices[Vertex],0)),1,1,"")</f>
        <v>9</v>
      </c>
      <c r="BL500" s="76" t="str">
        <f>REPLACE(INDEX(GroupVertices[Group],MATCH(Edges[[#This Row],[Vertex 2]],GroupVertices[Vertex],0)),1,1,"")</f>
        <v>9</v>
      </c>
      <c r="BM500" s="45">
        <v>0</v>
      </c>
      <c r="BN500" s="46">
        <v>0</v>
      </c>
      <c r="BO500" s="45">
        <v>2</v>
      </c>
      <c r="BP500" s="46">
        <v>4.444444444444445</v>
      </c>
      <c r="BQ500" s="45">
        <v>0</v>
      </c>
      <c r="BR500" s="46">
        <v>0</v>
      </c>
      <c r="BS500" s="45">
        <v>34</v>
      </c>
      <c r="BT500" s="46">
        <v>75.55555555555556</v>
      </c>
      <c r="BU500" s="45">
        <v>45</v>
      </c>
    </row>
    <row r="501" spans="1:73" ht="15">
      <c r="A501" s="61" t="s">
        <v>244</v>
      </c>
      <c r="B501" s="61" t="s">
        <v>255</v>
      </c>
      <c r="C501" s="62" t="s">
        <v>11692</v>
      </c>
      <c r="D501" s="63">
        <v>3</v>
      </c>
      <c r="E501" s="64" t="s">
        <v>132</v>
      </c>
      <c r="F501" s="65">
        <v>32</v>
      </c>
      <c r="G501" s="62"/>
      <c r="H501" s="66"/>
      <c r="I501" s="67"/>
      <c r="J501" s="67"/>
      <c r="K501" s="31" t="s">
        <v>65</v>
      </c>
      <c r="L501" s="75">
        <v>501</v>
      </c>
      <c r="M501" s="75"/>
      <c r="N501" s="69"/>
      <c r="O501" s="77" t="s">
        <v>542</v>
      </c>
      <c r="P501" s="79">
        <v>45145.106412037036</v>
      </c>
      <c r="Q501" s="77" t="s">
        <v>621</v>
      </c>
      <c r="R501" s="77">
        <v>1</v>
      </c>
      <c r="S501" s="77">
        <v>0</v>
      </c>
      <c r="T501" s="77">
        <v>1</v>
      </c>
      <c r="U501" s="77">
        <v>0</v>
      </c>
      <c r="V501" s="77">
        <v>28</v>
      </c>
      <c r="W501" s="77"/>
      <c r="X501" s="77"/>
      <c r="Y501" s="77"/>
      <c r="Z501" s="77"/>
      <c r="AA501" s="77"/>
      <c r="AB501" s="77"/>
      <c r="AC501" s="81" t="s">
        <v>853</v>
      </c>
      <c r="AD501" s="77" t="s">
        <v>859</v>
      </c>
      <c r="AE501" s="83" t="str">
        <f>HYPERLINK("https://twitter.com/pilotbeac0n/status/1688377731309096960")</f>
        <v>https://twitter.com/pilotbeac0n/status/1688377731309096960</v>
      </c>
      <c r="AF501" s="79">
        <v>45145.106412037036</v>
      </c>
      <c r="AG501" s="85">
        <v>45145</v>
      </c>
      <c r="AH501" s="81" t="s">
        <v>949</v>
      </c>
      <c r="AI501" s="77"/>
      <c r="AJ501" s="77"/>
      <c r="AK501" s="77"/>
      <c r="AL501" s="77"/>
      <c r="AM501" s="77"/>
      <c r="AN501" s="77"/>
      <c r="AO501" s="77"/>
      <c r="AP501" s="77"/>
      <c r="AQ501" s="77"/>
      <c r="AR501" s="77"/>
      <c r="AS501" s="77"/>
      <c r="AT501" s="77"/>
      <c r="AU501" s="77"/>
      <c r="AV501" s="83" t="str">
        <f>HYPERLINK("https://pbs.twimg.com/profile_images/1700371194879549440/QiQHamC2_normal.jpg")</f>
        <v>https://pbs.twimg.com/profile_images/1700371194879549440/QiQHamC2_normal.jpg</v>
      </c>
      <c r="AW501" s="81" t="s">
        <v>1104</v>
      </c>
      <c r="AX501" s="81" t="s">
        <v>1104</v>
      </c>
      <c r="AY501" s="77"/>
      <c r="AZ501" s="81" t="s">
        <v>1190</v>
      </c>
      <c r="BA501" s="81" t="s">
        <v>1126</v>
      </c>
      <c r="BB501" s="81" t="s">
        <v>1190</v>
      </c>
      <c r="BC501" s="81" t="s">
        <v>1126</v>
      </c>
      <c r="BD501" s="81" t="s">
        <v>1182</v>
      </c>
      <c r="BE501" s="77"/>
      <c r="BF501" s="77"/>
      <c r="BG501" s="77"/>
      <c r="BH501" s="77"/>
      <c r="BI501" s="77"/>
      <c r="BJ501">
        <v>1</v>
      </c>
      <c r="BK501" s="76" t="str">
        <f>REPLACE(INDEX(GroupVertices[Group],MATCH(Edges[[#This Row],[Vertex 1]],GroupVertices[Vertex],0)),1,1,"")</f>
        <v>9</v>
      </c>
      <c r="BL501" s="76" t="str">
        <f>REPLACE(INDEX(GroupVertices[Group],MATCH(Edges[[#This Row],[Vertex 2]],GroupVertices[Vertex],0)),1,1,"")</f>
        <v>5</v>
      </c>
      <c r="BM501" s="45">
        <v>0</v>
      </c>
      <c r="BN501" s="46">
        <v>0</v>
      </c>
      <c r="BO501" s="45">
        <v>1</v>
      </c>
      <c r="BP501" s="46">
        <v>11.11111111111111</v>
      </c>
      <c r="BQ501" s="45">
        <v>0</v>
      </c>
      <c r="BR501" s="46">
        <v>0</v>
      </c>
      <c r="BS501" s="45">
        <v>5</v>
      </c>
      <c r="BT501" s="46">
        <v>55.55555555555556</v>
      </c>
      <c r="BU501" s="45">
        <v>9</v>
      </c>
    </row>
    <row r="502" spans="1:73" ht="15">
      <c r="A502" s="61" t="s">
        <v>244</v>
      </c>
      <c r="B502" s="61" t="s">
        <v>228</v>
      </c>
      <c r="C502" s="62" t="s">
        <v>11694</v>
      </c>
      <c r="D502" s="63">
        <v>5.8</v>
      </c>
      <c r="E502" s="64" t="s">
        <v>132</v>
      </c>
      <c r="F502" s="65">
        <v>23.2</v>
      </c>
      <c r="G502" s="62"/>
      <c r="H502" s="66"/>
      <c r="I502" s="67"/>
      <c r="J502" s="67"/>
      <c r="K502" s="31" t="s">
        <v>65</v>
      </c>
      <c r="L502" s="75">
        <v>502</v>
      </c>
      <c r="M502" s="75"/>
      <c r="N502" s="69"/>
      <c r="O502" s="77" t="s">
        <v>544</v>
      </c>
      <c r="P502" s="79">
        <v>45143.93451388889</v>
      </c>
      <c r="Q502" s="77" t="s">
        <v>606</v>
      </c>
      <c r="R502" s="77">
        <v>0</v>
      </c>
      <c r="S502" s="77">
        <v>0</v>
      </c>
      <c r="T502" s="77">
        <v>0</v>
      </c>
      <c r="U502" s="77">
        <v>0</v>
      </c>
      <c r="V502" s="77">
        <v>11</v>
      </c>
      <c r="W502" s="77"/>
      <c r="X502" s="77"/>
      <c r="Y502" s="77"/>
      <c r="Z502" s="77" t="s">
        <v>793</v>
      </c>
      <c r="AA502" s="77"/>
      <c r="AB502" s="77"/>
      <c r="AC502" s="81" t="s">
        <v>853</v>
      </c>
      <c r="AD502" s="77" t="s">
        <v>859</v>
      </c>
      <c r="AE502" s="83" t="str">
        <f>HYPERLINK("https://twitter.com/pilotbeac0n/status/1687953050433171456")</f>
        <v>https://twitter.com/pilotbeac0n/status/1687953050433171456</v>
      </c>
      <c r="AF502" s="79">
        <v>45143.93451388889</v>
      </c>
      <c r="AG502" s="85">
        <v>45143</v>
      </c>
      <c r="AH502" s="81" t="s">
        <v>934</v>
      </c>
      <c r="AI502" s="77"/>
      <c r="AJ502" s="77"/>
      <c r="AK502" s="77"/>
      <c r="AL502" s="77"/>
      <c r="AM502" s="77"/>
      <c r="AN502" s="77"/>
      <c r="AO502" s="77"/>
      <c r="AP502" s="77"/>
      <c r="AQ502" s="77"/>
      <c r="AR502" s="77"/>
      <c r="AS502" s="77"/>
      <c r="AT502" s="77"/>
      <c r="AU502" s="77"/>
      <c r="AV502" s="83" t="str">
        <f>HYPERLINK("https://pbs.twimg.com/profile_images/1700371194879549440/QiQHamC2_normal.jpg")</f>
        <v>https://pbs.twimg.com/profile_images/1700371194879549440/QiQHamC2_normal.jpg</v>
      </c>
      <c r="AW502" s="81" t="s">
        <v>1089</v>
      </c>
      <c r="AX502" s="81" t="s">
        <v>1089</v>
      </c>
      <c r="AY502" s="77"/>
      <c r="AZ502" s="81" t="s">
        <v>1190</v>
      </c>
      <c r="BA502" s="81" t="s">
        <v>1088</v>
      </c>
      <c r="BB502" s="81" t="s">
        <v>1190</v>
      </c>
      <c r="BC502" s="81" t="s">
        <v>1088</v>
      </c>
      <c r="BD502" s="81" t="s">
        <v>1182</v>
      </c>
      <c r="BE502" s="77"/>
      <c r="BF502" s="77"/>
      <c r="BG502" s="77"/>
      <c r="BH502" s="77"/>
      <c r="BI502" s="77"/>
      <c r="BJ502">
        <v>3</v>
      </c>
      <c r="BK502" s="76" t="str">
        <f>REPLACE(INDEX(GroupVertices[Group],MATCH(Edges[[#This Row],[Vertex 1]],GroupVertices[Vertex],0)),1,1,"")</f>
        <v>9</v>
      </c>
      <c r="BL502" s="76" t="str">
        <f>REPLACE(INDEX(GroupVertices[Group],MATCH(Edges[[#This Row],[Vertex 2]],GroupVertices[Vertex],0)),1,1,"")</f>
        <v>2</v>
      </c>
      <c r="BM502" s="45">
        <v>0</v>
      </c>
      <c r="BN502" s="46">
        <v>0</v>
      </c>
      <c r="BO502" s="45">
        <v>0</v>
      </c>
      <c r="BP502" s="46">
        <v>0</v>
      </c>
      <c r="BQ502" s="45">
        <v>0</v>
      </c>
      <c r="BR502" s="46">
        <v>0</v>
      </c>
      <c r="BS502" s="45">
        <v>12</v>
      </c>
      <c r="BT502" s="46">
        <v>57.142857142857146</v>
      </c>
      <c r="BU502" s="45">
        <v>21</v>
      </c>
    </row>
    <row r="503" spans="1:73" ht="15">
      <c r="A503" s="61" t="s">
        <v>244</v>
      </c>
      <c r="B503" s="61" t="s">
        <v>228</v>
      </c>
      <c r="C503" s="62" t="s">
        <v>11696</v>
      </c>
      <c r="D503" s="63">
        <v>8.6</v>
      </c>
      <c r="E503" s="64" t="s">
        <v>136</v>
      </c>
      <c r="F503" s="65">
        <v>14.399999999999999</v>
      </c>
      <c r="G503" s="62"/>
      <c r="H503" s="66"/>
      <c r="I503" s="67"/>
      <c r="J503" s="67"/>
      <c r="K503" s="31" t="s">
        <v>65</v>
      </c>
      <c r="L503" s="75">
        <v>503</v>
      </c>
      <c r="M503" s="75"/>
      <c r="N503" s="69"/>
      <c r="O503" s="77" t="s">
        <v>539</v>
      </c>
      <c r="P503" s="79">
        <v>45165.6421875</v>
      </c>
      <c r="Q503" s="77" t="s">
        <v>622</v>
      </c>
      <c r="R503" s="77">
        <v>0</v>
      </c>
      <c r="S503" s="77">
        <v>1</v>
      </c>
      <c r="T503" s="77">
        <v>0</v>
      </c>
      <c r="U503" s="77">
        <v>0</v>
      </c>
      <c r="V503" s="77">
        <v>14</v>
      </c>
      <c r="W503" s="77"/>
      <c r="X503" s="77"/>
      <c r="Y503" s="77"/>
      <c r="Z503" s="77" t="s">
        <v>228</v>
      </c>
      <c r="AA503" s="77" t="s">
        <v>837</v>
      </c>
      <c r="AB503" s="77" t="s">
        <v>848</v>
      </c>
      <c r="AC503" s="81" t="s">
        <v>853</v>
      </c>
      <c r="AD503" s="77" t="s">
        <v>859</v>
      </c>
      <c r="AE503" s="83" t="str">
        <f>HYPERLINK("https://twitter.com/pilotbeac0n/status/1695819649156567109")</f>
        <v>https://twitter.com/pilotbeac0n/status/1695819649156567109</v>
      </c>
      <c r="AF503" s="79">
        <v>45165.6421875</v>
      </c>
      <c r="AG503" s="85">
        <v>45165</v>
      </c>
      <c r="AH503" s="81" t="s">
        <v>950</v>
      </c>
      <c r="AI503" s="77" t="b">
        <v>0</v>
      </c>
      <c r="AJ503" s="77"/>
      <c r="AK503" s="77"/>
      <c r="AL503" s="77"/>
      <c r="AM503" s="77"/>
      <c r="AN503" s="77"/>
      <c r="AO503" s="77"/>
      <c r="AP503" s="77"/>
      <c r="AQ503" s="77" t="s">
        <v>1016</v>
      </c>
      <c r="AR503" s="77"/>
      <c r="AS503" s="77"/>
      <c r="AT503" s="77"/>
      <c r="AU503" s="77"/>
      <c r="AV503" s="83" t="str">
        <f>HYPERLINK("https://pbs.twimg.com/media/F4jCzb4a4AAIpqV.png")</f>
        <v>https://pbs.twimg.com/media/F4jCzb4a4AAIpqV.png</v>
      </c>
      <c r="AW503" s="81" t="s">
        <v>1105</v>
      </c>
      <c r="AX503" s="81" t="s">
        <v>1105</v>
      </c>
      <c r="AY503" s="77"/>
      <c r="AZ503" s="81" t="s">
        <v>1190</v>
      </c>
      <c r="BA503" s="81" t="s">
        <v>1190</v>
      </c>
      <c r="BB503" s="81" t="s">
        <v>1190</v>
      </c>
      <c r="BC503" s="81" t="s">
        <v>1105</v>
      </c>
      <c r="BD503" s="81" t="s">
        <v>1182</v>
      </c>
      <c r="BE503" s="77"/>
      <c r="BF503" s="77"/>
      <c r="BG503" s="77"/>
      <c r="BH503" s="77"/>
      <c r="BI503" s="77"/>
      <c r="BJ503">
        <v>5</v>
      </c>
      <c r="BK503" s="76" t="str">
        <f>REPLACE(INDEX(GroupVertices[Group],MATCH(Edges[[#This Row],[Vertex 1]],GroupVertices[Vertex],0)),1,1,"")</f>
        <v>9</v>
      </c>
      <c r="BL503" s="76" t="str">
        <f>REPLACE(INDEX(GroupVertices[Group],MATCH(Edges[[#This Row],[Vertex 2]],GroupVertices[Vertex],0)),1,1,"")</f>
        <v>2</v>
      </c>
      <c r="BM503" s="45">
        <v>0</v>
      </c>
      <c r="BN503" s="46">
        <v>0</v>
      </c>
      <c r="BO503" s="45">
        <v>0</v>
      </c>
      <c r="BP503" s="46">
        <v>0</v>
      </c>
      <c r="BQ503" s="45">
        <v>0</v>
      </c>
      <c r="BR503" s="46">
        <v>0</v>
      </c>
      <c r="BS503" s="45">
        <v>11</v>
      </c>
      <c r="BT503" s="46">
        <v>39.285714285714285</v>
      </c>
      <c r="BU503" s="45">
        <v>28</v>
      </c>
    </row>
    <row r="504" spans="1:73" ht="15">
      <c r="A504" s="61" t="s">
        <v>244</v>
      </c>
      <c r="B504" s="61" t="s">
        <v>244</v>
      </c>
      <c r="C504" s="62" t="s">
        <v>11695</v>
      </c>
      <c r="D504" s="63">
        <v>7.2</v>
      </c>
      <c r="E504" s="64" t="s">
        <v>132</v>
      </c>
      <c r="F504" s="65">
        <v>18.8</v>
      </c>
      <c r="G504" s="62"/>
      <c r="H504" s="66"/>
      <c r="I504" s="67"/>
      <c r="J504" s="67"/>
      <c r="K504" s="31" t="s">
        <v>65</v>
      </c>
      <c r="L504" s="75">
        <v>504</v>
      </c>
      <c r="M504" s="75"/>
      <c r="N504" s="69"/>
      <c r="O504" s="77" t="s">
        <v>540</v>
      </c>
      <c r="P504" s="79">
        <v>45140.05584490741</v>
      </c>
      <c r="Q504" s="77" t="s">
        <v>623</v>
      </c>
      <c r="R504" s="77">
        <v>0</v>
      </c>
      <c r="S504" s="77">
        <v>0</v>
      </c>
      <c r="T504" s="77">
        <v>0</v>
      </c>
      <c r="U504" s="77">
        <v>0</v>
      </c>
      <c r="V504" s="77">
        <v>6</v>
      </c>
      <c r="W504" s="77"/>
      <c r="X504" s="77"/>
      <c r="Y504" s="77"/>
      <c r="Z504" s="77"/>
      <c r="AA504" s="77"/>
      <c r="AB504" s="77"/>
      <c r="AC504" s="81" t="s">
        <v>853</v>
      </c>
      <c r="AD504" s="77" t="s">
        <v>859</v>
      </c>
      <c r="AE504" s="83" t="str">
        <f>HYPERLINK("https://twitter.com/pilotbeac0n/status/1686547467276599299")</f>
        <v>https://twitter.com/pilotbeac0n/status/1686547467276599299</v>
      </c>
      <c r="AF504" s="79">
        <v>45140.05584490741</v>
      </c>
      <c r="AG504" s="85">
        <v>45140</v>
      </c>
      <c r="AH504" s="81" t="s">
        <v>951</v>
      </c>
      <c r="AI504" s="77"/>
      <c r="AJ504" s="77"/>
      <c r="AK504" s="77"/>
      <c r="AL504" s="77"/>
      <c r="AM504" s="77"/>
      <c r="AN504" s="77"/>
      <c r="AO504" s="77"/>
      <c r="AP504" s="77"/>
      <c r="AQ504" s="77"/>
      <c r="AR504" s="77"/>
      <c r="AS504" s="77"/>
      <c r="AT504" s="77"/>
      <c r="AU504" s="77"/>
      <c r="AV504" s="83" t="str">
        <f>HYPERLINK("https://pbs.twimg.com/profile_images/1700371194879549440/QiQHamC2_normal.jpg")</f>
        <v>https://pbs.twimg.com/profile_images/1700371194879549440/QiQHamC2_normal.jpg</v>
      </c>
      <c r="AW504" s="81" t="s">
        <v>1106</v>
      </c>
      <c r="AX504" s="81" t="s">
        <v>1161</v>
      </c>
      <c r="AY504" s="81" t="s">
        <v>1182</v>
      </c>
      <c r="AZ504" s="81" t="s">
        <v>1161</v>
      </c>
      <c r="BA504" s="81" t="s">
        <v>1190</v>
      </c>
      <c r="BB504" s="81" t="s">
        <v>1190</v>
      </c>
      <c r="BC504" s="81" t="s">
        <v>1161</v>
      </c>
      <c r="BD504" s="81" t="s">
        <v>1182</v>
      </c>
      <c r="BE504" s="77"/>
      <c r="BF504" s="77"/>
      <c r="BG504" s="77"/>
      <c r="BH504" s="77"/>
      <c r="BI504" s="77"/>
      <c r="BJ504">
        <v>4</v>
      </c>
      <c r="BK504" s="76" t="str">
        <f>REPLACE(INDEX(GroupVertices[Group],MATCH(Edges[[#This Row],[Vertex 1]],GroupVertices[Vertex],0)),1,1,"")</f>
        <v>9</v>
      </c>
      <c r="BL504" s="76" t="str">
        <f>REPLACE(INDEX(GroupVertices[Group],MATCH(Edges[[#This Row],[Vertex 2]],GroupVertices[Vertex],0)),1,1,"")</f>
        <v>9</v>
      </c>
      <c r="BM504" s="45">
        <v>0</v>
      </c>
      <c r="BN504" s="46">
        <v>0</v>
      </c>
      <c r="BO504" s="45">
        <v>0</v>
      </c>
      <c r="BP504" s="46">
        <v>0</v>
      </c>
      <c r="BQ504" s="45">
        <v>0</v>
      </c>
      <c r="BR504" s="46">
        <v>0</v>
      </c>
      <c r="BS504" s="45">
        <v>6</v>
      </c>
      <c r="BT504" s="46">
        <v>100</v>
      </c>
      <c r="BU504" s="45">
        <v>6</v>
      </c>
    </row>
    <row r="505" spans="1:73" ht="15">
      <c r="A505" s="61" t="s">
        <v>244</v>
      </c>
      <c r="B505" s="61" t="s">
        <v>244</v>
      </c>
      <c r="C505" s="62" t="s">
        <v>11695</v>
      </c>
      <c r="D505" s="63">
        <v>7.2</v>
      </c>
      <c r="E505" s="64" t="s">
        <v>132</v>
      </c>
      <c r="F505" s="65">
        <v>18.8</v>
      </c>
      <c r="G505" s="62"/>
      <c r="H505" s="66"/>
      <c r="I505" s="67"/>
      <c r="J505" s="67"/>
      <c r="K505" s="31" t="s">
        <v>65</v>
      </c>
      <c r="L505" s="75">
        <v>505</v>
      </c>
      <c r="M505" s="75"/>
      <c r="N505" s="69"/>
      <c r="O505" s="77" t="s">
        <v>540</v>
      </c>
      <c r="P505" s="79">
        <v>45169.00125</v>
      </c>
      <c r="Q505" s="77" t="s">
        <v>624</v>
      </c>
      <c r="R505" s="77">
        <v>0</v>
      </c>
      <c r="S505" s="77">
        <v>0</v>
      </c>
      <c r="T505" s="77">
        <v>0</v>
      </c>
      <c r="U505" s="77">
        <v>0</v>
      </c>
      <c r="V505" s="77">
        <v>12</v>
      </c>
      <c r="W505" s="77"/>
      <c r="X505" s="77"/>
      <c r="Y505" s="77"/>
      <c r="Z505" s="77"/>
      <c r="AA505" s="77"/>
      <c r="AB505" s="77"/>
      <c r="AC505" s="81" t="s">
        <v>853</v>
      </c>
      <c r="AD505" s="77" t="s">
        <v>859</v>
      </c>
      <c r="AE505" s="83" t="str">
        <f>HYPERLINK("https://twitter.com/pilotbeac0n/status/1697036933099393477")</f>
        <v>https://twitter.com/pilotbeac0n/status/1697036933099393477</v>
      </c>
      <c r="AF505" s="79">
        <v>45169.00125</v>
      </c>
      <c r="AG505" s="85">
        <v>45169</v>
      </c>
      <c r="AH505" s="81" t="s">
        <v>952</v>
      </c>
      <c r="AI505" s="77"/>
      <c r="AJ505" s="77"/>
      <c r="AK505" s="77"/>
      <c r="AL505" s="77"/>
      <c r="AM505" s="77"/>
      <c r="AN505" s="77"/>
      <c r="AO505" s="77"/>
      <c r="AP505" s="77"/>
      <c r="AQ505" s="77"/>
      <c r="AR505" s="77"/>
      <c r="AS505" s="77"/>
      <c r="AT505" s="77"/>
      <c r="AU505" s="77"/>
      <c r="AV505" s="83" t="str">
        <f>HYPERLINK("https://pbs.twimg.com/profile_images/1700371194879549440/QiQHamC2_normal.jpg")</f>
        <v>https://pbs.twimg.com/profile_images/1700371194879549440/QiQHamC2_normal.jpg</v>
      </c>
      <c r="AW505" s="81" t="s">
        <v>1107</v>
      </c>
      <c r="AX505" s="81" t="s">
        <v>1162</v>
      </c>
      <c r="AY505" s="81" t="s">
        <v>1182</v>
      </c>
      <c r="AZ505" s="81" t="s">
        <v>1196</v>
      </c>
      <c r="BA505" s="81" t="s">
        <v>1190</v>
      </c>
      <c r="BB505" s="81" t="s">
        <v>1190</v>
      </c>
      <c r="BC505" s="81" t="s">
        <v>1196</v>
      </c>
      <c r="BD505" s="81" t="s">
        <v>1182</v>
      </c>
      <c r="BE505" s="77"/>
      <c r="BF505" s="77"/>
      <c r="BG505" s="77"/>
      <c r="BH505" s="77"/>
      <c r="BI505" s="77"/>
      <c r="BJ505">
        <v>4</v>
      </c>
      <c r="BK505" s="76" t="str">
        <f>REPLACE(INDEX(GroupVertices[Group],MATCH(Edges[[#This Row],[Vertex 1]],GroupVertices[Vertex],0)),1,1,"")</f>
        <v>9</v>
      </c>
      <c r="BL505" s="76" t="str">
        <f>REPLACE(INDEX(GroupVertices[Group],MATCH(Edges[[#This Row],[Vertex 2]],GroupVertices[Vertex],0)),1,1,"")</f>
        <v>9</v>
      </c>
      <c r="BM505" s="45">
        <v>0</v>
      </c>
      <c r="BN505" s="46">
        <v>0</v>
      </c>
      <c r="BO505" s="45">
        <v>0</v>
      </c>
      <c r="BP505" s="46">
        <v>0</v>
      </c>
      <c r="BQ505" s="45">
        <v>0</v>
      </c>
      <c r="BR505" s="46">
        <v>0</v>
      </c>
      <c r="BS505" s="45">
        <v>3</v>
      </c>
      <c r="BT505" s="46">
        <v>60</v>
      </c>
      <c r="BU505" s="45">
        <v>5</v>
      </c>
    </row>
    <row r="506" spans="1:73" ht="15">
      <c r="A506" s="61" t="s">
        <v>244</v>
      </c>
      <c r="B506" s="61" t="s">
        <v>244</v>
      </c>
      <c r="C506" s="62" t="s">
        <v>11694</v>
      </c>
      <c r="D506" s="63">
        <v>5.8</v>
      </c>
      <c r="E506" s="64" t="s">
        <v>132</v>
      </c>
      <c r="F506" s="65">
        <v>23.2</v>
      </c>
      <c r="G506" s="62"/>
      <c r="H506" s="66"/>
      <c r="I506" s="67"/>
      <c r="J506" s="67"/>
      <c r="K506" s="31" t="s">
        <v>65</v>
      </c>
      <c r="L506" s="75">
        <v>506</v>
      </c>
      <c r="M506" s="75"/>
      <c r="N506" s="69"/>
      <c r="O506" s="77" t="s">
        <v>178</v>
      </c>
      <c r="P506" s="79">
        <v>45142.177881944444</v>
      </c>
      <c r="Q506" s="77" t="s">
        <v>625</v>
      </c>
      <c r="R506" s="77">
        <v>0</v>
      </c>
      <c r="S506" s="77">
        <v>0</v>
      </c>
      <c r="T506" s="77">
        <v>0</v>
      </c>
      <c r="U506" s="77">
        <v>0</v>
      </c>
      <c r="V506" s="77">
        <v>6</v>
      </c>
      <c r="W506" s="77"/>
      <c r="X506" s="77"/>
      <c r="Y506" s="77"/>
      <c r="Z506" s="77"/>
      <c r="AA506" s="77"/>
      <c r="AB506" s="77"/>
      <c r="AC506" s="81" t="s">
        <v>853</v>
      </c>
      <c r="AD506" s="77" t="s">
        <v>859</v>
      </c>
      <c r="AE506" s="83" t="str">
        <f>HYPERLINK("https://twitter.com/pilotbeac0n/status/1687316466717298688")</f>
        <v>https://twitter.com/pilotbeac0n/status/1687316466717298688</v>
      </c>
      <c r="AF506" s="79">
        <v>45142.177881944444</v>
      </c>
      <c r="AG506" s="85">
        <v>45142</v>
      </c>
      <c r="AH506" s="81" t="s">
        <v>953</v>
      </c>
      <c r="AI506" s="77"/>
      <c r="AJ506" s="77"/>
      <c r="AK506" s="77"/>
      <c r="AL506" s="77"/>
      <c r="AM506" s="77"/>
      <c r="AN506" s="77"/>
      <c r="AO506" s="77"/>
      <c r="AP506" s="77"/>
      <c r="AQ506" s="77"/>
      <c r="AR506" s="77"/>
      <c r="AS506" s="77"/>
      <c r="AT506" s="77"/>
      <c r="AU506" s="77"/>
      <c r="AV506" s="83" t="str">
        <f>HYPERLINK("https://pbs.twimg.com/profile_images/1700371194879549440/QiQHamC2_normal.jpg")</f>
        <v>https://pbs.twimg.com/profile_images/1700371194879549440/QiQHamC2_normal.jpg</v>
      </c>
      <c r="AW506" s="81" t="s">
        <v>1108</v>
      </c>
      <c r="AX506" s="81" t="s">
        <v>1108</v>
      </c>
      <c r="AY506" s="77"/>
      <c r="AZ506" s="81" t="s">
        <v>1190</v>
      </c>
      <c r="BA506" s="81" t="s">
        <v>1190</v>
      </c>
      <c r="BB506" s="81" t="s">
        <v>1190</v>
      </c>
      <c r="BC506" s="81" t="s">
        <v>1108</v>
      </c>
      <c r="BD506" s="81" t="s">
        <v>1182</v>
      </c>
      <c r="BE506" s="77"/>
      <c r="BF506" s="77"/>
      <c r="BG506" s="77"/>
      <c r="BH506" s="77"/>
      <c r="BI506" s="77"/>
      <c r="BJ506">
        <v>3</v>
      </c>
      <c r="BK506" s="76" t="str">
        <f>REPLACE(INDEX(GroupVertices[Group],MATCH(Edges[[#This Row],[Vertex 1]],GroupVertices[Vertex],0)),1,1,"")</f>
        <v>9</v>
      </c>
      <c r="BL506" s="76" t="str">
        <f>REPLACE(INDEX(GroupVertices[Group],MATCH(Edges[[#This Row],[Vertex 2]],GroupVertices[Vertex],0)),1,1,"")</f>
        <v>9</v>
      </c>
      <c r="BM506" s="45">
        <v>0</v>
      </c>
      <c r="BN506" s="46">
        <v>0</v>
      </c>
      <c r="BO506" s="45">
        <v>1</v>
      </c>
      <c r="BP506" s="46">
        <v>6.666666666666667</v>
      </c>
      <c r="BQ506" s="45">
        <v>0</v>
      </c>
      <c r="BR506" s="46">
        <v>0</v>
      </c>
      <c r="BS506" s="45">
        <v>12</v>
      </c>
      <c r="BT506" s="46">
        <v>80</v>
      </c>
      <c r="BU506" s="45">
        <v>15</v>
      </c>
    </row>
    <row r="507" spans="1:73" ht="15">
      <c r="A507" s="61" t="s">
        <v>244</v>
      </c>
      <c r="B507" s="61" t="s">
        <v>244</v>
      </c>
      <c r="C507" s="62" t="s">
        <v>11694</v>
      </c>
      <c r="D507" s="63">
        <v>5.8</v>
      </c>
      <c r="E507" s="64" t="s">
        <v>132</v>
      </c>
      <c r="F507" s="65">
        <v>23.2</v>
      </c>
      <c r="G507" s="62"/>
      <c r="H507" s="66"/>
      <c r="I507" s="67"/>
      <c r="J507" s="67"/>
      <c r="K507" s="31" t="s">
        <v>65</v>
      </c>
      <c r="L507" s="75">
        <v>507</v>
      </c>
      <c r="M507" s="75"/>
      <c r="N507" s="69"/>
      <c r="O507" s="77" t="s">
        <v>178</v>
      </c>
      <c r="P507" s="79">
        <v>45142.13746527778</v>
      </c>
      <c r="Q507" s="77" t="s">
        <v>626</v>
      </c>
      <c r="R507" s="77">
        <v>0</v>
      </c>
      <c r="S507" s="77">
        <v>0</v>
      </c>
      <c r="T507" s="77">
        <v>0</v>
      </c>
      <c r="U507" s="77">
        <v>0</v>
      </c>
      <c r="V507" s="77">
        <v>6</v>
      </c>
      <c r="W507" s="77"/>
      <c r="X507" s="77"/>
      <c r="Y507" s="77"/>
      <c r="Z507" s="77"/>
      <c r="AA507" s="77"/>
      <c r="AB507" s="77"/>
      <c r="AC507" s="81" t="s">
        <v>853</v>
      </c>
      <c r="AD507" s="77" t="s">
        <v>859</v>
      </c>
      <c r="AE507" s="83" t="str">
        <f>HYPERLINK("https://twitter.com/pilotbeac0n/status/1687301821600260096")</f>
        <v>https://twitter.com/pilotbeac0n/status/1687301821600260096</v>
      </c>
      <c r="AF507" s="79">
        <v>45142.13746527778</v>
      </c>
      <c r="AG507" s="85">
        <v>45142</v>
      </c>
      <c r="AH507" s="81" t="s">
        <v>954</v>
      </c>
      <c r="AI507" s="77"/>
      <c r="AJ507" s="77"/>
      <c r="AK507" s="77"/>
      <c r="AL507" s="77"/>
      <c r="AM507" s="77"/>
      <c r="AN507" s="77"/>
      <c r="AO507" s="77"/>
      <c r="AP507" s="77"/>
      <c r="AQ507" s="77"/>
      <c r="AR507" s="77"/>
      <c r="AS507" s="77"/>
      <c r="AT507" s="77"/>
      <c r="AU507" s="77"/>
      <c r="AV507" s="83" t="str">
        <f>HYPERLINK("https://pbs.twimg.com/profile_images/1700371194879549440/QiQHamC2_normal.jpg")</f>
        <v>https://pbs.twimg.com/profile_images/1700371194879549440/QiQHamC2_normal.jpg</v>
      </c>
      <c r="AW507" s="81" t="s">
        <v>1109</v>
      </c>
      <c r="AX507" s="81" t="s">
        <v>1109</v>
      </c>
      <c r="AY507" s="77"/>
      <c r="AZ507" s="81" t="s">
        <v>1190</v>
      </c>
      <c r="BA507" s="81" t="s">
        <v>1190</v>
      </c>
      <c r="BB507" s="81" t="s">
        <v>1190</v>
      </c>
      <c r="BC507" s="81" t="s">
        <v>1109</v>
      </c>
      <c r="BD507" s="81" t="s">
        <v>1182</v>
      </c>
      <c r="BE507" s="77"/>
      <c r="BF507" s="77"/>
      <c r="BG507" s="77"/>
      <c r="BH507" s="77"/>
      <c r="BI507" s="77"/>
      <c r="BJ507">
        <v>3</v>
      </c>
      <c r="BK507" s="76" t="str">
        <f>REPLACE(INDEX(GroupVertices[Group],MATCH(Edges[[#This Row],[Vertex 1]],GroupVertices[Vertex],0)),1,1,"")</f>
        <v>9</v>
      </c>
      <c r="BL507" s="76" t="str">
        <f>REPLACE(INDEX(GroupVertices[Group],MATCH(Edges[[#This Row],[Vertex 2]],GroupVertices[Vertex],0)),1,1,"")</f>
        <v>9</v>
      </c>
      <c r="BM507" s="45">
        <v>0</v>
      </c>
      <c r="BN507" s="46">
        <v>0</v>
      </c>
      <c r="BO507" s="45">
        <v>1</v>
      </c>
      <c r="BP507" s="46">
        <v>14.285714285714286</v>
      </c>
      <c r="BQ507" s="45">
        <v>0</v>
      </c>
      <c r="BR507" s="46">
        <v>0</v>
      </c>
      <c r="BS507" s="45">
        <v>4</v>
      </c>
      <c r="BT507" s="46">
        <v>57.142857142857146</v>
      </c>
      <c r="BU507" s="45">
        <v>7</v>
      </c>
    </row>
    <row r="508" spans="1:73" ht="15">
      <c r="A508" s="61" t="s">
        <v>244</v>
      </c>
      <c r="B508" s="61" t="s">
        <v>244</v>
      </c>
      <c r="C508" s="62" t="s">
        <v>11695</v>
      </c>
      <c r="D508" s="63">
        <v>7.2</v>
      </c>
      <c r="E508" s="64" t="s">
        <v>132</v>
      </c>
      <c r="F508" s="65">
        <v>18.8</v>
      </c>
      <c r="G508" s="62"/>
      <c r="H508" s="66"/>
      <c r="I508" s="67"/>
      <c r="J508" s="67"/>
      <c r="K508" s="31" t="s">
        <v>65</v>
      </c>
      <c r="L508" s="75">
        <v>508</v>
      </c>
      <c r="M508" s="75"/>
      <c r="N508" s="69"/>
      <c r="O508" s="77" t="s">
        <v>540</v>
      </c>
      <c r="P508" s="79">
        <v>45169.81728009259</v>
      </c>
      <c r="Q508" s="77" t="s">
        <v>627</v>
      </c>
      <c r="R508" s="77">
        <v>0</v>
      </c>
      <c r="S508" s="77">
        <v>0</v>
      </c>
      <c r="T508" s="77">
        <v>1</v>
      </c>
      <c r="U508" s="77">
        <v>0</v>
      </c>
      <c r="V508" s="77">
        <v>9</v>
      </c>
      <c r="W508" s="81" t="s">
        <v>707</v>
      </c>
      <c r="X508" s="77"/>
      <c r="Y508" s="77"/>
      <c r="Z508" s="77"/>
      <c r="AA508" s="77"/>
      <c r="AB508" s="77"/>
      <c r="AC508" s="81" t="s">
        <v>853</v>
      </c>
      <c r="AD508" s="77" t="s">
        <v>859</v>
      </c>
      <c r="AE508" s="83" t="str">
        <f>HYPERLINK("https://twitter.com/pilotbeac0n/status/1697332652653891655")</f>
        <v>https://twitter.com/pilotbeac0n/status/1697332652653891655</v>
      </c>
      <c r="AF508" s="79">
        <v>45169.81728009259</v>
      </c>
      <c r="AG508" s="85">
        <v>45169</v>
      </c>
      <c r="AH508" s="81" t="s">
        <v>955</v>
      </c>
      <c r="AI508" s="77"/>
      <c r="AJ508" s="77"/>
      <c r="AK508" s="77"/>
      <c r="AL508" s="77"/>
      <c r="AM508" s="77"/>
      <c r="AN508" s="77"/>
      <c r="AO508" s="77"/>
      <c r="AP508" s="77"/>
      <c r="AQ508" s="77"/>
      <c r="AR508" s="77"/>
      <c r="AS508" s="77"/>
      <c r="AT508" s="77"/>
      <c r="AU508" s="77"/>
      <c r="AV508" s="83" t="str">
        <f>HYPERLINK("https://pbs.twimg.com/profile_images/1700371194879549440/QiQHamC2_normal.jpg")</f>
        <v>https://pbs.twimg.com/profile_images/1700371194879549440/QiQHamC2_normal.jpg</v>
      </c>
      <c r="AW508" s="81" t="s">
        <v>1110</v>
      </c>
      <c r="AX508" s="81" t="s">
        <v>1163</v>
      </c>
      <c r="AY508" s="81" t="s">
        <v>1182</v>
      </c>
      <c r="AZ508" s="81" t="s">
        <v>1197</v>
      </c>
      <c r="BA508" s="81" t="s">
        <v>1190</v>
      </c>
      <c r="BB508" s="81" t="s">
        <v>1190</v>
      </c>
      <c r="BC508" s="81" t="s">
        <v>1197</v>
      </c>
      <c r="BD508" s="81" t="s">
        <v>1182</v>
      </c>
      <c r="BE508" s="77"/>
      <c r="BF508" s="77"/>
      <c r="BG508" s="77"/>
      <c r="BH508" s="77"/>
      <c r="BI508" s="77"/>
      <c r="BJ508">
        <v>4</v>
      </c>
      <c r="BK508" s="76" t="str">
        <f>REPLACE(INDEX(GroupVertices[Group],MATCH(Edges[[#This Row],[Vertex 1]],GroupVertices[Vertex],0)),1,1,"")</f>
        <v>9</v>
      </c>
      <c r="BL508" s="76" t="str">
        <f>REPLACE(INDEX(GroupVertices[Group],MATCH(Edges[[#This Row],[Vertex 2]],GroupVertices[Vertex],0)),1,1,"")</f>
        <v>9</v>
      </c>
      <c r="BM508" s="45">
        <v>1</v>
      </c>
      <c r="BN508" s="46">
        <v>3.7037037037037037</v>
      </c>
      <c r="BO508" s="45">
        <v>1</v>
      </c>
      <c r="BP508" s="46">
        <v>3.7037037037037037</v>
      </c>
      <c r="BQ508" s="45">
        <v>0</v>
      </c>
      <c r="BR508" s="46">
        <v>0</v>
      </c>
      <c r="BS508" s="45">
        <v>10</v>
      </c>
      <c r="BT508" s="46">
        <v>37.03703703703704</v>
      </c>
      <c r="BU508" s="45">
        <v>27</v>
      </c>
    </row>
    <row r="509" spans="1:73" ht="15">
      <c r="A509" s="61" t="s">
        <v>244</v>
      </c>
      <c r="B509" s="61" t="s">
        <v>228</v>
      </c>
      <c r="C509" s="62" t="s">
        <v>11694</v>
      </c>
      <c r="D509" s="63">
        <v>5.8</v>
      </c>
      <c r="E509" s="64" t="s">
        <v>132</v>
      </c>
      <c r="F509" s="65">
        <v>23.2</v>
      </c>
      <c r="G509" s="62"/>
      <c r="H509" s="66"/>
      <c r="I509" s="67"/>
      <c r="J509" s="67"/>
      <c r="K509" s="31" t="s">
        <v>65</v>
      </c>
      <c r="L509" s="75">
        <v>509</v>
      </c>
      <c r="M509" s="75"/>
      <c r="N509" s="69"/>
      <c r="O509" s="77" t="s">
        <v>544</v>
      </c>
      <c r="P509" s="79">
        <v>45143.92417824074</v>
      </c>
      <c r="Q509" s="77" t="s">
        <v>614</v>
      </c>
      <c r="R509" s="77">
        <v>0</v>
      </c>
      <c r="S509" s="77">
        <v>0</v>
      </c>
      <c r="T509" s="77">
        <v>1</v>
      </c>
      <c r="U509" s="77">
        <v>0</v>
      </c>
      <c r="V509" s="77">
        <v>5</v>
      </c>
      <c r="W509" s="77"/>
      <c r="X509" s="77"/>
      <c r="Y509" s="77"/>
      <c r="Z509" s="77" t="s">
        <v>793</v>
      </c>
      <c r="AA509" s="77"/>
      <c r="AB509" s="77"/>
      <c r="AC509" s="81" t="s">
        <v>853</v>
      </c>
      <c r="AD509" s="77" t="s">
        <v>859</v>
      </c>
      <c r="AE509" s="83" t="str">
        <f>HYPERLINK("https://twitter.com/pilotbeac0n/status/1687949306228264960")</f>
        <v>https://twitter.com/pilotbeac0n/status/1687949306228264960</v>
      </c>
      <c r="AF509" s="79">
        <v>45143.92417824074</v>
      </c>
      <c r="AG509" s="85">
        <v>45143</v>
      </c>
      <c r="AH509" s="81" t="s">
        <v>942</v>
      </c>
      <c r="AI509" s="77"/>
      <c r="AJ509" s="77"/>
      <c r="AK509" s="77"/>
      <c r="AL509" s="77"/>
      <c r="AM509" s="77"/>
      <c r="AN509" s="77"/>
      <c r="AO509" s="77"/>
      <c r="AP509" s="77"/>
      <c r="AQ509" s="77"/>
      <c r="AR509" s="77"/>
      <c r="AS509" s="77"/>
      <c r="AT509" s="77"/>
      <c r="AU509" s="77"/>
      <c r="AV509" s="83" t="str">
        <f>HYPERLINK("https://pbs.twimg.com/profile_images/1700371194879549440/QiQHamC2_normal.jpg")</f>
        <v>https://pbs.twimg.com/profile_images/1700371194879549440/QiQHamC2_normal.jpg</v>
      </c>
      <c r="AW509" s="81" t="s">
        <v>1097</v>
      </c>
      <c r="AX509" s="81" t="s">
        <v>1097</v>
      </c>
      <c r="AY509" s="77"/>
      <c r="AZ509" s="81" t="s">
        <v>1190</v>
      </c>
      <c r="BA509" s="81" t="s">
        <v>1090</v>
      </c>
      <c r="BB509" s="81" t="s">
        <v>1190</v>
      </c>
      <c r="BC509" s="81" t="s">
        <v>1090</v>
      </c>
      <c r="BD509" s="81" t="s">
        <v>1182</v>
      </c>
      <c r="BE509" s="77"/>
      <c r="BF509" s="77"/>
      <c r="BG509" s="77"/>
      <c r="BH509" s="77"/>
      <c r="BI509" s="77"/>
      <c r="BJ509">
        <v>3</v>
      </c>
      <c r="BK509" s="76" t="str">
        <f>REPLACE(INDEX(GroupVertices[Group],MATCH(Edges[[#This Row],[Vertex 1]],GroupVertices[Vertex],0)),1,1,"")</f>
        <v>9</v>
      </c>
      <c r="BL509" s="76" t="str">
        <f>REPLACE(INDEX(GroupVertices[Group],MATCH(Edges[[#This Row],[Vertex 2]],GroupVertices[Vertex],0)),1,1,"")</f>
        <v>2</v>
      </c>
      <c r="BM509" s="45"/>
      <c r="BN509" s="46"/>
      <c r="BO509" s="45"/>
      <c r="BP509" s="46"/>
      <c r="BQ509" s="45"/>
      <c r="BR509" s="46"/>
      <c r="BS509" s="45"/>
      <c r="BT509" s="46"/>
      <c r="BU509" s="45"/>
    </row>
    <row r="510" spans="1:73" ht="15">
      <c r="A510" s="61" t="s">
        <v>244</v>
      </c>
      <c r="B510" s="61" t="s">
        <v>244</v>
      </c>
      <c r="C510" s="62" t="s">
        <v>11692</v>
      </c>
      <c r="D510" s="63">
        <v>3</v>
      </c>
      <c r="E510" s="64" t="s">
        <v>132</v>
      </c>
      <c r="F510" s="65">
        <v>32</v>
      </c>
      <c r="G510" s="62"/>
      <c r="H510" s="66"/>
      <c r="I510" s="67"/>
      <c r="J510" s="67"/>
      <c r="K510" s="31" t="s">
        <v>65</v>
      </c>
      <c r="L510" s="75">
        <v>510</v>
      </c>
      <c r="M510" s="75"/>
      <c r="N510" s="69"/>
      <c r="O510" s="77" t="s">
        <v>542</v>
      </c>
      <c r="P510" s="79">
        <v>45143.92417824074</v>
      </c>
      <c r="Q510" s="77" t="s">
        <v>614</v>
      </c>
      <c r="R510" s="77">
        <v>0</v>
      </c>
      <c r="S510" s="77">
        <v>0</v>
      </c>
      <c r="T510" s="77">
        <v>1</v>
      </c>
      <c r="U510" s="77">
        <v>0</v>
      </c>
      <c r="V510" s="77">
        <v>5</v>
      </c>
      <c r="W510" s="77"/>
      <c r="X510" s="77"/>
      <c r="Y510" s="77"/>
      <c r="Z510" s="77" t="s">
        <v>793</v>
      </c>
      <c r="AA510" s="77"/>
      <c r="AB510" s="77"/>
      <c r="AC510" s="81" t="s">
        <v>853</v>
      </c>
      <c r="AD510" s="77" t="s">
        <v>859</v>
      </c>
      <c r="AE510" s="83" t="str">
        <f>HYPERLINK("https://twitter.com/pilotbeac0n/status/1687949306228264960")</f>
        <v>https://twitter.com/pilotbeac0n/status/1687949306228264960</v>
      </c>
      <c r="AF510" s="79">
        <v>45143.92417824074</v>
      </c>
      <c r="AG510" s="85">
        <v>45143</v>
      </c>
      <c r="AH510" s="81" t="s">
        <v>942</v>
      </c>
      <c r="AI510" s="77"/>
      <c r="AJ510" s="77"/>
      <c r="AK510" s="77"/>
      <c r="AL510" s="77"/>
      <c r="AM510" s="77"/>
      <c r="AN510" s="77"/>
      <c r="AO510" s="77"/>
      <c r="AP510" s="77"/>
      <c r="AQ510" s="77"/>
      <c r="AR510" s="77"/>
      <c r="AS510" s="77"/>
      <c r="AT510" s="77"/>
      <c r="AU510" s="77"/>
      <c r="AV510" s="83" t="str">
        <f>HYPERLINK("https://pbs.twimg.com/profile_images/1700371194879549440/QiQHamC2_normal.jpg")</f>
        <v>https://pbs.twimg.com/profile_images/1700371194879549440/QiQHamC2_normal.jpg</v>
      </c>
      <c r="AW510" s="81" t="s">
        <v>1097</v>
      </c>
      <c r="AX510" s="81" t="s">
        <v>1097</v>
      </c>
      <c r="AY510" s="77"/>
      <c r="AZ510" s="81" t="s">
        <v>1190</v>
      </c>
      <c r="BA510" s="81" t="s">
        <v>1090</v>
      </c>
      <c r="BB510" s="81" t="s">
        <v>1190</v>
      </c>
      <c r="BC510" s="81" t="s">
        <v>1090</v>
      </c>
      <c r="BD510" s="81" t="s">
        <v>1182</v>
      </c>
      <c r="BE510" s="77"/>
      <c r="BF510" s="77"/>
      <c r="BG510" s="77"/>
      <c r="BH510" s="77"/>
      <c r="BI510" s="77"/>
      <c r="BJ510">
        <v>1</v>
      </c>
      <c r="BK510" s="76" t="str">
        <f>REPLACE(INDEX(GroupVertices[Group],MATCH(Edges[[#This Row],[Vertex 1]],GroupVertices[Vertex],0)),1,1,"")</f>
        <v>9</v>
      </c>
      <c r="BL510" s="76" t="str">
        <f>REPLACE(INDEX(GroupVertices[Group],MATCH(Edges[[#This Row],[Vertex 2]],GroupVertices[Vertex],0)),1,1,"")</f>
        <v>9</v>
      </c>
      <c r="BM510" s="45">
        <v>1</v>
      </c>
      <c r="BN510" s="46">
        <v>9.090909090909092</v>
      </c>
      <c r="BO510" s="45">
        <v>0</v>
      </c>
      <c r="BP510" s="46">
        <v>0</v>
      </c>
      <c r="BQ510" s="45">
        <v>0</v>
      </c>
      <c r="BR510" s="46">
        <v>0</v>
      </c>
      <c r="BS510" s="45">
        <v>6</v>
      </c>
      <c r="BT510" s="46">
        <v>54.54545454545455</v>
      </c>
      <c r="BU510" s="45">
        <v>11</v>
      </c>
    </row>
    <row r="511" spans="1:73" ht="15">
      <c r="A511" s="61" t="s">
        <v>244</v>
      </c>
      <c r="B511" s="61" t="s">
        <v>228</v>
      </c>
      <c r="C511" s="62" t="s">
        <v>11694</v>
      </c>
      <c r="D511" s="63">
        <v>5.8</v>
      </c>
      <c r="E511" s="64" t="s">
        <v>132</v>
      </c>
      <c r="F511" s="65">
        <v>23.2</v>
      </c>
      <c r="G511" s="62"/>
      <c r="H511" s="66"/>
      <c r="I511" s="67"/>
      <c r="J511" s="67"/>
      <c r="K511" s="31" t="s">
        <v>65</v>
      </c>
      <c r="L511" s="75">
        <v>511</v>
      </c>
      <c r="M511" s="75"/>
      <c r="N511" s="69"/>
      <c r="O511" s="77" t="s">
        <v>544</v>
      </c>
      <c r="P511" s="79">
        <v>45143.90568287037</v>
      </c>
      <c r="Q511" s="77" t="s">
        <v>613</v>
      </c>
      <c r="R511" s="77">
        <v>0</v>
      </c>
      <c r="S511" s="77">
        <v>0</v>
      </c>
      <c r="T511" s="77">
        <v>0</v>
      </c>
      <c r="U511" s="77">
        <v>0</v>
      </c>
      <c r="V511" s="77">
        <v>4</v>
      </c>
      <c r="W511" s="77"/>
      <c r="X511" s="77"/>
      <c r="Y511" s="77"/>
      <c r="Z511" s="77" t="s">
        <v>793</v>
      </c>
      <c r="AA511" s="77"/>
      <c r="AB511" s="77"/>
      <c r="AC511" s="81" t="s">
        <v>853</v>
      </c>
      <c r="AD511" s="77" t="s">
        <v>859</v>
      </c>
      <c r="AE511" s="83" t="str">
        <f>HYPERLINK("https://twitter.com/pilotbeac0n/status/1687942602413494272")</f>
        <v>https://twitter.com/pilotbeac0n/status/1687942602413494272</v>
      </c>
      <c r="AF511" s="79">
        <v>45143.90568287037</v>
      </c>
      <c r="AG511" s="85">
        <v>45143</v>
      </c>
      <c r="AH511" s="81" t="s">
        <v>941</v>
      </c>
      <c r="AI511" s="77"/>
      <c r="AJ511" s="77"/>
      <c r="AK511" s="77"/>
      <c r="AL511" s="77"/>
      <c r="AM511" s="77"/>
      <c r="AN511" s="77"/>
      <c r="AO511" s="77"/>
      <c r="AP511" s="77"/>
      <c r="AQ511" s="77"/>
      <c r="AR511" s="77"/>
      <c r="AS511" s="77"/>
      <c r="AT511" s="77"/>
      <c r="AU511" s="77"/>
      <c r="AV511" s="83" t="str">
        <f>HYPERLINK("https://pbs.twimg.com/profile_images/1700371194879549440/QiQHamC2_normal.jpg")</f>
        <v>https://pbs.twimg.com/profile_images/1700371194879549440/QiQHamC2_normal.jpg</v>
      </c>
      <c r="AW511" s="81" t="s">
        <v>1096</v>
      </c>
      <c r="AX511" s="81" t="s">
        <v>1096</v>
      </c>
      <c r="AY511" s="77"/>
      <c r="AZ511" s="81" t="s">
        <v>1190</v>
      </c>
      <c r="BA511" s="81" t="s">
        <v>1095</v>
      </c>
      <c r="BB511" s="81" t="s">
        <v>1190</v>
      </c>
      <c r="BC511" s="81" t="s">
        <v>1095</v>
      </c>
      <c r="BD511" s="81" t="s">
        <v>1182</v>
      </c>
      <c r="BE511" s="77"/>
      <c r="BF511" s="77"/>
      <c r="BG511" s="77"/>
      <c r="BH511" s="77"/>
      <c r="BI511" s="77"/>
      <c r="BJ511">
        <v>3</v>
      </c>
      <c r="BK511" s="76" t="str">
        <f>REPLACE(INDEX(GroupVertices[Group],MATCH(Edges[[#This Row],[Vertex 1]],GroupVertices[Vertex],0)),1,1,"")</f>
        <v>9</v>
      </c>
      <c r="BL511" s="76" t="str">
        <f>REPLACE(INDEX(GroupVertices[Group],MATCH(Edges[[#This Row],[Vertex 2]],GroupVertices[Vertex],0)),1,1,"")</f>
        <v>2</v>
      </c>
      <c r="BM511" s="45"/>
      <c r="BN511" s="46"/>
      <c r="BO511" s="45"/>
      <c r="BP511" s="46"/>
      <c r="BQ511" s="45"/>
      <c r="BR511" s="46"/>
      <c r="BS511" s="45"/>
      <c r="BT511" s="46"/>
      <c r="BU511" s="45"/>
    </row>
    <row r="512" spans="1:73" ht="15">
      <c r="A512" s="61" t="s">
        <v>244</v>
      </c>
      <c r="B512" s="61" t="s">
        <v>228</v>
      </c>
      <c r="C512" s="62" t="s">
        <v>11696</v>
      </c>
      <c r="D512" s="63">
        <v>8.6</v>
      </c>
      <c r="E512" s="64" t="s">
        <v>136</v>
      </c>
      <c r="F512" s="65">
        <v>14.399999999999999</v>
      </c>
      <c r="G512" s="62"/>
      <c r="H512" s="66"/>
      <c r="I512" s="67"/>
      <c r="J512" s="67"/>
      <c r="K512" s="31" t="s">
        <v>65</v>
      </c>
      <c r="L512" s="75">
        <v>512</v>
      </c>
      <c r="M512" s="75"/>
      <c r="N512" s="69"/>
      <c r="O512" s="77" t="s">
        <v>539</v>
      </c>
      <c r="P512" s="79">
        <v>45143.59144675926</v>
      </c>
      <c r="Q512" s="77" t="s">
        <v>615</v>
      </c>
      <c r="R512" s="77">
        <v>1</v>
      </c>
      <c r="S512" s="77">
        <v>0</v>
      </c>
      <c r="T512" s="77">
        <v>0</v>
      </c>
      <c r="U512" s="77">
        <v>1</v>
      </c>
      <c r="V512" s="77">
        <v>9</v>
      </c>
      <c r="W512" s="77"/>
      <c r="X512" s="77"/>
      <c r="Y512" s="77"/>
      <c r="Z512" s="77" t="s">
        <v>793</v>
      </c>
      <c r="AA512" s="77"/>
      <c r="AB512" s="77"/>
      <c r="AC512" s="81" t="s">
        <v>853</v>
      </c>
      <c r="AD512" s="77" t="s">
        <v>859</v>
      </c>
      <c r="AE512" s="83" t="str">
        <f>HYPERLINK("https://twitter.com/pilotbeac0n/status/1687828726560833537")</f>
        <v>https://twitter.com/pilotbeac0n/status/1687828726560833537</v>
      </c>
      <c r="AF512" s="79">
        <v>45143.59144675926</v>
      </c>
      <c r="AG512" s="85">
        <v>45143</v>
      </c>
      <c r="AH512" s="81" t="s">
        <v>943</v>
      </c>
      <c r="AI512" s="77"/>
      <c r="AJ512" s="77"/>
      <c r="AK512" s="77"/>
      <c r="AL512" s="77"/>
      <c r="AM512" s="77"/>
      <c r="AN512" s="77"/>
      <c r="AO512" s="77"/>
      <c r="AP512" s="77"/>
      <c r="AQ512" s="77"/>
      <c r="AR512" s="77"/>
      <c r="AS512" s="77"/>
      <c r="AT512" s="77"/>
      <c r="AU512" s="77"/>
      <c r="AV512" s="83" t="str">
        <f>HYPERLINK("https://pbs.twimg.com/profile_images/1700371194879549440/QiQHamC2_normal.jpg")</f>
        <v>https://pbs.twimg.com/profile_images/1700371194879549440/QiQHamC2_normal.jpg</v>
      </c>
      <c r="AW512" s="81" t="s">
        <v>1098</v>
      </c>
      <c r="AX512" s="81" t="s">
        <v>1098</v>
      </c>
      <c r="AY512" s="77"/>
      <c r="AZ512" s="81" t="s">
        <v>1190</v>
      </c>
      <c r="BA512" s="81" t="s">
        <v>1190</v>
      </c>
      <c r="BB512" s="81" t="s">
        <v>1190</v>
      </c>
      <c r="BC512" s="81" t="s">
        <v>1098</v>
      </c>
      <c r="BD512" s="81" t="s">
        <v>1182</v>
      </c>
      <c r="BE512" s="77"/>
      <c r="BF512" s="77"/>
      <c r="BG512" s="77"/>
      <c r="BH512" s="77"/>
      <c r="BI512" s="77"/>
      <c r="BJ512">
        <v>5</v>
      </c>
      <c r="BK512" s="76" t="str">
        <f>REPLACE(INDEX(GroupVertices[Group],MATCH(Edges[[#This Row],[Vertex 1]],GroupVertices[Vertex],0)),1,1,"")</f>
        <v>9</v>
      </c>
      <c r="BL512" s="76" t="str">
        <f>REPLACE(INDEX(GroupVertices[Group],MATCH(Edges[[#This Row],[Vertex 2]],GroupVertices[Vertex],0)),1,1,"")</f>
        <v>2</v>
      </c>
      <c r="BM512" s="45">
        <v>0</v>
      </c>
      <c r="BN512" s="46">
        <v>0</v>
      </c>
      <c r="BO512" s="45">
        <v>0</v>
      </c>
      <c r="BP512" s="46">
        <v>0</v>
      </c>
      <c r="BQ512" s="45">
        <v>0</v>
      </c>
      <c r="BR512" s="46">
        <v>0</v>
      </c>
      <c r="BS512" s="45">
        <v>6</v>
      </c>
      <c r="BT512" s="46">
        <v>37.5</v>
      </c>
      <c r="BU512" s="45">
        <v>16</v>
      </c>
    </row>
    <row r="513" spans="1:73" ht="15">
      <c r="A513" s="61" t="s">
        <v>248</v>
      </c>
      <c r="B513" s="61" t="s">
        <v>510</v>
      </c>
      <c r="C513" s="62" t="s">
        <v>11692</v>
      </c>
      <c r="D513" s="63">
        <v>3</v>
      </c>
      <c r="E513" s="64" t="s">
        <v>132</v>
      </c>
      <c r="F513" s="65">
        <v>32</v>
      </c>
      <c r="G513" s="62"/>
      <c r="H513" s="66"/>
      <c r="I513" s="67"/>
      <c r="J513" s="67"/>
      <c r="K513" s="31" t="s">
        <v>65</v>
      </c>
      <c r="L513" s="75">
        <v>513</v>
      </c>
      <c r="M513" s="75"/>
      <c r="N513" s="69"/>
      <c r="O513" s="77" t="s">
        <v>539</v>
      </c>
      <c r="P513" s="79">
        <v>45160.583865740744</v>
      </c>
      <c r="Q513" s="77" t="s">
        <v>628</v>
      </c>
      <c r="R513" s="77">
        <v>0</v>
      </c>
      <c r="S513" s="77">
        <v>2</v>
      </c>
      <c r="T513" s="77">
        <v>1</v>
      </c>
      <c r="U513" s="77">
        <v>0</v>
      </c>
      <c r="V513" s="77">
        <v>29</v>
      </c>
      <c r="W513" s="81" t="s">
        <v>708</v>
      </c>
      <c r="X513" s="83" t="str">
        <f>HYPERLINK("https://bit.ly/3OIsKeT")</f>
        <v>https://bit.ly/3OIsKeT</v>
      </c>
      <c r="Y513" s="77" t="s">
        <v>740</v>
      </c>
      <c r="Z513" s="77" t="s">
        <v>797</v>
      </c>
      <c r="AA513" s="77"/>
      <c r="AB513" s="77"/>
      <c r="AC513" s="81" t="s">
        <v>857</v>
      </c>
      <c r="AD513" s="77" t="s">
        <v>859</v>
      </c>
      <c r="AE513" s="83" t="str">
        <f>HYPERLINK("https://twitter.com/connectedaction/status/1693986574193873027")</f>
        <v>https://twitter.com/connectedaction/status/1693986574193873027</v>
      </c>
      <c r="AF513" s="79">
        <v>45160.583865740744</v>
      </c>
      <c r="AG513" s="85">
        <v>45160</v>
      </c>
      <c r="AH513" s="81" t="s">
        <v>956</v>
      </c>
      <c r="AI513" s="77" t="b">
        <v>0</v>
      </c>
      <c r="AJ513" s="77"/>
      <c r="AK513" s="77"/>
      <c r="AL513" s="77"/>
      <c r="AM513" s="77"/>
      <c r="AN513" s="77"/>
      <c r="AO513" s="77"/>
      <c r="AP513" s="77"/>
      <c r="AQ513" s="77"/>
      <c r="AR513" s="77"/>
      <c r="AS513" s="77"/>
      <c r="AT513" s="77"/>
      <c r="AU513" s="77"/>
      <c r="AV513" s="83" t="str">
        <f>HYPERLINK("https://pbs.twimg.com/profile_images/1058449535112867841/JP-rVYlW_normal.jpg")</f>
        <v>https://pbs.twimg.com/profile_images/1058449535112867841/JP-rVYlW_normal.jpg</v>
      </c>
      <c r="AW513" s="81" t="s">
        <v>1111</v>
      </c>
      <c r="AX513" s="81" t="s">
        <v>1111</v>
      </c>
      <c r="AY513" s="77"/>
      <c r="AZ513" s="81" t="s">
        <v>1190</v>
      </c>
      <c r="BA513" s="81" t="s">
        <v>1190</v>
      </c>
      <c r="BB513" s="81" t="s">
        <v>1190</v>
      </c>
      <c r="BC513" s="81" t="s">
        <v>1111</v>
      </c>
      <c r="BD513" s="77">
        <v>98097823</v>
      </c>
      <c r="BE513" s="77"/>
      <c r="BF513" s="77"/>
      <c r="BG513" s="77"/>
      <c r="BH513" s="77"/>
      <c r="BI513" s="77"/>
      <c r="BJ513">
        <v>1</v>
      </c>
      <c r="BK513" s="76" t="str">
        <f>REPLACE(INDEX(GroupVertices[Group],MATCH(Edges[[#This Row],[Vertex 1]],GroupVertices[Vertex],0)),1,1,"")</f>
        <v>6</v>
      </c>
      <c r="BL513" s="76" t="str">
        <f>REPLACE(INDEX(GroupVertices[Group],MATCH(Edges[[#This Row],[Vertex 2]],GroupVertices[Vertex],0)),1,1,"")</f>
        <v>6</v>
      </c>
      <c r="BM513" s="45"/>
      <c r="BN513" s="46"/>
      <c r="BO513" s="45"/>
      <c r="BP513" s="46"/>
      <c r="BQ513" s="45"/>
      <c r="BR513" s="46"/>
      <c r="BS513" s="45"/>
      <c r="BT513" s="46"/>
      <c r="BU513" s="45"/>
    </row>
    <row r="514" spans="1:73" ht="15">
      <c r="A514" s="61" t="s">
        <v>248</v>
      </c>
      <c r="B514" s="61" t="s">
        <v>511</v>
      </c>
      <c r="C514" s="62" t="s">
        <v>11692</v>
      </c>
      <c r="D514" s="63">
        <v>3</v>
      </c>
      <c r="E514" s="64" t="s">
        <v>132</v>
      </c>
      <c r="F514" s="65">
        <v>32</v>
      </c>
      <c r="G514" s="62"/>
      <c r="H514" s="66"/>
      <c r="I514" s="67"/>
      <c r="J514" s="67"/>
      <c r="K514" s="31" t="s">
        <v>65</v>
      </c>
      <c r="L514" s="75">
        <v>514</v>
      </c>
      <c r="M514" s="75"/>
      <c r="N514" s="69"/>
      <c r="O514" s="77" t="s">
        <v>539</v>
      </c>
      <c r="P514" s="79">
        <v>45160.583865740744</v>
      </c>
      <c r="Q514" s="77" t="s">
        <v>628</v>
      </c>
      <c r="R514" s="77">
        <v>0</v>
      </c>
      <c r="S514" s="77">
        <v>2</v>
      </c>
      <c r="T514" s="77">
        <v>1</v>
      </c>
      <c r="U514" s="77">
        <v>0</v>
      </c>
      <c r="V514" s="77">
        <v>29</v>
      </c>
      <c r="W514" s="81" t="s">
        <v>708</v>
      </c>
      <c r="X514" s="83" t="str">
        <f>HYPERLINK("https://bit.ly/3OIsKeT")</f>
        <v>https://bit.ly/3OIsKeT</v>
      </c>
      <c r="Y514" s="77" t="s">
        <v>740</v>
      </c>
      <c r="Z514" s="77" t="s">
        <v>797</v>
      </c>
      <c r="AA514" s="77"/>
      <c r="AB514" s="77"/>
      <c r="AC514" s="81" t="s">
        <v>857</v>
      </c>
      <c r="AD514" s="77" t="s">
        <v>859</v>
      </c>
      <c r="AE514" s="83" t="str">
        <f>HYPERLINK("https://twitter.com/connectedaction/status/1693986574193873027")</f>
        <v>https://twitter.com/connectedaction/status/1693986574193873027</v>
      </c>
      <c r="AF514" s="79">
        <v>45160.583865740744</v>
      </c>
      <c r="AG514" s="85">
        <v>45160</v>
      </c>
      <c r="AH514" s="81" t="s">
        <v>956</v>
      </c>
      <c r="AI514" s="77" t="b">
        <v>0</v>
      </c>
      <c r="AJ514" s="77"/>
      <c r="AK514" s="77"/>
      <c r="AL514" s="77"/>
      <c r="AM514" s="77"/>
      <c r="AN514" s="77"/>
      <c r="AO514" s="77"/>
      <c r="AP514" s="77"/>
      <c r="AQ514" s="77"/>
      <c r="AR514" s="77"/>
      <c r="AS514" s="77"/>
      <c r="AT514" s="77"/>
      <c r="AU514" s="77"/>
      <c r="AV514" s="83" t="str">
        <f>HYPERLINK("https://pbs.twimg.com/profile_images/1058449535112867841/JP-rVYlW_normal.jpg")</f>
        <v>https://pbs.twimg.com/profile_images/1058449535112867841/JP-rVYlW_normal.jpg</v>
      </c>
      <c r="AW514" s="81" t="s">
        <v>1111</v>
      </c>
      <c r="AX514" s="81" t="s">
        <v>1111</v>
      </c>
      <c r="AY514" s="77"/>
      <c r="AZ514" s="81" t="s">
        <v>1190</v>
      </c>
      <c r="BA514" s="81" t="s">
        <v>1190</v>
      </c>
      <c r="BB514" s="81" t="s">
        <v>1190</v>
      </c>
      <c r="BC514" s="81" t="s">
        <v>1111</v>
      </c>
      <c r="BD514" s="77">
        <v>98097823</v>
      </c>
      <c r="BE514" s="77"/>
      <c r="BF514" s="77"/>
      <c r="BG514" s="77"/>
      <c r="BH514" s="77"/>
      <c r="BI514" s="77"/>
      <c r="BJ514">
        <v>1</v>
      </c>
      <c r="BK514" s="76" t="str">
        <f>REPLACE(INDEX(GroupVertices[Group],MATCH(Edges[[#This Row],[Vertex 1]],GroupVertices[Vertex],0)),1,1,"")</f>
        <v>6</v>
      </c>
      <c r="BL514" s="76" t="str">
        <f>REPLACE(INDEX(GroupVertices[Group],MATCH(Edges[[#This Row],[Vertex 2]],GroupVertices[Vertex],0)),1,1,"")</f>
        <v>6</v>
      </c>
      <c r="BM514" s="45"/>
      <c r="BN514" s="46"/>
      <c r="BO514" s="45"/>
      <c r="BP514" s="46"/>
      <c r="BQ514" s="45"/>
      <c r="BR514" s="46"/>
      <c r="BS514" s="45"/>
      <c r="BT514" s="46"/>
      <c r="BU514" s="45"/>
    </row>
    <row r="515" spans="1:73" ht="15">
      <c r="A515" s="61" t="s">
        <v>248</v>
      </c>
      <c r="B515" s="61" t="s">
        <v>512</v>
      </c>
      <c r="C515" s="62" t="s">
        <v>11692</v>
      </c>
      <c r="D515" s="63">
        <v>3</v>
      </c>
      <c r="E515" s="64" t="s">
        <v>132</v>
      </c>
      <c r="F515" s="65">
        <v>32</v>
      </c>
      <c r="G515" s="62"/>
      <c r="H515" s="66"/>
      <c r="I515" s="67"/>
      <c r="J515" s="67"/>
      <c r="K515" s="31" t="s">
        <v>65</v>
      </c>
      <c r="L515" s="75">
        <v>515</v>
      </c>
      <c r="M515" s="75"/>
      <c r="N515" s="69"/>
      <c r="O515" s="77" t="s">
        <v>539</v>
      </c>
      <c r="P515" s="79">
        <v>45160.583865740744</v>
      </c>
      <c r="Q515" s="77" t="s">
        <v>628</v>
      </c>
      <c r="R515" s="77">
        <v>0</v>
      </c>
      <c r="S515" s="77">
        <v>2</v>
      </c>
      <c r="T515" s="77">
        <v>1</v>
      </c>
      <c r="U515" s="77">
        <v>0</v>
      </c>
      <c r="V515" s="77">
        <v>29</v>
      </c>
      <c r="W515" s="81" t="s">
        <v>708</v>
      </c>
      <c r="X515" s="83" t="str">
        <f>HYPERLINK("https://bit.ly/3OIsKeT")</f>
        <v>https://bit.ly/3OIsKeT</v>
      </c>
      <c r="Y515" s="77" t="s">
        <v>740</v>
      </c>
      <c r="Z515" s="77" t="s">
        <v>797</v>
      </c>
      <c r="AA515" s="77"/>
      <c r="AB515" s="77"/>
      <c r="AC515" s="81" t="s">
        <v>857</v>
      </c>
      <c r="AD515" s="77" t="s">
        <v>859</v>
      </c>
      <c r="AE515" s="83" t="str">
        <f>HYPERLINK("https://twitter.com/connectedaction/status/1693986574193873027")</f>
        <v>https://twitter.com/connectedaction/status/1693986574193873027</v>
      </c>
      <c r="AF515" s="79">
        <v>45160.583865740744</v>
      </c>
      <c r="AG515" s="85">
        <v>45160</v>
      </c>
      <c r="AH515" s="81" t="s">
        <v>956</v>
      </c>
      <c r="AI515" s="77" t="b">
        <v>0</v>
      </c>
      <c r="AJ515" s="77"/>
      <c r="AK515" s="77"/>
      <c r="AL515" s="77"/>
      <c r="AM515" s="77"/>
      <c r="AN515" s="77"/>
      <c r="AO515" s="77"/>
      <c r="AP515" s="77"/>
      <c r="AQ515" s="77"/>
      <c r="AR515" s="77"/>
      <c r="AS515" s="77"/>
      <c r="AT515" s="77"/>
      <c r="AU515" s="77"/>
      <c r="AV515" s="83" t="str">
        <f>HYPERLINK("https://pbs.twimg.com/profile_images/1058449535112867841/JP-rVYlW_normal.jpg")</f>
        <v>https://pbs.twimg.com/profile_images/1058449535112867841/JP-rVYlW_normal.jpg</v>
      </c>
      <c r="AW515" s="81" t="s">
        <v>1111</v>
      </c>
      <c r="AX515" s="81" t="s">
        <v>1111</v>
      </c>
      <c r="AY515" s="77"/>
      <c r="AZ515" s="81" t="s">
        <v>1190</v>
      </c>
      <c r="BA515" s="81" t="s">
        <v>1190</v>
      </c>
      <c r="BB515" s="81" t="s">
        <v>1190</v>
      </c>
      <c r="BC515" s="81" t="s">
        <v>1111</v>
      </c>
      <c r="BD515" s="77">
        <v>98097823</v>
      </c>
      <c r="BE515" s="77"/>
      <c r="BF515" s="77"/>
      <c r="BG515" s="77"/>
      <c r="BH515" s="77"/>
      <c r="BI515" s="77"/>
      <c r="BJ515">
        <v>1</v>
      </c>
      <c r="BK515" s="76" t="str">
        <f>REPLACE(INDEX(GroupVertices[Group],MATCH(Edges[[#This Row],[Vertex 1]],GroupVertices[Vertex],0)),1,1,"")</f>
        <v>6</v>
      </c>
      <c r="BL515" s="76" t="str">
        <f>REPLACE(INDEX(GroupVertices[Group],MATCH(Edges[[#This Row],[Vertex 2]],GroupVertices[Vertex],0)),1,1,"")</f>
        <v>6</v>
      </c>
      <c r="BM515" s="45"/>
      <c r="BN515" s="46"/>
      <c r="BO515" s="45"/>
      <c r="BP515" s="46"/>
      <c r="BQ515" s="45"/>
      <c r="BR515" s="46"/>
      <c r="BS515" s="45"/>
      <c r="BT515" s="46"/>
      <c r="BU515" s="45"/>
    </row>
    <row r="516" spans="1:73" ht="15">
      <c r="A516" s="61" t="s">
        <v>248</v>
      </c>
      <c r="B516" s="61" t="s">
        <v>513</v>
      </c>
      <c r="C516" s="62" t="s">
        <v>11692</v>
      </c>
      <c r="D516" s="63">
        <v>3</v>
      </c>
      <c r="E516" s="64" t="s">
        <v>132</v>
      </c>
      <c r="F516" s="65">
        <v>32</v>
      </c>
      <c r="G516" s="62"/>
      <c r="H516" s="66"/>
      <c r="I516" s="67"/>
      <c r="J516" s="67"/>
      <c r="K516" s="31" t="s">
        <v>65</v>
      </c>
      <c r="L516" s="75">
        <v>516</v>
      </c>
      <c r="M516" s="75"/>
      <c r="N516" s="69"/>
      <c r="O516" s="77" t="s">
        <v>539</v>
      </c>
      <c r="P516" s="79">
        <v>45160.583865740744</v>
      </c>
      <c r="Q516" s="77" t="s">
        <v>628</v>
      </c>
      <c r="R516" s="77">
        <v>0</v>
      </c>
      <c r="S516" s="77">
        <v>2</v>
      </c>
      <c r="T516" s="77">
        <v>1</v>
      </c>
      <c r="U516" s="77">
        <v>0</v>
      </c>
      <c r="V516" s="77">
        <v>29</v>
      </c>
      <c r="W516" s="81" t="s">
        <v>708</v>
      </c>
      <c r="X516" s="83" t="str">
        <f>HYPERLINK("https://bit.ly/3OIsKeT")</f>
        <v>https://bit.ly/3OIsKeT</v>
      </c>
      <c r="Y516" s="77" t="s">
        <v>740</v>
      </c>
      <c r="Z516" s="77" t="s">
        <v>797</v>
      </c>
      <c r="AA516" s="77"/>
      <c r="AB516" s="77"/>
      <c r="AC516" s="81" t="s">
        <v>857</v>
      </c>
      <c r="AD516" s="77" t="s">
        <v>859</v>
      </c>
      <c r="AE516" s="83" t="str">
        <f>HYPERLINK("https://twitter.com/connectedaction/status/1693986574193873027")</f>
        <v>https://twitter.com/connectedaction/status/1693986574193873027</v>
      </c>
      <c r="AF516" s="79">
        <v>45160.583865740744</v>
      </c>
      <c r="AG516" s="85">
        <v>45160</v>
      </c>
      <c r="AH516" s="81" t="s">
        <v>956</v>
      </c>
      <c r="AI516" s="77" t="b">
        <v>0</v>
      </c>
      <c r="AJ516" s="77"/>
      <c r="AK516" s="77"/>
      <c r="AL516" s="77"/>
      <c r="AM516" s="77"/>
      <c r="AN516" s="77"/>
      <c r="AO516" s="77"/>
      <c r="AP516" s="77"/>
      <c r="AQ516" s="77"/>
      <c r="AR516" s="77"/>
      <c r="AS516" s="77"/>
      <c r="AT516" s="77"/>
      <c r="AU516" s="77"/>
      <c r="AV516" s="83" t="str">
        <f>HYPERLINK("https://pbs.twimg.com/profile_images/1058449535112867841/JP-rVYlW_normal.jpg")</f>
        <v>https://pbs.twimg.com/profile_images/1058449535112867841/JP-rVYlW_normal.jpg</v>
      </c>
      <c r="AW516" s="81" t="s">
        <v>1111</v>
      </c>
      <c r="AX516" s="81" t="s">
        <v>1111</v>
      </c>
      <c r="AY516" s="77"/>
      <c r="AZ516" s="81" t="s">
        <v>1190</v>
      </c>
      <c r="BA516" s="81" t="s">
        <v>1190</v>
      </c>
      <c r="BB516" s="81" t="s">
        <v>1190</v>
      </c>
      <c r="BC516" s="81" t="s">
        <v>1111</v>
      </c>
      <c r="BD516" s="77">
        <v>98097823</v>
      </c>
      <c r="BE516" s="77"/>
      <c r="BF516" s="77"/>
      <c r="BG516" s="77"/>
      <c r="BH516" s="77"/>
      <c r="BI516" s="77"/>
      <c r="BJ516">
        <v>1</v>
      </c>
      <c r="BK516" s="76" t="str">
        <f>REPLACE(INDEX(GroupVertices[Group],MATCH(Edges[[#This Row],[Vertex 1]],GroupVertices[Vertex],0)),1,1,"")</f>
        <v>6</v>
      </c>
      <c r="BL516" s="76" t="str">
        <f>REPLACE(INDEX(GroupVertices[Group],MATCH(Edges[[#This Row],[Vertex 2]],GroupVertices[Vertex],0)),1,1,"")</f>
        <v>6</v>
      </c>
      <c r="BM516" s="45"/>
      <c r="BN516" s="46"/>
      <c r="BO516" s="45"/>
      <c r="BP516" s="46"/>
      <c r="BQ516" s="45"/>
      <c r="BR516" s="46"/>
      <c r="BS516" s="45"/>
      <c r="BT516" s="46"/>
      <c r="BU516" s="45"/>
    </row>
    <row r="517" spans="1:73" ht="15">
      <c r="A517" s="61" t="s">
        <v>248</v>
      </c>
      <c r="B517" s="61" t="s">
        <v>514</v>
      </c>
      <c r="C517" s="62" t="s">
        <v>11692</v>
      </c>
      <c r="D517" s="63">
        <v>3</v>
      </c>
      <c r="E517" s="64" t="s">
        <v>132</v>
      </c>
      <c r="F517" s="65">
        <v>32</v>
      </c>
      <c r="G517" s="62"/>
      <c r="H517" s="66"/>
      <c r="I517" s="67"/>
      <c r="J517" s="67"/>
      <c r="K517" s="31" t="s">
        <v>65</v>
      </c>
      <c r="L517" s="75">
        <v>517</v>
      </c>
      <c r="M517" s="75"/>
      <c r="N517" s="69"/>
      <c r="O517" s="77" t="s">
        <v>539</v>
      </c>
      <c r="P517" s="79">
        <v>45160.583865740744</v>
      </c>
      <c r="Q517" s="77" t="s">
        <v>628</v>
      </c>
      <c r="R517" s="77">
        <v>0</v>
      </c>
      <c r="S517" s="77">
        <v>2</v>
      </c>
      <c r="T517" s="77">
        <v>1</v>
      </c>
      <c r="U517" s="77">
        <v>0</v>
      </c>
      <c r="V517" s="77">
        <v>29</v>
      </c>
      <c r="W517" s="81" t="s">
        <v>708</v>
      </c>
      <c r="X517" s="83" t="str">
        <f>HYPERLINK("https://bit.ly/3OIsKeT")</f>
        <v>https://bit.ly/3OIsKeT</v>
      </c>
      <c r="Y517" s="77" t="s">
        <v>740</v>
      </c>
      <c r="Z517" s="77" t="s">
        <v>797</v>
      </c>
      <c r="AA517" s="77"/>
      <c r="AB517" s="77"/>
      <c r="AC517" s="81" t="s">
        <v>857</v>
      </c>
      <c r="AD517" s="77" t="s">
        <v>859</v>
      </c>
      <c r="AE517" s="83" t="str">
        <f>HYPERLINK("https://twitter.com/connectedaction/status/1693986574193873027")</f>
        <v>https://twitter.com/connectedaction/status/1693986574193873027</v>
      </c>
      <c r="AF517" s="79">
        <v>45160.583865740744</v>
      </c>
      <c r="AG517" s="85">
        <v>45160</v>
      </c>
      <c r="AH517" s="81" t="s">
        <v>956</v>
      </c>
      <c r="AI517" s="77" t="b">
        <v>0</v>
      </c>
      <c r="AJ517" s="77"/>
      <c r="AK517" s="77"/>
      <c r="AL517" s="77"/>
      <c r="AM517" s="77"/>
      <c r="AN517" s="77"/>
      <c r="AO517" s="77"/>
      <c r="AP517" s="77"/>
      <c r="AQ517" s="77"/>
      <c r="AR517" s="77"/>
      <c r="AS517" s="77"/>
      <c r="AT517" s="77"/>
      <c r="AU517" s="77"/>
      <c r="AV517" s="83" t="str">
        <f>HYPERLINK("https://pbs.twimg.com/profile_images/1058449535112867841/JP-rVYlW_normal.jpg")</f>
        <v>https://pbs.twimg.com/profile_images/1058449535112867841/JP-rVYlW_normal.jpg</v>
      </c>
      <c r="AW517" s="81" t="s">
        <v>1111</v>
      </c>
      <c r="AX517" s="81" t="s">
        <v>1111</v>
      </c>
      <c r="AY517" s="77"/>
      <c r="AZ517" s="81" t="s">
        <v>1190</v>
      </c>
      <c r="BA517" s="81" t="s">
        <v>1190</v>
      </c>
      <c r="BB517" s="81" t="s">
        <v>1190</v>
      </c>
      <c r="BC517" s="81" t="s">
        <v>1111</v>
      </c>
      <c r="BD517" s="77">
        <v>98097823</v>
      </c>
      <c r="BE517" s="77"/>
      <c r="BF517" s="77"/>
      <c r="BG517" s="77"/>
      <c r="BH517" s="77"/>
      <c r="BI517" s="77"/>
      <c r="BJ517">
        <v>1</v>
      </c>
      <c r="BK517" s="76" t="str">
        <f>REPLACE(INDEX(GroupVertices[Group],MATCH(Edges[[#This Row],[Vertex 1]],GroupVertices[Vertex],0)),1,1,"")</f>
        <v>6</v>
      </c>
      <c r="BL517" s="76" t="str">
        <f>REPLACE(INDEX(GroupVertices[Group],MATCH(Edges[[#This Row],[Vertex 2]],GroupVertices[Vertex],0)),1,1,"")</f>
        <v>6</v>
      </c>
      <c r="BM517" s="45"/>
      <c r="BN517" s="46"/>
      <c r="BO517" s="45"/>
      <c r="BP517" s="46"/>
      <c r="BQ517" s="45"/>
      <c r="BR517" s="46"/>
      <c r="BS517" s="45"/>
      <c r="BT517" s="46"/>
      <c r="BU517" s="45"/>
    </row>
    <row r="518" spans="1:73" ht="15">
      <c r="A518" s="61" t="s">
        <v>248</v>
      </c>
      <c r="B518" s="61" t="s">
        <v>515</v>
      </c>
      <c r="C518" s="62" t="s">
        <v>11692</v>
      </c>
      <c r="D518" s="63">
        <v>3</v>
      </c>
      <c r="E518" s="64" t="s">
        <v>132</v>
      </c>
      <c r="F518" s="65">
        <v>32</v>
      </c>
      <c r="G518" s="62"/>
      <c r="H518" s="66"/>
      <c r="I518" s="67"/>
      <c r="J518" s="67"/>
      <c r="K518" s="31" t="s">
        <v>65</v>
      </c>
      <c r="L518" s="75">
        <v>518</v>
      </c>
      <c r="M518" s="75"/>
      <c r="N518" s="69"/>
      <c r="O518" s="77" t="s">
        <v>539</v>
      </c>
      <c r="P518" s="79">
        <v>45160.583865740744</v>
      </c>
      <c r="Q518" s="77" t="s">
        <v>628</v>
      </c>
      <c r="R518" s="77">
        <v>0</v>
      </c>
      <c r="S518" s="77">
        <v>2</v>
      </c>
      <c r="T518" s="77">
        <v>1</v>
      </c>
      <c r="U518" s="77">
        <v>0</v>
      </c>
      <c r="V518" s="77">
        <v>29</v>
      </c>
      <c r="W518" s="81" t="s">
        <v>708</v>
      </c>
      <c r="X518" s="83" t="str">
        <f>HYPERLINK("https://bit.ly/3OIsKeT")</f>
        <v>https://bit.ly/3OIsKeT</v>
      </c>
      <c r="Y518" s="77" t="s">
        <v>740</v>
      </c>
      <c r="Z518" s="77" t="s">
        <v>797</v>
      </c>
      <c r="AA518" s="77"/>
      <c r="AB518" s="77"/>
      <c r="AC518" s="81" t="s">
        <v>857</v>
      </c>
      <c r="AD518" s="77" t="s">
        <v>859</v>
      </c>
      <c r="AE518" s="83" t="str">
        <f>HYPERLINK("https://twitter.com/connectedaction/status/1693986574193873027")</f>
        <v>https://twitter.com/connectedaction/status/1693986574193873027</v>
      </c>
      <c r="AF518" s="79">
        <v>45160.583865740744</v>
      </c>
      <c r="AG518" s="85">
        <v>45160</v>
      </c>
      <c r="AH518" s="81" t="s">
        <v>956</v>
      </c>
      <c r="AI518" s="77" t="b">
        <v>0</v>
      </c>
      <c r="AJ518" s="77"/>
      <c r="AK518" s="77"/>
      <c r="AL518" s="77"/>
      <c r="AM518" s="77"/>
      <c r="AN518" s="77"/>
      <c r="AO518" s="77"/>
      <c r="AP518" s="77"/>
      <c r="AQ518" s="77"/>
      <c r="AR518" s="77"/>
      <c r="AS518" s="77"/>
      <c r="AT518" s="77"/>
      <c r="AU518" s="77"/>
      <c r="AV518" s="83" t="str">
        <f>HYPERLINK("https://pbs.twimg.com/profile_images/1058449535112867841/JP-rVYlW_normal.jpg")</f>
        <v>https://pbs.twimg.com/profile_images/1058449535112867841/JP-rVYlW_normal.jpg</v>
      </c>
      <c r="AW518" s="81" t="s">
        <v>1111</v>
      </c>
      <c r="AX518" s="81" t="s">
        <v>1111</v>
      </c>
      <c r="AY518" s="77"/>
      <c r="AZ518" s="81" t="s">
        <v>1190</v>
      </c>
      <c r="BA518" s="81" t="s">
        <v>1190</v>
      </c>
      <c r="BB518" s="81" t="s">
        <v>1190</v>
      </c>
      <c r="BC518" s="81" t="s">
        <v>1111</v>
      </c>
      <c r="BD518" s="77">
        <v>98097823</v>
      </c>
      <c r="BE518" s="77"/>
      <c r="BF518" s="77"/>
      <c r="BG518" s="77"/>
      <c r="BH518" s="77"/>
      <c r="BI518" s="77"/>
      <c r="BJ518">
        <v>1</v>
      </c>
      <c r="BK518" s="76" t="str">
        <f>REPLACE(INDEX(GroupVertices[Group],MATCH(Edges[[#This Row],[Vertex 1]],GroupVertices[Vertex],0)),1,1,"")</f>
        <v>6</v>
      </c>
      <c r="BL518" s="76" t="str">
        <f>REPLACE(INDEX(GroupVertices[Group],MATCH(Edges[[#This Row],[Vertex 2]],GroupVertices[Vertex],0)),1,1,"")</f>
        <v>6</v>
      </c>
      <c r="BM518" s="45"/>
      <c r="BN518" s="46"/>
      <c r="BO518" s="45"/>
      <c r="BP518" s="46"/>
      <c r="BQ518" s="45"/>
      <c r="BR518" s="46"/>
      <c r="BS518" s="45"/>
      <c r="BT518" s="46"/>
      <c r="BU518" s="45"/>
    </row>
    <row r="519" spans="1:73" ht="15">
      <c r="A519" s="61" t="s">
        <v>248</v>
      </c>
      <c r="B519" s="61" t="s">
        <v>516</v>
      </c>
      <c r="C519" s="62" t="s">
        <v>11692</v>
      </c>
      <c r="D519" s="63">
        <v>3</v>
      </c>
      <c r="E519" s="64" t="s">
        <v>132</v>
      </c>
      <c r="F519" s="65">
        <v>32</v>
      </c>
      <c r="G519" s="62"/>
      <c r="H519" s="66"/>
      <c r="I519" s="67"/>
      <c r="J519" s="67"/>
      <c r="K519" s="31" t="s">
        <v>65</v>
      </c>
      <c r="L519" s="75">
        <v>519</v>
      </c>
      <c r="M519" s="75"/>
      <c r="N519" s="69"/>
      <c r="O519" s="77" t="s">
        <v>539</v>
      </c>
      <c r="P519" s="79">
        <v>45160.583865740744</v>
      </c>
      <c r="Q519" s="77" t="s">
        <v>628</v>
      </c>
      <c r="R519" s="77">
        <v>0</v>
      </c>
      <c r="S519" s="77">
        <v>2</v>
      </c>
      <c r="T519" s="77">
        <v>1</v>
      </c>
      <c r="U519" s="77">
        <v>0</v>
      </c>
      <c r="V519" s="77">
        <v>29</v>
      </c>
      <c r="W519" s="81" t="s">
        <v>708</v>
      </c>
      <c r="X519" s="83" t="str">
        <f>HYPERLINK("https://bit.ly/3OIsKeT")</f>
        <v>https://bit.ly/3OIsKeT</v>
      </c>
      <c r="Y519" s="77" t="s">
        <v>740</v>
      </c>
      <c r="Z519" s="77" t="s">
        <v>797</v>
      </c>
      <c r="AA519" s="77"/>
      <c r="AB519" s="77"/>
      <c r="AC519" s="81" t="s">
        <v>857</v>
      </c>
      <c r="AD519" s="77" t="s">
        <v>859</v>
      </c>
      <c r="AE519" s="83" t="str">
        <f>HYPERLINK("https://twitter.com/connectedaction/status/1693986574193873027")</f>
        <v>https://twitter.com/connectedaction/status/1693986574193873027</v>
      </c>
      <c r="AF519" s="79">
        <v>45160.583865740744</v>
      </c>
      <c r="AG519" s="85">
        <v>45160</v>
      </c>
      <c r="AH519" s="81" t="s">
        <v>956</v>
      </c>
      <c r="AI519" s="77" t="b">
        <v>0</v>
      </c>
      <c r="AJ519" s="77"/>
      <c r="AK519" s="77"/>
      <c r="AL519" s="77"/>
      <c r="AM519" s="77"/>
      <c r="AN519" s="77"/>
      <c r="AO519" s="77"/>
      <c r="AP519" s="77"/>
      <c r="AQ519" s="77"/>
      <c r="AR519" s="77"/>
      <c r="AS519" s="77"/>
      <c r="AT519" s="77"/>
      <c r="AU519" s="77"/>
      <c r="AV519" s="83" t="str">
        <f>HYPERLINK("https://pbs.twimg.com/profile_images/1058449535112867841/JP-rVYlW_normal.jpg")</f>
        <v>https://pbs.twimg.com/profile_images/1058449535112867841/JP-rVYlW_normal.jpg</v>
      </c>
      <c r="AW519" s="81" t="s">
        <v>1111</v>
      </c>
      <c r="AX519" s="81" t="s">
        <v>1111</v>
      </c>
      <c r="AY519" s="77"/>
      <c r="AZ519" s="81" t="s">
        <v>1190</v>
      </c>
      <c r="BA519" s="81" t="s">
        <v>1190</v>
      </c>
      <c r="BB519" s="81" t="s">
        <v>1190</v>
      </c>
      <c r="BC519" s="81" t="s">
        <v>1111</v>
      </c>
      <c r="BD519" s="77">
        <v>98097823</v>
      </c>
      <c r="BE519" s="77"/>
      <c r="BF519" s="77"/>
      <c r="BG519" s="77"/>
      <c r="BH519" s="77"/>
      <c r="BI519" s="77"/>
      <c r="BJ519">
        <v>1</v>
      </c>
      <c r="BK519" s="76" t="str">
        <f>REPLACE(INDEX(GroupVertices[Group],MATCH(Edges[[#This Row],[Vertex 1]],GroupVertices[Vertex],0)),1,1,"")</f>
        <v>6</v>
      </c>
      <c r="BL519" s="76" t="str">
        <f>REPLACE(INDEX(GroupVertices[Group],MATCH(Edges[[#This Row],[Vertex 2]],GroupVertices[Vertex],0)),1,1,"")</f>
        <v>6</v>
      </c>
      <c r="BM519" s="45"/>
      <c r="BN519" s="46"/>
      <c r="BO519" s="45"/>
      <c r="BP519" s="46"/>
      <c r="BQ519" s="45"/>
      <c r="BR519" s="46"/>
      <c r="BS519" s="45"/>
      <c r="BT519" s="46"/>
      <c r="BU519" s="45"/>
    </row>
    <row r="520" spans="1:73" ht="15">
      <c r="A520" s="61" t="s">
        <v>248</v>
      </c>
      <c r="B520" s="61" t="s">
        <v>517</v>
      </c>
      <c r="C520" s="62" t="s">
        <v>11692</v>
      </c>
      <c r="D520" s="63">
        <v>3</v>
      </c>
      <c r="E520" s="64" t="s">
        <v>132</v>
      </c>
      <c r="F520" s="65">
        <v>32</v>
      </c>
      <c r="G520" s="62"/>
      <c r="H520" s="66"/>
      <c r="I520" s="67"/>
      <c r="J520" s="67"/>
      <c r="K520" s="31" t="s">
        <v>65</v>
      </c>
      <c r="L520" s="75">
        <v>520</v>
      </c>
      <c r="M520" s="75"/>
      <c r="N520" s="69"/>
      <c r="O520" s="77" t="s">
        <v>539</v>
      </c>
      <c r="P520" s="79">
        <v>45160.583865740744</v>
      </c>
      <c r="Q520" s="77" t="s">
        <v>628</v>
      </c>
      <c r="R520" s="77">
        <v>0</v>
      </c>
      <c r="S520" s="77">
        <v>2</v>
      </c>
      <c r="T520" s="77">
        <v>1</v>
      </c>
      <c r="U520" s="77">
        <v>0</v>
      </c>
      <c r="V520" s="77">
        <v>29</v>
      </c>
      <c r="W520" s="81" t="s">
        <v>708</v>
      </c>
      <c r="X520" s="83" t="str">
        <f>HYPERLINK("https://bit.ly/3OIsKeT")</f>
        <v>https://bit.ly/3OIsKeT</v>
      </c>
      <c r="Y520" s="77" t="s">
        <v>740</v>
      </c>
      <c r="Z520" s="77" t="s">
        <v>797</v>
      </c>
      <c r="AA520" s="77"/>
      <c r="AB520" s="77"/>
      <c r="AC520" s="81" t="s">
        <v>857</v>
      </c>
      <c r="AD520" s="77" t="s">
        <v>859</v>
      </c>
      <c r="AE520" s="83" t="str">
        <f>HYPERLINK("https://twitter.com/connectedaction/status/1693986574193873027")</f>
        <v>https://twitter.com/connectedaction/status/1693986574193873027</v>
      </c>
      <c r="AF520" s="79">
        <v>45160.583865740744</v>
      </c>
      <c r="AG520" s="85">
        <v>45160</v>
      </c>
      <c r="AH520" s="81" t="s">
        <v>956</v>
      </c>
      <c r="AI520" s="77" t="b">
        <v>0</v>
      </c>
      <c r="AJ520" s="77"/>
      <c r="AK520" s="77"/>
      <c r="AL520" s="77"/>
      <c r="AM520" s="77"/>
      <c r="AN520" s="77"/>
      <c r="AO520" s="77"/>
      <c r="AP520" s="77"/>
      <c r="AQ520" s="77"/>
      <c r="AR520" s="77"/>
      <c r="AS520" s="77"/>
      <c r="AT520" s="77"/>
      <c r="AU520" s="77"/>
      <c r="AV520" s="83" t="str">
        <f>HYPERLINK("https://pbs.twimg.com/profile_images/1058449535112867841/JP-rVYlW_normal.jpg")</f>
        <v>https://pbs.twimg.com/profile_images/1058449535112867841/JP-rVYlW_normal.jpg</v>
      </c>
      <c r="AW520" s="81" t="s">
        <v>1111</v>
      </c>
      <c r="AX520" s="81" t="s">
        <v>1111</v>
      </c>
      <c r="AY520" s="77"/>
      <c r="AZ520" s="81" t="s">
        <v>1190</v>
      </c>
      <c r="BA520" s="81" t="s">
        <v>1190</v>
      </c>
      <c r="BB520" s="81" t="s">
        <v>1190</v>
      </c>
      <c r="BC520" s="81" t="s">
        <v>1111</v>
      </c>
      <c r="BD520" s="77">
        <v>98097823</v>
      </c>
      <c r="BE520" s="77"/>
      <c r="BF520" s="77"/>
      <c r="BG520" s="77"/>
      <c r="BH520" s="77"/>
      <c r="BI520" s="77"/>
      <c r="BJ520">
        <v>1</v>
      </c>
      <c r="BK520" s="76" t="str">
        <f>REPLACE(INDEX(GroupVertices[Group],MATCH(Edges[[#This Row],[Vertex 1]],GroupVertices[Vertex],0)),1,1,"")</f>
        <v>6</v>
      </c>
      <c r="BL520" s="76" t="str">
        <f>REPLACE(INDEX(GroupVertices[Group],MATCH(Edges[[#This Row],[Vertex 2]],GroupVertices[Vertex],0)),1,1,"")</f>
        <v>6</v>
      </c>
      <c r="BM520" s="45"/>
      <c r="BN520" s="46"/>
      <c r="BO520" s="45"/>
      <c r="BP520" s="46"/>
      <c r="BQ520" s="45"/>
      <c r="BR520" s="46"/>
      <c r="BS520" s="45"/>
      <c r="BT520" s="46"/>
      <c r="BU520" s="45"/>
    </row>
    <row r="521" spans="1:73" ht="15">
      <c r="A521" s="61" t="s">
        <v>248</v>
      </c>
      <c r="B521" s="61" t="s">
        <v>518</v>
      </c>
      <c r="C521" s="62" t="s">
        <v>11692</v>
      </c>
      <c r="D521" s="63">
        <v>3</v>
      </c>
      <c r="E521" s="64" t="s">
        <v>132</v>
      </c>
      <c r="F521" s="65">
        <v>32</v>
      </c>
      <c r="G521" s="62"/>
      <c r="H521" s="66"/>
      <c r="I521" s="67"/>
      <c r="J521" s="67"/>
      <c r="K521" s="31" t="s">
        <v>65</v>
      </c>
      <c r="L521" s="75">
        <v>521</v>
      </c>
      <c r="M521" s="75"/>
      <c r="N521" s="69"/>
      <c r="O521" s="77" t="s">
        <v>539</v>
      </c>
      <c r="P521" s="79">
        <v>45160.583865740744</v>
      </c>
      <c r="Q521" s="77" t="s">
        <v>628</v>
      </c>
      <c r="R521" s="77">
        <v>0</v>
      </c>
      <c r="S521" s="77">
        <v>2</v>
      </c>
      <c r="T521" s="77">
        <v>1</v>
      </c>
      <c r="U521" s="77">
        <v>0</v>
      </c>
      <c r="V521" s="77">
        <v>29</v>
      </c>
      <c r="W521" s="81" t="s">
        <v>708</v>
      </c>
      <c r="X521" s="83" t="str">
        <f>HYPERLINK("https://bit.ly/3OIsKeT")</f>
        <v>https://bit.ly/3OIsKeT</v>
      </c>
      <c r="Y521" s="77" t="s">
        <v>740</v>
      </c>
      <c r="Z521" s="77" t="s">
        <v>797</v>
      </c>
      <c r="AA521" s="77"/>
      <c r="AB521" s="77"/>
      <c r="AC521" s="81" t="s">
        <v>857</v>
      </c>
      <c r="AD521" s="77" t="s">
        <v>859</v>
      </c>
      <c r="AE521" s="83" t="str">
        <f>HYPERLINK("https://twitter.com/connectedaction/status/1693986574193873027")</f>
        <v>https://twitter.com/connectedaction/status/1693986574193873027</v>
      </c>
      <c r="AF521" s="79">
        <v>45160.583865740744</v>
      </c>
      <c r="AG521" s="85">
        <v>45160</v>
      </c>
      <c r="AH521" s="81" t="s">
        <v>956</v>
      </c>
      <c r="AI521" s="77" t="b">
        <v>0</v>
      </c>
      <c r="AJ521" s="77"/>
      <c r="AK521" s="77"/>
      <c r="AL521" s="77"/>
      <c r="AM521" s="77"/>
      <c r="AN521" s="77"/>
      <c r="AO521" s="77"/>
      <c r="AP521" s="77"/>
      <c r="AQ521" s="77"/>
      <c r="AR521" s="77"/>
      <c r="AS521" s="77"/>
      <c r="AT521" s="77"/>
      <c r="AU521" s="77"/>
      <c r="AV521" s="83" t="str">
        <f>HYPERLINK("https://pbs.twimg.com/profile_images/1058449535112867841/JP-rVYlW_normal.jpg")</f>
        <v>https://pbs.twimg.com/profile_images/1058449535112867841/JP-rVYlW_normal.jpg</v>
      </c>
      <c r="AW521" s="81" t="s">
        <v>1111</v>
      </c>
      <c r="AX521" s="81" t="s">
        <v>1111</v>
      </c>
      <c r="AY521" s="77"/>
      <c r="AZ521" s="81" t="s">
        <v>1190</v>
      </c>
      <c r="BA521" s="81" t="s">
        <v>1190</v>
      </c>
      <c r="BB521" s="81" t="s">
        <v>1190</v>
      </c>
      <c r="BC521" s="81" t="s">
        <v>1111</v>
      </c>
      <c r="BD521" s="77">
        <v>98097823</v>
      </c>
      <c r="BE521" s="77"/>
      <c r="BF521" s="77"/>
      <c r="BG521" s="77"/>
      <c r="BH521" s="77"/>
      <c r="BI521" s="77"/>
      <c r="BJ521">
        <v>1</v>
      </c>
      <c r="BK521" s="76" t="str">
        <f>REPLACE(INDEX(GroupVertices[Group],MATCH(Edges[[#This Row],[Vertex 1]],GroupVertices[Vertex],0)),1,1,"")</f>
        <v>6</v>
      </c>
      <c r="BL521" s="76" t="str">
        <f>REPLACE(INDEX(GroupVertices[Group],MATCH(Edges[[#This Row],[Vertex 2]],GroupVertices[Vertex],0)),1,1,"")</f>
        <v>6</v>
      </c>
      <c r="BM521" s="45"/>
      <c r="BN521" s="46"/>
      <c r="BO521" s="45"/>
      <c r="BP521" s="46"/>
      <c r="BQ521" s="45"/>
      <c r="BR521" s="46"/>
      <c r="BS521" s="45"/>
      <c r="BT521" s="46"/>
      <c r="BU521" s="45"/>
    </row>
    <row r="522" spans="1:73" ht="15">
      <c r="A522" s="61" t="s">
        <v>248</v>
      </c>
      <c r="B522" s="61" t="s">
        <v>519</v>
      </c>
      <c r="C522" s="62" t="s">
        <v>11692</v>
      </c>
      <c r="D522" s="63">
        <v>3</v>
      </c>
      <c r="E522" s="64" t="s">
        <v>132</v>
      </c>
      <c r="F522" s="65">
        <v>32</v>
      </c>
      <c r="G522" s="62"/>
      <c r="H522" s="66"/>
      <c r="I522" s="67"/>
      <c r="J522" s="67"/>
      <c r="K522" s="31" t="s">
        <v>65</v>
      </c>
      <c r="L522" s="75">
        <v>522</v>
      </c>
      <c r="M522" s="75"/>
      <c r="N522" s="69"/>
      <c r="O522" s="77" t="s">
        <v>539</v>
      </c>
      <c r="P522" s="79">
        <v>45160.583865740744</v>
      </c>
      <c r="Q522" s="77" t="s">
        <v>628</v>
      </c>
      <c r="R522" s="77">
        <v>0</v>
      </c>
      <c r="S522" s="77">
        <v>2</v>
      </c>
      <c r="T522" s="77">
        <v>1</v>
      </c>
      <c r="U522" s="77">
        <v>0</v>
      </c>
      <c r="V522" s="77">
        <v>29</v>
      </c>
      <c r="W522" s="81" t="s">
        <v>708</v>
      </c>
      <c r="X522" s="83" t="str">
        <f>HYPERLINK("https://bit.ly/3OIsKeT")</f>
        <v>https://bit.ly/3OIsKeT</v>
      </c>
      <c r="Y522" s="77" t="s">
        <v>740</v>
      </c>
      <c r="Z522" s="77" t="s">
        <v>797</v>
      </c>
      <c r="AA522" s="77"/>
      <c r="AB522" s="77"/>
      <c r="AC522" s="81" t="s">
        <v>857</v>
      </c>
      <c r="AD522" s="77" t="s">
        <v>859</v>
      </c>
      <c r="AE522" s="83" t="str">
        <f>HYPERLINK("https://twitter.com/connectedaction/status/1693986574193873027")</f>
        <v>https://twitter.com/connectedaction/status/1693986574193873027</v>
      </c>
      <c r="AF522" s="79">
        <v>45160.583865740744</v>
      </c>
      <c r="AG522" s="85">
        <v>45160</v>
      </c>
      <c r="AH522" s="81" t="s">
        <v>956</v>
      </c>
      <c r="AI522" s="77" t="b">
        <v>0</v>
      </c>
      <c r="AJ522" s="77"/>
      <c r="AK522" s="77"/>
      <c r="AL522" s="77"/>
      <c r="AM522" s="77"/>
      <c r="AN522" s="77"/>
      <c r="AO522" s="77"/>
      <c r="AP522" s="77"/>
      <c r="AQ522" s="77"/>
      <c r="AR522" s="77"/>
      <c r="AS522" s="77"/>
      <c r="AT522" s="77"/>
      <c r="AU522" s="77"/>
      <c r="AV522" s="83" t="str">
        <f>HYPERLINK("https://pbs.twimg.com/profile_images/1058449535112867841/JP-rVYlW_normal.jpg")</f>
        <v>https://pbs.twimg.com/profile_images/1058449535112867841/JP-rVYlW_normal.jpg</v>
      </c>
      <c r="AW522" s="81" t="s">
        <v>1111</v>
      </c>
      <c r="AX522" s="81" t="s">
        <v>1111</v>
      </c>
      <c r="AY522" s="77"/>
      <c r="AZ522" s="81" t="s">
        <v>1190</v>
      </c>
      <c r="BA522" s="81" t="s">
        <v>1190</v>
      </c>
      <c r="BB522" s="81" t="s">
        <v>1190</v>
      </c>
      <c r="BC522" s="81" t="s">
        <v>1111</v>
      </c>
      <c r="BD522" s="77">
        <v>98097823</v>
      </c>
      <c r="BE522" s="77"/>
      <c r="BF522" s="77"/>
      <c r="BG522" s="77"/>
      <c r="BH522" s="77"/>
      <c r="BI522" s="77"/>
      <c r="BJ522">
        <v>1</v>
      </c>
      <c r="BK522" s="76" t="str">
        <f>REPLACE(INDEX(GroupVertices[Group],MATCH(Edges[[#This Row],[Vertex 1]],GroupVertices[Vertex],0)),1,1,"")</f>
        <v>6</v>
      </c>
      <c r="BL522" s="76" t="str">
        <f>REPLACE(INDEX(GroupVertices[Group],MATCH(Edges[[#This Row],[Vertex 2]],GroupVertices[Vertex],0)),1,1,"")</f>
        <v>6</v>
      </c>
      <c r="BM522" s="45">
        <v>1</v>
      </c>
      <c r="BN522" s="46">
        <v>4.545454545454546</v>
      </c>
      <c r="BO522" s="45">
        <v>0</v>
      </c>
      <c r="BP522" s="46">
        <v>0</v>
      </c>
      <c r="BQ522" s="45">
        <v>0</v>
      </c>
      <c r="BR522" s="46">
        <v>0</v>
      </c>
      <c r="BS522" s="45">
        <v>20</v>
      </c>
      <c r="BT522" s="46">
        <v>90.9090909090909</v>
      </c>
      <c r="BU522" s="45">
        <v>22</v>
      </c>
    </row>
    <row r="523" spans="1:73" ht="15">
      <c r="A523" s="61" t="s">
        <v>249</v>
      </c>
      <c r="B523" s="61" t="s">
        <v>248</v>
      </c>
      <c r="C523" s="62" t="s">
        <v>11692</v>
      </c>
      <c r="D523" s="63">
        <v>3</v>
      </c>
      <c r="E523" s="64" t="s">
        <v>132</v>
      </c>
      <c r="F523" s="65">
        <v>32</v>
      </c>
      <c r="G523" s="62"/>
      <c r="H523" s="66"/>
      <c r="I523" s="67"/>
      <c r="J523" s="67"/>
      <c r="K523" s="31" t="s">
        <v>65</v>
      </c>
      <c r="L523" s="75">
        <v>523</v>
      </c>
      <c r="M523" s="75"/>
      <c r="N523" s="69"/>
      <c r="O523" s="77" t="s">
        <v>543</v>
      </c>
      <c r="P523" s="79">
        <v>45163.20199074074</v>
      </c>
      <c r="Q523" s="77" t="s">
        <v>629</v>
      </c>
      <c r="R523" s="77">
        <v>0</v>
      </c>
      <c r="S523" s="77">
        <v>1</v>
      </c>
      <c r="T523" s="77">
        <v>0</v>
      </c>
      <c r="U523" s="77">
        <v>0</v>
      </c>
      <c r="V523" s="77">
        <v>24</v>
      </c>
      <c r="W523" s="77"/>
      <c r="X523" s="77"/>
      <c r="Y523" s="77"/>
      <c r="Z523" s="77" t="s">
        <v>798</v>
      </c>
      <c r="AA523" s="77"/>
      <c r="AB523" s="77"/>
      <c r="AC523" s="81" t="s">
        <v>855</v>
      </c>
      <c r="AD523" s="77" t="s">
        <v>859</v>
      </c>
      <c r="AE523" s="83" t="str">
        <f>HYPERLINK("https://twitter.com/dataengineer23/status/1694935350072791428")</f>
        <v>https://twitter.com/dataengineer23/status/1694935350072791428</v>
      </c>
      <c r="AF523" s="79">
        <v>45163.20199074074</v>
      </c>
      <c r="AG523" s="85">
        <v>45163</v>
      </c>
      <c r="AH523" s="81" t="s">
        <v>957</v>
      </c>
      <c r="AI523" s="77"/>
      <c r="AJ523" s="77"/>
      <c r="AK523" s="77"/>
      <c r="AL523" s="77"/>
      <c r="AM523" s="77"/>
      <c r="AN523" s="77"/>
      <c r="AO523" s="77"/>
      <c r="AP523" s="77"/>
      <c r="AQ523" s="77"/>
      <c r="AR523" s="77"/>
      <c r="AS523" s="77"/>
      <c r="AT523" s="77"/>
      <c r="AU523" s="77"/>
      <c r="AV523" s="83" t="str">
        <f>HYPERLINK("https://pbs.twimg.com/profile_images/1693361057580957696/YXXSA8pi_normal.jpg")</f>
        <v>https://pbs.twimg.com/profile_images/1693361057580957696/YXXSA8pi_normal.jpg</v>
      </c>
      <c r="AW523" s="81" t="s">
        <v>1112</v>
      </c>
      <c r="AX523" s="81" t="s">
        <v>1164</v>
      </c>
      <c r="AY523" s="81" t="s">
        <v>1183</v>
      </c>
      <c r="AZ523" s="81" t="s">
        <v>1113</v>
      </c>
      <c r="BA523" s="81" t="s">
        <v>1190</v>
      </c>
      <c r="BB523" s="81" t="s">
        <v>1190</v>
      </c>
      <c r="BC523" s="81" t="s">
        <v>1113</v>
      </c>
      <c r="BD523" s="81" t="s">
        <v>1184</v>
      </c>
      <c r="BE523" s="77"/>
      <c r="BF523" s="77"/>
      <c r="BG523" s="77"/>
      <c r="BH523" s="77"/>
      <c r="BI523" s="77"/>
      <c r="BJ523">
        <v>1</v>
      </c>
      <c r="BK523" s="76" t="str">
        <f>REPLACE(INDEX(GroupVertices[Group],MATCH(Edges[[#This Row],[Vertex 1]],GroupVertices[Vertex],0)),1,1,"")</f>
        <v>6</v>
      </c>
      <c r="BL523" s="76" t="str">
        <f>REPLACE(INDEX(GroupVertices[Group],MATCH(Edges[[#This Row],[Vertex 2]],GroupVertices[Vertex],0)),1,1,"")</f>
        <v>6</v>
      </c>
      <c r="BM523" s="45"/>
      <c r="BN523" s="46"/>
      <c r="BO523" s="45"/>
      <c r="BP523" s="46"/>
      <c r="BQ523" s="45"/>
      <c r="BR523" s="46"/>
      <c r="BS523" s="45"/>
      <c r="BT523" s="46"/>
      <c r="BU523" s="45"/>
    </row>
    <row r="524" spans="1:73" ht="15">
      <c r="A524" s="61" t="s">
        <v>250</v>
      </c>
      <c r="B524" s="61" t="s">
        <v>248</v>
      </c>
      <c r="C524" s="62" t="s">
        <v>11692</v>
      </c>
      <c r="D524" s="63">
        <v>3</v>
      </c>
      <c r="E524" s="64" t="s">
        <v>132</v>
      </c>
      <c r="F524" s="65">
        <v>32</v>
      </c>
      <c r="G524" s="62"/>
      <c r="H524" s="66"/>
      <c r="I524" s="67"/>
      <c r="J524" s="67"/>
      <c r="K524" s="31" t="s">
        <v>65</v>
      </c>
      <c r="L524" s="75">
        <v>524</v>
      </c>
      <c r="M524" s="75"/>
      <c r="N524" s="69"/>
      <c r="O524" s="77" t="s">
        <v>543</v>
      </c>
      <c r="P524" s="79">
        <v>45162.91981481481</v>
      </c>
      <c r="Q524" s="77" t="s">
        <v>630</v>
      </c>
      <c r="R524" s="77">
        <v>2</v>
      </c>
      <c r="S524" s="77">
        <v>6</v>
      </c>
      <c r="T524" s="77">
        <v>1</v>
      </c>
      <c r="U524" s="77">
        <v>0</v>
      </c>
      <c r="V524" s="77">
        <v>217</v>
      </c>
      <c r="W524" s="77"/>
      <c r="X524" s="77"/>
      <c r="Y524" s="77"/>
      <c r="Z524" s="77" t="s">
        <v>799</v>
      </c>
      <c r="AA524" s="77"/>
      <c r="AB524" s="77"/>
      <c r="AC524" s="81" t="s">
        <v>855</v>
      </c>
      <c r="AD524" s="77" t="s">
        <v>859</v>
      </c>
      <c r="AE524" s="83" t="str">
        <f>HYPERLINK("https://twitter.com/ifeanyidiaye/status/1694833091456467243")</f>
        <v>https://twitter.com/ifeanyidiaye/status/1694833091456467243</v>
      </c>
      <c r="AF524" s="79">
        <v>45162.91981481481</v>
      </c>
      <c r="AG524" s="85">
        <v>45162</v>
      </c>
      <c r="AH524" s="81" t="s">
        <v>958</v>
      </c>
      <c r="AI524" s="77"/>
      <c r="AJ524" s="77"/>
      <c r="AK524" s="77"/>
      <c r="AL524" s="77"/>
      <c r="AM524" s="77"/>
      <c r="AN524" s="77"/>
      <c r="AO524" s="77"/>
      <c r="AP524" s="77"/>
      <c r="AQ524" s="77"/>
      <c r="AR524" s="77"/>
      <c r="AS524" s="77"/>
      <c r="AT524" s="77"/>
      <c r="AU524" s="77"/>
      <c r="AV524" s="83" t="str">
        <f>HYPERLINK("https://pbs.twimg.com/profile_images/1674155076959477762/p-4Rg3Rn_normal.jpg")</f>
        <v>https://pbs.twimg.com/profile_images/1674155076959477762/p-4Rg3Rn_normal.jpg</v>
      </c>
      <c r="AW524" s="81" t="s">
        <v>1113</v>
      </c>
      <c r="AX524" s="81" t="s">
        <v>1164</v>
      </c>
      <c r="AY524" s="81" t="s">
        <v>1184</v>
      </c>
      <c r="AZ524" s="81" t="s">
        <v>1198</v>
      </c>
      <c r="BA524" s="81" t="s">
        <v>1190</v>
      </c>
      <c r="BB524" s="81" t="s">
        <v>1190</v>
      </c>
      <c r="BC524" s="81" t="s">
        <v>1198</v>
      </c>
      <c r="BD524" s="77">
        <v>622691806</v>
      </c>
      <c r="BE524" s="77"/>
      <c r="BF524" s="77"/>
      <c r="BG524" s="77"/>
      <c r="BH524" s="77"/>
      <c r="BI524" s="77"/>
      <c r="BJ524">
        <v>1</v>
      </c>
      <c r="BK524" s="76" t="str">
        <f>REPLACE(INDEX(GroupVertices[Group],MATCH(Edges[[#This Row],[Vertex 1]],GroupVertices[Vertex],0)),1,1,"")</f>
        <v>6</v>
      </c>
      <c r="BL524" s="76" t="str">
        <f>REPLACE(INDEX(GroupVertices[Group],MATCH(Edges[[#This Row],[Vertex 2]],GroupVertices[Vertex],0)),1,1,"")</f>
        <v>6</v>
      </c>
      <c r="BM524" s="45"/>
      <c r="BN524" s="46"/>
      <c r="BO524" s="45"/>
      <c r="BP524" s="46"/>
      <c r="BQ524" s="45"/>
      <c r="BR524" s="46"/>
      <c r="BS524" s="45"/>
      <c r="BT524" s="46"/>
      <c r="BU524" s="45"/>
    </row>
    <row r="525" spans="1:73" ht="15">
      <c r="A525" s="61" t="s">
        <v>249</v>
      </c>
      <c r="B525" s="61" t="s">
        <v>520</v>
      </c>
      <c r="C525" s="62" t="s">
        <v>11692</v>
      </c>
      <c r="D525" s="63">
        <v>3</v>
      </c>
      <c r="E525" s="64" t="s">
        <v>132</v>
      </c>
      <c r="F525" s="65">
        <v>32</v>
      </c>
      <c r="G525" s="62"/>
      <c r="H525" s="66"/>
      <c r="I525" s="67"/>
      <c r="J525" s="67"/>
      <c r="K525" s="31" t="s">
        <v>65</v>
      </c>
      <c r="L525" s="75">
        <v>525</v>
      </c>
      <c r="M525" s="75"/>
      <c r="N525" s="69"/>
      <c r="O525" s="77" t="s">
        <v>543</v>
      </c>
      <c r="P525" s="79">
        <v>45163.20199074074</v>
      </c>
      <c r="Q525" s="77" t="s">
        <v>629</v>
      </c>
      <c r="R525" s="77">
        <v>0</v>
      </c>
      <c r="S525" s="77">
        <v>1</v>
      </c>
      <c r="T525" s="77">
        <v>0</v>
      </c>
      <c r="U525" s="77">
        <v>0</v>
      </c>
      <c r="V525" s="77">
        <v>24</v>
      </c>
      <c r="W525" s="77"/>
      <c r="X525" s="77"/>
      <c r="Y525" s="77"/>
      <c r="Z525" s="77" t="s">
        <v>798</v>
      </c>
      <c r="AA525" s="77"/>
      <c r="AB525" s="77"/>
      <c r="AC525" s="81" t="s">
        <v>855</v>
      </c>
      <c r="AD525" s="77" t="s">
        <v>859</v>
      </c>
      <c r="AE525" s="83" t="str">
        <f>HYPERLINK("https://twitter.com/dataengineer23/status/1694935350072791428")</f>
        <v>https://twitter.com/dataengineer23/status/1694935350072791428</v>
      </c>
      <c r="AF525" s="79">
        <v>45163.20199074074</v>
      </c>
      <c r="AG525" s="85">
        <v>45163</v>
      </c>
      <c r="AH525" s="81" t="s">
        <v>957</v>
      </c>
      <c r="AI525" s="77"/>
      <c r="AJ525" s="77"/>
      <c r="AK525" s="77"/>
      <c r="AL525" s="77"/>
      <c r="AM525" s="77"/>
      <c r="AN525" s="77"/>
      <c r="AO525" s="77"/>
      <c r="AP525" s="77"/>
      <c r="AQ525" s="77"/>
      <c r="AR525" s="77"/>
      <c r="AS525" s="77"/>
      <c r="AT525" s="77"/>
      <c r="AU525" s="77"/>
      <c r="AV525" s="83" t="str">
        <f>HYPERLINK("https://pbs.twimg.com/profile_images/1693361057580957696/YXXSA8pi_normal.jpg")</f>
        <v>https://pbs.twimg.com/profile_images/1693361057580957696/YXXSA8pi_normal.jpg</v>
      </c>
      <c r="AW525" s="81" t="s">
        <v>1112</v>
      </c>
      <c r="AX525" s="81" t="s">
        <v>1164</v>
      </c>
      <c r="AY525" s="81" t="s">
        <v>1183</v>
      </c>
      <c r="AZ525" s="81" t="s">
        <v>1113</v>
      </c>
      <c r="BA525" s="81" t="s">
        <v>1190</v>
      </c>
      <c r="BB525" s="81" t="s">
        <v>1190</v>
      </c>
      <c r="BC525" s="81" t="s">
        <v>1113</v>
      </c>
      <c r="BD525" s="81" t="s">
        <v>1184</v>
      </c>
      <c r="BE525" s="77"/>
      <c r="BF525" s="77"/>
      <c r="BG525" s="77"/>
      <c r="BH525" s="77"/>
      <c r="BI525" s="77"/>
      <c r="BJ525">
        <v>1</v>
      </c>
      <c r="BK525" s="76" t="str">
        <f>REPLACE(INDEX(GroupVertices[Group],MATCH(Edges[[#This Row],[Vertex 1]],GroupVertices[Vertex],0)),1,1,"")</f>
        <v>6</v>
      </c>
      <c r="BL525" s="76" t="str">
        <f>REPLACE(INDEX(GroupVertices[Group],MATCH(Edges[[#This Row],[Vertex 2]],GroupVertices[Vertex],0)),1,1,"")</f>
        <v>6</v>
      </c>
      <c r="BM525" s="45"/>
      <c r="BN525" s="46"/>
      <c r="BO525" s="45"/>
      <c r="BP525" s="46"/>
      <c r="BQ525" s="45"/>
      <c r="BR525" s="46"/>
      <c r="BS525" s="45"/>
      <c r="BT525" s="46"/>
      <c r="BU525" s="45"/>
    </row>
    <row r="526" spans="1:73" ht="15">
      <c r="A526" s="61" t="s">
        <v>250</v>
      </c>
      <c r="B526" s="61" t="s">
        <v>520</v>
      </c>
      <c r="C526" s="62" t="s">
        <v>11692</v>
      </c>
      <c r="D526" s="63">
        <v>3</v>
      </c>
      <c r="E526" s="64" t="s">
        <v>132</v>
      </c>
      <c r="F526" s="65">
        <v>32</v>
      </c>
      <c r="G526" s="62"/>
      <c r="H526" s="66"/>
      <c r="I526" s="67"/>
      <c r="J526" s="67"/>
      <c r="K526" s="31" t="s">
        <v>65</v>
      </c>
      <c r="L526" s="75">
        <v>526</v>
      </c>
      <c r="M526" s="75"/>
      <c r="N526" s="69"/>
      <c r="O526" s="77" t="s">
        <v>543</v>
      </c>
      <c r="P526" s="79">
        <v>45162.91981481481</v>
      </c>
      <c r="Q526" s="77" t="s">
        <v>630</v>
      </c>
      <c r="R526" s="77">
        <v>2</v>
      </c>
      <c r="S526" s="77">
        <v>6</v>
      </c>
      <c r="T526" s="77">
        <v>1</v>
      </c>
      <c r="U526" s="77">
        <v>0</v>
      </c>
      <c r="V526" s="77">
        <v>217</v>
      </c>
      <c r="W526" s="77"/>
      <c r="X526" s="77"/>
      <c r="Y526" s="77"/>
      <c r="Z526" s="77" t="s">
        <v>799</v>
      </c>
      <c r="AA526" s="77"/>
      <c r="AB526" s="77"/>
      <c r="AC526" s="81" t="s">
        <v>855</v>
      </c>
      <c r="AD526" s="77" t="s">
        <v>859</v>
      </c>
      <c r="AE526" s="83" t="str">
        <f>HYPERLINK("https://twitter.com/ifeanyidiaye/status/1694833091456467243")</f>
        <v>https://twitter.com/ifeanyidiaye/status/1694833091456467243</v>
      </c>
      <c r="AF526" s="79">
        <v>45162.91981481481</v>
      </c>
      <c r="AG526" s="85">
        <v>45162</v>
      </c>
      <c r="AH526" s="81" t="s">
        <v>958</v>
      </c>
      <c r="AI526" s="77"/>
      <c r="AJ526" s="77"/>
      <c r="AK526" s="77"/>
      <c r="AL526" s="77"/>
      <c r="AM526" s="77"/>
      <c r="AN526" s="77"/>
      <c r="AO526" s="77"/>
      <c r="AP526" s="77"/>
      <c r="AQ526" s="77"/>
      <c r="AR526" s="77"/>
      <c r="AS526" s="77"/>
      <c r="AT526" s="77"/>
      <c r="AU526" s="77"/>
      <c r="AV526" s="83" t="str">
        <f>HYPERLINK("https://pbs.twimg.com/profile_images/1674155076959477762/p-4Rg3Rn_normal.jpg")</f>
        <v>https://pbs.twimg.com/profile_images/1674155076959477762/p-4Rg3Rn_normal.jpg</v>
      </c>
      <c r="AW526" s="81" t="s">
        <v>1113</v>
      </c>
      <c r="AX526" s="81" t="s">
        <v>1164</v>
      </c>
      <c r="AY526" s="81" t="s">
        <v>1184</v>
      </c>
      <c r="AZ526" s="81" t="s">
        <v>1198</v>
      </c>
      <c r="BA526" s="81" t="s">
        <v>1190</v>
      </c>
      <c r="BB526" s="81" t="s">
        <v>1190</v>
      </c>
      <c r="BC526" s="81" t="s">
        <v>1198</v>
      </c>
      <c r="BD526" s="77">
        <v>622691806</v>
      </c>
      <c r="BE526" s="77"/>
      <c r="BF526" s="77"/>
      <c r="BG526" s="77"/>
      <c r="BH526" s="77"/>
      <c r="BI526" s="77"/>
      <c r="BJ526">
        <v>1</v>
      </c>
      <c r="BK526" s="76" t="str">
        <f>REPLACE(INDEX(GroupVertices[Group],MATCH(Edges[[#This Row],[Vertex 1]],GroupVertices[Vertex],0)),1,1,"")</f>
        <v>6</v>
      </c>
      <c r="BL526" s="76" t="str">
        <f>REPLACE(INDEX(GroupVertices[Group],MATCH(Edges[[#This Row],[Vertex 2]],GroupVertices[Vertex],0)),1,1,"")</f>
        <v>6</v>
      </c>
      <c r="BM526" s="45"/>
      <c r="BN526" s="46"/>
      <c r="BO526" s="45"/>
      <c r="BP526" s="46"/>
      <c r="BQ526" s="45"/>
      <c r="BR526" s="46"/>
      <c r="BS526" s="45"/>
      <c r="BT526" s="46"/>
      <c r="BU526" s="45"/>
    </row>
    <row r="527" spans="1:73" ht="15">
      <c r="A527" s="61" t="s">
        <v>249</v>
      </c>
      <c r="B527" s="61" t="s">
        <v>376</v>
      </c>
      <c r="C527" s="62" t="s">
        <v>11692</v>
      </c>
      <c r="D527" s="63">
        <v>3</v>
      </c>
      <c r="E527" s="64" t="s">
        <v>132</v>
      </c>
      <c r="F527" s="65">
        <v>32</v>
      </c>
      <c r="G527" s="62"/>
      <c r="H527" s="66"/>
      <c r="I527" s="67"/>
      <c r="J527" s="67"/>
      <c r="K527" s="31" t="s">
        <v>65</v>
      </c>
      <c r="L527" s="75">
        <v>527</v>
      </c>
      <c r="M527" s="75"/>
      <c r="N527" s="69"/>
      <c r="O527" s="77" t="s">
        <v>543</v>
      </c>
      <c r="P527" s="79">
        <v>45163.20199074074</v>
      </c>
      <c r="Q527" s="77" t="s">
        <v>629</v>
      </c>
      <c r="R527" s="77">
        <v>0</v>
      </c>
      <c r="S527" s="77">
        <v>1</v>
      </c>
      <c r="T527" s="77">
        <v>0</v>
      </c>
      <c r="U527" s="77">
        <v>0</v>
      </c>
      <c r="V527" s="77">
        <v>24</v>
      </c>
      <c r="W527" s="77"/>
      <c r="X527" s="77"/>
      <c r="Y527" s="77"/>
      <c r="Z527" s="77" t="s">
        <v>798</v>
      </c>
      <c r="AA527" s="77"/>
      <c r="AB527" s="77"/>
      <c r="AC527" s="81" t="s">
        <v>855</v>
      </c>
      <c r="AD527" s="77" t="s">
        <v>859</v>
      </c>
      <c r="AE527" s="83" t="str">
        <f>HYPERLINK("https://twitter.com/dataengineer23/status/1694935350072791428")</f>
        <v>https://twitter.com/dataengineer23/status/1694935350072791428</v>
      </c>
      <c r="AF527" s="79">
        <v>45163.20199074074</v>
      </c>
      <c r="AG527" s="85">
        <v>45163</v>
      </c>
      <c r="AH527" s="81" t="s">
        <v>957</v>
      </c>
      <c r="AI527" s="77"/>
      <c r="AJ527" s="77"/>
      <c r="AK527" s="77"/>
      <c r="AL527" s="77"/>
      <c r="AM527" s="77"/>
      <c r="AN527" s="77"/>
      <c r="AO527" s="77"/>
      <c r="AP527" s="77"/>
      <c r="AQ527" s="77"/>
      <c r="AR527" s="77"/>
      <c r="AS527" s="77"/>
      <c r="AT527" s="77"/>
      <c r="AU527" s="77"/>
      <c r="AV527" s="83" t="str">
        <f>HYPERLINK("https://pbs.twimg.com/profile_images/1693361057580957696/YXXSA8pi_normal.jpg")</f>
        <v>https://pbs.twimg.com/profile_images/1693361057580957696/YXXSA8pi_normal.jpg</v>
      </c>
      <c r="AW527" s="81" t="s">
        <v>1112</v>
      </c>
      <c r="AX527" s="81" t="s">
        <v>1164</v>
      </c>
      <c r="AY527" s="81" t="s">
        <v>1183</v>
      </c>
      <c r="AZ527" s="81" t="s">
        <v>1113</v>
      </c>
      <c r="BA527" s="81" t="s">
        <v>1190</v>
      </c>
      <c r="BB527" s="81" t="s">
        <v>1190</v>
      </c>
      <c r="BC527" s="81" t="s">
        <v>1113</v>
      </c>
      <c r="BD527" s="81" t="s">
        <v>1184</v>
      </c>
      <c r="BE527" s="77"/>
      <c r="BF527" s="77"/>
      <c r="BG527" s="77"/>
      <c r="BH527" s="77"/>
      <c r="BI527" s="77"/>
      <c r="BJ527">
        <v>1</v>
      </c>
      <c r="BK527" s="76" t="str">
        <f>REPLACE(INDEX(GroupVertices[Group],MATCH(Edges[[#This Row],[Vertex 1]],GroupVertices[Vertex],0)),1,1,"")</f>
        <v>6</v>
      </c>
      <c r="BL527" s="76" t="str">
        <f>REPLACE(INDEX(GroupVertices[Group],MATCH(Edges[[#This Row],[Vertex 2]],GroupVertices[Vertex],0)),1,1,"")</f>
        <v>6</v>
      </c>
      <c r="BM527" s="45"/>
      <c r="BN527" s="46"/>
      <c r="BO527" s="45"/>
      <c r="BP527" s="46"/>
      <c r="BQ527" s="45"/>
      <c r="BR527" s="46"/>
      <c r="BS527" s="45"/>
      <c r="BT527" s="46"/>
      <c r="BU527" s="45"/>
    </row>
    <row r="528" spans="1:73" ht="15">
      <c r="A528" s="61" t="s">
        <v>229</v>
      </c>
      <c r="B528" s="61" t="s">
        <v>376</v>
      </c>
      <c r="C528" s="62" t="s">
        <v>11692</v>
      </c>
      <c r="D528" s="63">
        <v>3</v>
      </c>
      <c r="E528" s="64" t="s">
        <v>132</v>
      </c>
      <c r="F528" s="65">
        <v>32</v>
      </c>
      <c r="G528" s="62"/>
      <c r="H528" s="66"/>
      <c r="I528" s="67"/>
      <c r="J528" s="67"/>
      <c r="K528" s="31" t="s">
        <v>65</v>
      </c>
      <c r="L528" s="75">
        <v>528</v>
      </c>
      <c r="M528" s="75"/>
      <c r="N528" s="69"/>
      <c r="O528" s="77" t="s">
        <v>539</v>
      </c>
      <c r="P528" s="79">
        <v>45164.47796296296</v>
      </c>
      <c r="Q528" s="77" t="s">
        <v>572</v>
      </c>
      <c r="R528" s="77">
        <v>0</v>
      </c>
      <c r="S528" s="77">
        <v>4</v>
      </c>
      <c r="T528" s="77">
        <v>1</v>
      </c>
      <c r="U528" s="77">
        <v>0</v>
      </c>
      <c r="V528" s="77">
        <v>94</v>
      </c>
      <c r="W528" s="81" t="s">
        <v>683</v>
      </c>
      <c r="X528" s="83" t="str">
        <f>HYPERLINK("https://bit.ly/47Lu0XB")</f>
        <v>https://bit.ly/47Lu0XB</v>
      </c>
      <c r="Y528" s="77" t="s">
        <v>740</v>
      </c>
      <c r="Z528" s="77" t="s">
        <v>770</v>
      </c>
      <c r="AA528" s="77"/>
      <c r="AB528" s="77"/>
      <c r="AC528" s="81" t="s">
        <v>853</v>
      </c>
      <c r="AD528" s="77" t="s">
        <v>863</v>
      </c>
      <c r="AE528" s="83" t="str">
        <f>HYPERLINK("https://twitter.com/mihkal/status/1695397746121875757")</f>
        <v>https://twitter.com/mihkal/status/1695397746121875757</v>
      </c>
      <c r="AF528" s="79">
        <v>45164.47796296296</v>
      </c>
      <c r="AG528" s="85">
        <v>45164</v>
      </c>
      <c r="AH528" s="81" t="s">
        <v>899</v>
      </c>
      <c r="AI528" s="77" t="b">
        <v>0</v>
      </c>
      <c r="AJ528" s="77"/>
      <c r="AK528" s="77"/>
      <c r="AL528" s="77"/>
      <c r="AM528" s="77"/>
      <c r="AN528" s="77"/>
      <c r="AO528" s="77"/>
      <c r="AP528" s="77"/>
      <c r="AQ528" s="77"/>
      <c r="AR528" s="77"/>
      <c r="AS528" s="77"/>
      <c r="AT528" s="77"/>
      <c r="AU528" s="77"/>
      <c r="AV528" s="83" t="str">
        <f>HYPERLINK("https://pbs.twimg.com/profile_images/1663227887837757440/XOjtFF4W_normal.jpg")</f>
        <v>https://pbs.twimg.com/profile_images/1663227887837757440/XOjtFF4W_normal.jpg</v>
      </c>
      <c r="AW528" s="81" t="s">
        <v>1054</v>
      </c>
      <c r="AX528" s="81" t="s">
        <v>1054</v>
      </c>
      <c r="AY528" s="77"/>
      <c r="AZ528" s="81" t="s">
        <v>1190</v>
      </c>
      <c r="BA528" s="81" t="s">
        <v>1190</v>
      </c>
      <c r="BB528" s="81" t="s">
        <v>1190</v>
      </c>
      <c r="BC528" s="81" t="s">
        <v>1054</v>
      </c>
      <c r="BD528" s="77">
        <v>24256031</v>
      </c>
      <c r="BE528" s="77"/>
      <c r="BF528" s="77"/>
      <c r="BG528" s="77"/>
      <c r="BH528" s="77"/>
      <c r="BI528" s="77"/>
      <c r="BJ528">
        <v>1</v>
      </c>
      <c r="BK528" s="76" t="str">
        <f>REPLACE(INDEX(GroupVertices[Group],MATCH(Edges[[#This Row],[Vertex 1]],GroupVertices[Vertex],0)),1,1,"")</f>
        <v>1</v>
      </c>
      <c r="BL528" s="76" t="str">
        <f>REPLACE(INDEX(GroupVertices[Group],MATCH(Edges[[#This Row],[Vertex 2]],GroupVertices[Vertex],0)),1,1,"")</f>
        <v>6</v>
      </c>
      <c r="BM528" s="45">
        <v>1</v>
      </c>
      <c r="BN528" s="46">
        <v>4.545454545454546</v>
      </c>
      <c r="BO528" s="45">
        <v>0</v>
      </c>
      <c r="BP528" s="46">
        <v>0</v>
      </c>
      <c r="BQ528" s="45">
        <v>0</v>
      </c>
      <c r="BR528" s="46">
        <v>0</v>
      </c>
      <c r="BS528" s="45">
        <v>20</v>
      </c>
      <c r="BT528" s="46">
        <v>90.9090909090909</v>
      </c>
      <c r="BU528" s="45">
        <v>22</v>
      </c>
    </row>
    <row r="529" spans="1:73" ht="15">
      <c r="A529" s="61" t="s">
        <v>229</v>
      </c>
      <c r="B529" s="61" t="s">
        <v>376</v>
      </c>
      <c r="C529" s="62" t="s">
        <v>11694</v>
      </c>
      <c r="D529" s="63">
        <v>5.8</v>
      </c>
      <c r="E529" s="64" t="s">
        <v>132</v>
      </c>
      <c r="F529" s="65">
        <v>23.2</v>
      </c>
      <c r="G529" s="62"/>
      <c r="H529" s="66"/>
      <c r="I529" s="67"/>
      <c r="J529" s="67"/>
      <c r="K529" s="31" t="s">
        <v>65</v>
      </c>
      <c r="L529" s="75">
        <v>529</v>
      </c>
      <c r="M529" s="75"/>
      <c r="N529" s="69"/>
      <c r="O529" s="77" t="s">
        <v>543</v>
      </c>
      <c r="P529" s="79">
        <v>45165.418541666666</v>
      </c>
      <c r="Q529" s="77" t="s">
        <v>573</v>
      </c>
      <c r="R529" s="77">
        <v>0</v>
      </c>
      <c r="S529" s="77">
        <v>5</v>
      </c>
      <c r="T529" s="77">
        <v>1</v>
      </c>
      <c r="U529" s="77">
        <v>0</v>
      </c>
      <c r="V529" s="77">
        <v>49</v>
      </c>
      <c r="W529" s="77"/>
      <c r="X529" s="77"/>
      <c r="Y529" s="77"/>
      <c r="Z529" s="77" t="s">
        <v>771</v>
      </c>
      <c r="AA529" s="77"/>
      <c r="AB529" s="77"/>
      <c r="AC529" s="81" t="s">
        <v>853</v>
      </c>
      <c r="AD529" s="77" t="s">
        <v>859</v>
      </c>
      <c r="AE529" s="83" t="str">
        <f>HYPERLINK("https://twitter.com/mihkal/status/1695738602557239609")</f>
        <v>https://twitter.com/mihkal/status/1695738602557239609</v>
      </c>
      <c r="AF529" s="79">
        <v>45165.418541666666</v>
      </c>
      <c r="AG529" s="85">
        <v>45165</v>
      </c>
      <c r="AH529" s="81" t="s">
        <v>900</v>
      </c>
      <c r="AI529" s="77"/>
      <c r="AJ529" s="77"/>
      <c r="AK529" s="77"/>
      <c r="AL529" s="77"/>
      <c r="AM529" s="77"/>
      <c r="AN529" s="77"/>
      <c r="AO529" s="77"/>
      <c r="AP529" s="77"/>
      <c r="AQ529" s="77"/>
      <c r="AR529" s="77"/>
      <c r="AS529" s="77"/>
      <c r="AT529" s="77"/>
      <c r="AU529" s="77"/>
      <c r="AV529" s="83" t="str">
        <f>HYPERLINK("https://pbs.twimg.com/profile_images/1663227887837757440/XOjtFF4W_normal.jpg")</f>
        <v>https://pbs.twimg.com/profile_images/1663227887837757440/XOjtFF4W_normal.jpg</v>
      </c>
      <c r="AW529" s="81" t="s">
        <v>1055</v>
      </c>
      <c r="AX529" s="81" t="s">
        <v>1054</v>
      </c>
      <c r="AY529" s="81" t="s">
        <v>1176</v>
      </c>
      <c r="AZ529" s="81" t="s">
        <v>1052</v>
      </c>
      <c r="BA529" s="81" t="s">
        <v>1190</v>
      </c>
      <c r="BB529" s="81" t="s">
        <v>1190</v>
      </c>
      <c r="BC529" s="81" t="s">
        <v>1052</v>
      </c>
      <c r="BD529" s="77">
        <v>24256031</v>
      </c>
      <c r="BE529" s="77"/>
      <c r="BF529" s="77"/>
      <c r="BG529" s="77"/>
      <c r="BH529" s="77"/>
      <c r="BI529" s="77"/>
      <c r="BJ529">
        <v>3</v>
      </c>
      <c r="BK529" s="76" t="str">
        <f>REPLACE(INDEX(GroupVertices[Group],MATCH(Edges[[#This Row],[Vertex 1]],GroupVertices[Vertex],0)),1,1,"")</f>
        <v>1</v>
      </c>
      <c r="BL529" s="76" t="str">
        <f>REPLACE(INDEX(GroupVertices[Group],MATCH(Edges[[#This Row],[Vertex 2]],GroupVertices[Vertex],0)),1,1,"")</f>
        <v>6</v>
      </c>
      <c r="BM529" s="45"/>
      <c r="BN529" s="46"/>
      <c r="BO529" s="45"/>
      <c r="BP529" s="46"/>
      <c r="BQ529" s="45"/>
      <c r="BR529" s="46"/>
      <c r="BS529" s="45"/>
      <c r="BT529" s="46"/>
      <c r="BU529" s="45"/>
    </row>
    <row r="530" spans="1:73" ht="15">
      <c r="A530" s="61" t="s">
        <v>229</v>
      </c>
      <c r="B530" s="61" t="s">
        <v>376</v>
      </c>
      <c r="C530" s="62" t="s">
        <v>11694</v>
      </c>
      <c r="D530" s="63">
        <v>5.8</v>
      </c>
      <c r="E530" s="64" t="s">
        <v>132</v>
      </c>
      <c r="F530" s="65">
        <v>23.2</v>
      </c>
      <c r="G530" s="62"/>
      <c r="H530" s="66"/>
      <c r="I530" s="67"/>
      <c r="J530" s="67"/>
      <c r="K530" s="31" t="s">
        <v>65</v>
      </c>
      <c r="L530" s="75">
        <v>530</v>
      </c>
      <c r="M530" s="75"/>
      <c r="N530" s="69"/>
      <c r="O530" s="77" t="s">
        <v>543</v>
      </c>
      <c r="P530" s="79">
        <v>45165.418541666666</v>
      </c>
      <c r="Q530" s="77" t="s">
        <v>573</v>
      </c>
      <c r="R530" s="77">
        <v>0</v>
      </c>
      <c r="S530" s="77">
        <v>5</v>
      </c>
      <c r="T530" s="77">
        <v>1</v>
      </c>
      <c r="U530" s="77">
        <v>0</v>
      </c>
      <c r="V530" s="77">
        <v>49</v>
      </c>
      <c r="W530" s="77"/>
      <c r="X530" s="77"/>
      <c r="Y530" s="77"/>
      <c r="Z530" s="77" t="s">
        <v>771</v>
      </c>
      <c r="AA530" s="77"/>
      <c r="AB530" s="77"/>
      <c r="AC530" s="81" t="s">
        <v>853</v>
      </c>
      <c r="AD530" s="77" t="s">
        <v>859</v>
      </c>
      <c r="AE530" s="83" t="str">
        <f>HYPERLINK("https://twitter.com/mihkal/status/1695738602557239609")</f>
        <v>https://twitter.com/mihkal/status/1695738602557239609</v>
      </c>
      <c r="AF530" s="79">
        <v>45165.418541666666</v>
      </c>
      <c r="AG530" s="85">
        <v>45165</v>
      </c>
      <c r="AH530" s="81" t="s">
        <v>900</v>
      </c>
      <c r="AI530" s="77"/>
      <c r="AJ530" s="77"/>
      <c r="AK530" s="77"/>
      <c r="AL530" s="77"/>
      <c r="AM530" s="77"/>
      <c r="AN530" s="77"/>
      <c r="AO530" s="77"/>
      <c r="AP530" s="77"/>
      <c r="AQ530" s="77"/>
      <c r="AR530" s="77"/>
      <c r="AS530" s="77"/>
      <c r="AT530" s="77"/>
      <c r="AU530" s="77"/>
      <c r="AV530" s="83" t="str">
        <f>HYPERLINK("https://pbs.twimg.com/profile_images/1663227887837757440/XOjtFF4W_normal.jpg")</f>
        <v>https://pbs.twimg.com/profile_images/1663227887837757440/XOjtFF4W_normal.jpg</v>
      </c>
      <c r="AW530" s="81" t="s">
        <v>1055</v>
      </c>
      <c r="AX530" s="81" t="s">
        <v>1054</v>
      </c>
      <c r="AY530" s="81" t="s">
        <v>1176</v>
      </c>
      <c r="AZ530" s="81" t="s">
        <v>1052</v>
      </c>
      <c r="BA530" s="81" t="s">
        <v>1190</v>
      </c>
      <c r="BB530" s="81" t="s">
        <v>1190</v>
      </c>
      <c r="BC530" s="81" t="s">
        <v>1052</v>
      </c>
      <c r="BD530" s="77">
        <v>24256031</v>
      </c>
      <c r="BE530" s="77"/>
      <c r="BF530" s="77"/>
      <c r="BG530" s="77"/>
      <c r="BH530" s="77"/>
      <c r="BI530" s="77"/>
      <c r="BJ530">
        <v>3</v>
      </c>
      <c r="BK530" s="76" t="str">
        <f>REPLACE(INDEX(GroupVertices[Group],MATCH(Edges[[#This Row],[Vertex 1]],GroupVertices[Vertex],0)),1,1,"")</f>
        <v>1</v>
      </c>
      <c r="BL530" s="76" t="str">
        <f>REPLACE(INDEX(GroupVertices[Group],MATCH(Edges[[#This Row],[Vertex 2]],GroupVertices[Vertex],0)),1,1,"")</f>
        <v>6</v>
      </c>
      <c r="BM530" s="45">
        <v>1</v>
      </c>
      <c r="BN530" s="46">
        <v>3.3333333333333335</v>
      </c>
      <c r="BO530" s="45">
        <v>0</v>
      </c>
      <c r="BP530" s="46">
        <v>0</v>
      </c>
      <c r="BQ530" s="45">
        <v>0</v>
      </c>
      <c r="BR530" s="46">
        <v>0</v>
      </c>
      <c r="BS530" s="45">
        <v>22</v>
      </c>
      <c r="BT530" s="46">
        <v>73.33333333333333</v>
      </c>
      <c r="BU530" s="45">
        <v>30</v>
      </c>
    </row>
    <row r="531" spans="1:73" ht="15">
      <c r="A531" s="61" t="s">
        <v>229</v>
      </c>
      <c r="B531" s="61" t="s">
        <v>376</v>
      </c>
      <c r="C531" s="62" t="s">
        <v>11694</v>
      </c>
      <c r="D531" s="63">
        <v>5.8</v>
      </c>
      <c r="E531" s="64" t="s">
        <v>132</v>
      </c>
      <c r="F531" s="65">
        <v>23.2</v>
      </c>
      <c r="G531" s="62"/>
      <c r="H531" s="66"/>
      <c r="I531" s="67"/>
      <c r="J531" s="67"/>
      <c r="K531" s="31" t="s">
        <v>65</v>
      </c>
      <c r="L531" s="75">
        <v>531</v>
      </c>
      <c r="M531" s="75"/>
      <c r="N531" s="69"/>
      <c r="O531" s="77" t="s">
        <v>543</v>
      </c>
      <c r="P531" s="79">
        <v>45161.33939814815</v>
      </c>
      <c r="Q531" s="77" t="s">
        <v>597</v>
      </c>
      <c r="R531" s="77">
        <v>0</v>
      </c>
      <c r="S531" s="77">
        <v>2</v>
      </c>
      <c r="T531" s="77">
        <v>0</v>
      </c>
      <c r="U531" s="77">
        <v>0</v>
      </c>
      <c r="V531" s="77">
        <v>64</v>
      </c>
      <c r="W531" s="81" t="s">
        <v>702</v>
      </c>
      <c r="X531" s="83" t="str">
        <f>HYPERLINK("https://drive.google.com/file/d/1V8VDKgqRE3Ait1LOwdKrF73c0Y2BEvse/view?usp=sharing")</f>
        <v>https://drive.google.com/file/d/1V8VDKgqRE3Ait1LOwdKrF73c0Y2BEvse/view?usp=sharing</v>
      </c>
      <c r="Y531" s="77" t="s">
        <v>739</v>
      </c>
      <c r="Z531" s="77" t="s">
        <v>787</v>
      </c>
      <c r="AA531" s="77"/>
      <c r="AB531" s="77"/>
      <c r="AC531" s="81" t="s">
        <v>853</v>
      </c>
      <c r="AD531" s="77" t="s">
        <v>860</v>
      </c>
      <c r="AE531" s="83" t="str">
        <f>HYPERLINK("https://twitter.com/mihkal/status/1694260369382903812")</f>
        <v>https://twitter.com/mihkal/status/1694260369382903812</v>
      </c>
      <c r="AF531" s="79">
        <v>45161.33939814815</v>
      </c>
      <c r="AG531" s="85">
        <v>45161</v>
      </c>
      <c r="AH531" s="81" t="s">
        <v>925</v>
      </c>
      <c r="AI531" s="77" t="b">
        <v>0</v>
      </c>
      <c r="AJ531" s="77"/>
      <c r="AK531" s="77"/>
      <c r="AL531" s="77"/>
      <c r="AM531" s="77"/>
      <c r="AN531" s="77"/>
      <c r="AO531" s="77"/>
      <c r="AP531" s="77"/>
      <c r="AQ531" s="77"/>
      <c r="AR531" s="77"/>
      <c r="AS531" s="77"/>
      <c r="AT531" s="77"/>
      <c r="AU531" s="77"/>
      <c r="AV531" s="83" t="str">
        <f>HYPERLINK("https://pbs.twimg.com/profile_images/1663227887837757440/XOjtFF4W_normal.jpg")</f>
        <v>https://pbs.twimg.com/profile_images/1663227887837757440/XOjtFF4W_normal.jpg</v>
      </c>
      <c r="AW531" s="81" t="s">
        <v>1080</v>
      </c>
      <c r="AX531" s="81" t="s">
        <v>1158</v>
      </c>
      <c r="AY531" s="81" t="s">
        <v>1169</v>
      </c>
      <c r="AZ531" s="81" t="s">
        <v>1081</v>
      </c>
      <c r="BA531" s="81" t="s">
        <v>1190</v>
      </c>
      <c r="BB531" s="81" t="s">
        <v>1190</v>
      </c>
      <c r="BC531" s="81" t="s">
        <v>1081</v>
      </c>
      <c r="BD531" s="77">
        <v>24256031</v>
      </c>
      <c r="BE531" s="77"/>
      <c r="BF531" s="77"/>
      <c r="BG531" s="77"/>
      <c r="BH531" s="77"/>
      <c r="BI531" s="77"/>
      <c r="BJ531">
        <v>3</v>
      </c>
      <c r="BK531" s="76" t="str">
        <f>REPLACE(INDEX(GroupVertices[Group],MATCH(Edges[[#This Row],[Vertex 1]],GroupVertices[Vertex],0)),1,1,"")</f>
        <v>1</v>
      </c>
      <c r="BL531" s="76" t="str">
        <f>REPLACE(INDEX(GroupVertices[Group],MATCH(Edges[[#This Row],[Vertex 2]],GroupVertices[Vertex],0)),1,1,"")</f>
        <v>6</v>
      </c>
      <c r="BM531" s="45"/>
      <c r="BN531" s="46"/>
      <c r="BO531" s="45"/>
      <c r="BP531" s="46"/>
      <c r="BQ531" s="45"/>
      <c r="BR531" s="46"/>
      <c r="BS531" s="45"/>
      <c r="BT531" s="46"/>
      <c r="BU531" s="45"/>
    </row>
    <row r="532" spans="1:73" ht="15">
      <c r="A532" s="61" t="s">
        <v>250</v>
      </c>
      <c r="B532" s="61" t="s">
        <v>376</v>
      </c>
      <c r="C532" s="62" t="s">
        <v>11692</v>
      </c>
      <c r="D532" s="63">
        <v>3</v>
      </c>
      <c r="E532" s="64" t="s">
        <v>132</v>
      </c>
      <c r="F532" s="65">
        <v>32</v>
      </c>
      <c r="G532" s="62"/>
      <c r="H532" s="66"/>
      <c r="I532" s="67"/>
      <c r="J532" s="67"/>
      <c r="K532" s="31" t="s">
        <v>65</v>
      </c>
      <c r="L532" s="75">
        <v>532</v>
      </c>
      <c r="M532" s="75"/>
      <c r="N532" s="69"/>
      <c r="O532" s="77" t="s">
        <v>543</v>
      </c>
      <c r="P532" s="79">
        <v>45162.91981481481</v>
      </c>
      <c r="Q532" s="77" t="s">
        <v>630</v>
      </c>
      <c r="R532" s="77">
        <v>2</v>
      </c>
      <c r="S532" s="77">
        <v>6</v>
      </c>
      <c r="T532" s="77">
        <v>1</v>
      </c>
      <c r="U532" s="77">
        <v>0</v>
      </c>
      <c r="V532" s="77">
        <v>217</v>
      </c>
      <c r="W532" s="77"/>
      <c r="X532" s="77"/>
      <c r="Y532" s="77"/>
      <c r="Z532" s="77" t="s">
        <v>799</v>
      </c>
      <c r="AA532" s="77"/>
      <c r="AB532" s="77"/>
      <c r="AC532" s="81" t="s">
        <v>855</v>
      </c>
      <c r="AD532" s="77" t="s">
        <v>859</v>
      </c>
      <c r="AE532" s="83" t="str">
        <f>HYPERLINK("https://twitter.com/ifeanyidiaye/status/1694833091456467243")</f>
        <v>https://twitter.com/ifeanyidiaye/status/1694833091456467243</v>
      </c>
      <c r="AF532" s="79">
        <v>45162.91981481481</v>
      </c>
      <c r="AG532" s="85">
        <v>45162</v>
      </c>
      <c r="AH532" s="81" t="s">
        <v>958</v>
      </c>
      <c r="AI532" s="77"/>
      <c r="AJ532" s="77"/>
      <c r="AK532" s="77"/>
      <c r="AL532" s="77"/>
      <c r="AM532" s="77"/>
      <c r="AN532" s="77"/>
      <c r="AO532" s="77"/>
      <c r="AP532" s="77"/>
      <c r="AQ532" s="77"/>
      <c r="AR532" s="77"/>
      <c r="AS532" s="77"/>
      <c r="AT532" s="77"/>
      <c r="AU532" s="77"/>
      <c r="AV532" s="83" t="str">
        <f>HYPERLINK("https://pbs.twimg.com/profile_images/1674155076959477762/p-4Rg3Rn_normal.jpg")</f>
        <v>https://pbs.twimg.com/profile_images/1674155076959477762/p-4Rg3Rn_normal.jpg</v>
      </c>
      <c r="AW532" s="81" t="s">
        <v>1113</v>
      </c>
      <c r="AX532" s="81" t="s">
        <v>1164</v>
      </c>
      <c r="AY532" s="81" t="s">
        <v>1184</v>
      </c>
      <c r="AZ532" s="81" t="s">
        <v>1198</v>
      </c>
      <c r="BA532" s="81" t="s">
        <v>1190</v>
      </c>
      <c r="BB532" s="81" t="s">
        <v>1190</v>
      </c>
      <c r="BC532" s="81" t="s">
        <v>1198</v>
      </c>
      <c r="BD532" s="77">
        <v>622691806</v>
      </c>
      <c r="BE532" s="77"/>
      <c r="BF532" s="77"/>
      <c r="BG532" s="77"/>
      <c r="BH532" s="77"/>
      <c r="BI532" s="77"/>
      <c r="BJ532">
        <v>1</v>
      </c>
      <c r="BK532" s="76" t="str">
        <f>REPLACE(INDEX(GroupVertices[Group],MATCH(Edges[[#This Row],[Vertex 1]],GroupVertices[Vertex],0)),1,1,"")</f>
        <v>6</v>
      </c>
      <c r="BL532" s="76" t="str">
        <f>REPLACE(INDEX(GroupVertices[Group],MATCH(Edges[[#This Row],[Vertex 2]],GroupVertices[Vertex],0)),1,1,"")</f>
        <v>6</v>
      </c>
      <c r="BM532" s="45"/>
      <c r="BN532" s="46"/>
      <c r="BO532" s="45"/>
      <c r="BP532" s="46"/>
      <c r="BQ532" s="45"/>
      <c r="BR532" s="46"/>
      <c r="BS532" s="45"/>
      <c r="BT532" s="46"/>
      <c r="BU532" s="45"/>
    </row>
    <row r="533" spans="1:73" ht="15">
      <c r="A533" s="61" t="s">
        <v>249</v>
      </c>
      <c r="B533" s="61" t="s">
        <v>521</v>
      </c>
      <c r="C533" s="62" t="s">
        <v>11692</v>
      </c>
      <c r="D533" s="63">
        <v>3</v>
      </c>
      <c r="E533" s="64" t="s">
        <v>132</v>
      </c>
      <c r="F533" s="65">
        <v>32</v>
      </c>
      <c r="G533" s="62"/>
      <c r="H533" s="66"/>
      <c r="I533" s="67"/>
      <c r="J533" s="67"/>
      <c r="K533" s="31" t="s">
        <v>65</v>
      </c>
      <c r="L533" s="75">
        <v>533</v>
      </c>
      <c r="M533" s="75"/>
      <c r="N533" s="69"/>
      <c r="O533" s="77" t="s">
        <v>543</v>
      </c>
      <c r="P533" s="79">
        <v>45163.20199074074</v>
      </c>
      <c r="Q533" s="77" t="s">
        <v>629</v>
      </c>
      <c r="R533" s="77">
        <v>0</v>
      </c>
      <c r="S533" s="77">
        <v>1</v>
      </c>
      <c r="T533" s="77">
        <v>0</v>
      </c>
      <c r="U533" s="77">
        <v>0</v>
      </c>
      <c r="V533" s="77">
        <v>24</v>
      </c>
      <c r="W533" s="77"/>
      <c r="X533" s="77"/>
      <c r="Y533" s="77"/>
      <c r="Z533" s="77" t="s">
        <v>798</v>
      </c>
      <c r="AA533" s="77"/>
      <c r="AB533" s="77"/>
      <c r="AC533" s="81" t="s">
        <v>855</v>
      </c>
      <c r="AD533" s="77" t="s">
        <v>859</v>
      </c>
      <c r="AE533" s="83" t="str">
        <f>HYPERLINK("https://twitter.com/dataengineer23/status/1694935350072791428")</f>
        <v>https://twitter.com/dataengineer23/status/1694935350072791428</v>
      </c>
      <c r="AF533" s="79">
        <v>45163.20199074074</v>
      </c>
      <c r="AG533" s="85">
        <v>45163</v>
      </c>
      <c r="AH533" s="81" t="s">
        <v>957</v>
      </c>
      <c r="AI533" s="77"/>
      <c r="AJ533" s="77"/>
      <c r="AK533" s="77"/>
      <c r="AL533" s="77"/>
      <c r="AM533" s="77"/>
      <c r="AN533" s="77"/>
      <c r="AO533" s="77"/>
      <c r="AP533" s="77"/>
      <c r="AQ533" s="77"/>
      <c r="AR533" s="77"/>
      <c r="AS533" s="77"/>
      <c r="AT533" s="77"/>
      <c r="AU533" s="77"/>
      <c r="AV533" s="83" t="str">
        <f>HYPERLINK("https://pbs.twimg.com/profile_images/1693361057580957696/YXXSA8pi_normal.jpg")</f>
        <v>https://pbs.twimg.com/profile_images/1693361057580957696/YXXSA8pi_normal.jpg</v>
      </c>
      <c r="AW533" s="81" t="s">
        <v>1112</v>
      </c>
      <c r="AX533" s="81" t="s">
        <v>1164</v>
      </c>
      <c r="AY533" s="81" t="s">
        <v>1183</v>
      </c>
      <c r="AZ533" s="81" t="s">
        <v>1113</v>
      </c>
      <c r="BA533" s="81" t="s">
        <v>1190</v>
      </c>
      <c r="BB533" s="81" t="s">
        <v>1190</v>
      </c>
      <c r="BC533" s="81" t="s">
        <v>1113</v>
      </c>
      <c r="BD533" s="81" t="s">
        <v>1184</v>
      </c>
      <c r="BE533" s="77"/>
      <c r="BF533" s="77"/>
      <c r="BG533" s="77"/>
      <c r="BH533" s="77"/>
      <c r="BI533" s="77"/>
      <c r="BJ533">
        <v>1</v>
      </c>
      <c r="BK533" s="76" t="str">
        <f>REPLACE(INDEX(GroupVertices[Group],MATCH(Edges[[#This Row],[Vertex 1]],GroupVertices[Vertex],0)),1,1,"")</f>
        <v>6</v>
      </c>
      <c r="BL533" s="76" t="str">
        <f>REPLACE(INDEX(GroupVertices[Group],MATCH(Edges[[#This Row],[Vertex 2]],GroupVertices[Vertex],0)),1,1,"")</f>
        <v>6</v>
      </c>
      <c r="BM533" s="45">
        <v>0</v>
      </c>
      <c r="BN533" s="46">
        <v>0</v>
      </c>
      <c r="BO533" s="45">
        <v>0</v>
      </c>
      <c r="BP533" s="46">
        <v>0</v>
      </c>
      <c r="BQ533" s="45">
        <v>0</v>
      </c>
      <c r="BR533" s="46">
        <v>0</v>
      </c>
      <c r="BS533" s="45">
        <v>9</v>
      </c>
      <c r="BT533" s="46">
        <v>100</v>
      </c>
      <c r="BU533" s="45">
        <v>9</v>
      </c>
    </row>
    <row r="534" spans="1:73" ht="15">
      <c r="A534" s="61" t="s">
        <v>250</v>
      </c>
      <c r="B534" s="61" t="s">
        <v>521</v>
      </c>
      <c r="C534" s="62" t="s">
        <v>11692</v>
      </c>
      <c r="D534" s="63">
        <v>3</v>
      </c>
      <c r="E534" s="64" t="s">
        <v>132</v>
      </c>
      <c r="F534" s="65">
        <v>32</v>
      </c>
      <c r="G534" s="62"/>
      <c r="H534" s="66"/>
      <c r="I534" s="67"/>
      <c r="J534" s="67"/>
      <c r="K534" s="31" t="s">
        <v>65</v>
      </c>
      <c r="L534" s="75">
        <v>534</v>
      </c>
      <c r="M534" s="75"/>
      <c r="N534" s="69"/>
      <c r="O534" s="77" t="s">
        <v>543</v>
      </c>
      <c r="P534" s="79">
        <v>45162.91981481481</v>
      </c>
      <c r="Q534" s="77" t="s">
        <v>630</v>
      </c>
      <c r="R534" s="77">
        <v>2</v>
      </c>
      <c r="S534" s="77">
        <v>6</v>
      </c>
      <c r="T534" s="77">
        <v>1</v>
      </c>
      <c r="U534" s="77">
        <v>0</v>
      </c>
      <c r="V534" s="77">
        <v>217</v>
      </c>
      <c r="W534" s="77"/>
      <c r="X534" s="77"/>
      <c r="Y534" s="77"/>
      <c r="Z534" s="77" t="s">
        <v>799</v>
      </c>
      <c r="AA534" s="77"/>
      <c r="AB534" s="77"/>
      <c r="AC534" s="81" t="s">
        <v>855</v>
      </c>
      <c r="AD534" s="77" t="s">
        <v>859</v>
      </c>
      <c r="AE534" s="83" t="str">
        <f>HYPERLINK("https://twitter.com/ifeanyidiaye/status/1694833091456467243")</f>
        <v>https://twitter.com/ifeanyidiaye/status/1694833091456467243</v>
      </c>
      <c r="AF534" s="79">
        <v>45162.91981481481</v>
      </c>
      <c r="AG534" s="85">
        <v>45162</v>
      </c>
      <c r="AH534" s="81" t="s">
        <v>958</v>
      </c>
      <c r="AI534" s="77"/>
      <c r="AJ534" s="77"/>
      <c r="AK534" s="77"/>
      <c r="AL534" s="77"/>
      <c r="AM534" s="77"/>
      <c r="AN534" s="77"/>
      <c r="AO534" s="77"/>
      <c r="AP534" s="77"/>
      <c r="AQ534" s="77"/>
      <c r="AR534" s="77"/>
      <c r="AS534" s="77"/>
      <c r="AT534" s="77"/>
      <c r="AU534" s="77"/>
      <c r="AV534" s="83" t="str">
        <f>HYPERLINK("https://pbs.twimg.com/profile_images/1674155076959477762/p-4Rg3Rn_normal.jpg")</f>
        <v>https://pbs.twimg.com/profile_images/1674155076959477762/p-4Rg3Rn_normal.jpg</v>
      </c>
      <c r="AW534" s="81" t="s">
        <v>1113</v>
      </c>
      <c r="AX534" s="81" t="s">
        <v>1164</v>
      </c>
      <c r="AY534" s="81" t="s">
        <v>1184</v>
      </c>
      <c r="AZ534" s="81" t="s">
        <v>1198</v>
      </c>
      <c r="BA534" s="81" t="s">
        <v>1190</v>
      </c>
      <c r="BB534" s="81" t="s">
        <v>1190</v>
      </c>
      <c r="BC534" s="81" t="s">
        <v>1198</v>
      </c>
      <c r="BD534" s="77">
        <v>622691806</v>
      </c>
      <c r="BE534" s="77"/>
      <c r="BF534" s="77"/>
      <c r="BG534" s="77"/>
      <c r="BH534" s="77"/>
      <c r="BI534" s="77"/>
      <c r="BJ534">
        <v>1</v>
      </c>
      <c r="BK534" s="76" t="str">
        <f>REPLACE(INDEX(GroupVertices[Group],MATCH(Edges[[#This Row],[Vertex 1]],GroupVertices[Vertex],0)),1,1,"")</f>
        <v>6</v>
      </c>
      <c r="BL534" s="76" t="str">
        <f>REPLACE(INDEX(GroupVertices[Group],MATCH(Edges[[#This Row],[Vertex 2]],GroupVertices[Vertex],0)),1,1,"")</f>
        <v>6</v>
      </c>
      <c r="BM534" s="45">
        <v>0</v>
      </c>
      <c r="BN534" s="46">
        <v>0</v>
      </c>
      <c r="BO534" s="45">
        <v>0</v>
      </c>
      <c r="BP534" s="46">
        <v>0</v>
      </c>
      <c r="BQ534" s="45">
        <v>0</v>
      </c>
      <c r="BR534" s="46">
        <v>0</v>
      </c>
      <c r="BS534" s="45">
        <v>15</v>
      </c>
      <c r="BT534" s="46">
        <v>57.69230769230769</v>
      </c>
      <c r="BU534" s="45">
        <v>26</v>
      </c>
    </row>
    <row r="535" spans="1:73" ht="15">
      <c r="A535" s="61" t="s">
        <v>249</v>
      </c>
      <c r="B535" s="61" t="s">
        <v>228</v>
      </c>
      <c r="C535" s="62" t="s">
        <v>11692</v>
      </c>
      <c r="D535" s="63">
        <v>3</v>
      </c>
      <c r="E535" s="64" t="s">
        <v>132</v>
      </c>
      <c r="F535" s="65">
        <v>32</v>
      </c>
      <c r="G535" s="62"/>
      <c r="H535" s="66"/>
      <c r="I535" s="67"/>
      <c r="J535" s="67"/>
      <c r="K535" s="31" t="s">
        <v>65</v>
      </c>
      <c r="L535" s="75">
        <v>535</v>
      </c>
      <c r="M535" s="75"/>
      <c r="N535" s="69"/>
      <c r="O535" s="77" t="s">
        <v>543</v>
      </c>
      <c r="P535" s="79">
        <v>45163.20199074074</v>
      </c>
      <c r="Q535" s="77" t="s">
        <v>629</v>
      </c>
      <c r="R535" s="77">
        <v>0</v>
      </c>
      <c r="S535" s="77">
        <v>1</v>
      </c>
      <c r="T535" s="77">
        <v>0</v>
      </c>
      <c r="U535" s="77">
        <v>0</v>
      </c>
      <c r="V535" s="77">
        <v>24</v>
      </c>
      <c r="W535" s="77"/>
      <c r="X535" s="77"/>
      <c r="Y535" s="77"/>
      <c r="Z535" s="77" t="s">
        <v>798</v>
      </c>
      <c r="AA535" s="77"/>
      <c r="AB535" s="77"/>
      <c r="AC535" s="81" t="s">
        <v>855</v>
      </c>
      <c r="AD535" s="77" t="s">
        <v>859</v>
      </c>
      <c r="AE535" s="83" t="str">
        <f>HYPERLINK("https://twitter.com/dataengineer23/status/1694935350072791428")</f>
        <v>https://twitter.com/dataengineer23/status/1694935350072791428</v>
      </c>
      <c r="AF535" s="79">
        <v>45163.20199074074</v>
      </c>
      <c r="AG535" s="85">
        <v>45163</v>
      </c>
      <c r="AH535" s="81" t="s">
        <v>957</v>
      </c>
      <c r="AI535" s="77"/>
      <c r="AJ535" s="77"/>
      <c r="AK535" s="77"/>
      <c r="AL535" s="77"/>
      <c r="AM535" s="77"/>
      <c r="AN535" s="77"/>
      <c r="AO535" s="77"/>
      <c r="AP535" s="77"/>
      <c r="AQ535" s="77"/>
      <c r="AR535" s="77"/>
      <c r="AS535" s="77"/>
      <c r="AT535" s="77"/>
      <c r="AU535" s="77"/>
      <c r="AV535" s="83" t="str">
        <f>HYPERLINK("https://pbs.twimg.com/profile_images/1693361057580957696/YXXSA8pi_normal.jpg")</f>
        <v>https://pbs.twimg.com/profile_images/1693361057580957696/YXXSA8pi_normal.jpg</v>
      </c>
      <c r="AW535" s="81" t="s">
        <v>1112</v>
      </c>
      <c r="AX535" s="81" t="s">
        <v>1164</v>
      </c>
      <c r="AY535" s="81" t="s">
        <v>1183</v>
      </c>
      <c r="AZ535" s="81" t="s">
        <v>1113</v>
      </c>
      <c r="BA535" s="81" t="s">
        <v>1190</v>
      </c>
      <c r="BB535" s="81" t="s">
        <v>1190</v>
      </c>
      <c r="BC535" s="81" t="s">
        <v>1113</v>
      </c>
      <c r="BD535" s="81" t="s">
        <v>1184</v>
      </c>
      <c r="BE535" s="77"/>
      <c r="BF535" s="77"/>
      <c r="BG535" s="77"/>
      <c r="BH535" s="77"/>
      <c r="BI535" s="77"/>
      <c r="BJ535">
        <v>1</v>
      </c>
      <c r="BK535" s="76" t="str">
        <f>REPLACE(INDEX(GroupVertices[Group],MATCH(Edges[[#This Row],[Vertex 1]],GroupVertices[Vertex],0)),1,1,"")</f>
        <v>6</v>
      </c>
      <c r="BL535" s="76" t="str">
        <f>REPLACE(INDEX(GroupVertices[Group],MATCH(Edges[[#This Row],[Vertex 2]],GroupVertices[Vertex],0)),1,1,"")</f>
        <v>2</v>
      </c>
      <c r="BM535" s="45"/>
      <c r="BN535" s="46"/>
      <c r="BO535" s="45"/>
      <c r="BP535" s="46"/>
      <c r="BQ535" s="45"/>
      <c r="BR535" s="46"/>
      <c r="BS535" s="45"/>
      <c r="BT535" s="46"/>
      <c r="BU535" s="45"/>
    </row>
    <row r="536" spans="1:73" ht="15">
      <c r="A536" s="61" t="s">
        <v>249</v>
      </c>
      <c r="B536" s="61" t="s">
        <v>250</v>
      </c>
      <c r="C536" s="62" t="s">
        <v>11692</v>
      </c>
      <c r="D536" s="63">
        <v>3</v>
      </c>
      <c r="E536" s="64" t="s">
        <v>132</v>
      </c>
      <c r="F536" s="65">
        <v>32</v>
      </c>
      <c r="G536" s="62"/>
      <c r="H536" s="66"/>
      <c r="I536" s="67"/>
      <c r="J536" s="67"/>
      <c r="K536" s="31" t="s">
        <v>66</v>
      </c>
      <c r="L536" s="75">
        <v>536</v>
      </c>
      <c r="M536" s="75"/>
      <c r="N536" s="69"/>
      <c r="O536" s="77" t="s">
        <v>540</v>
      </c>
      <c r="P536" s="79">
        <v>45163.20199074074</v>
      </c>
      <c r="Q536" s="77" t="s">
        <v>629</v>
      </c>
      <c r="R536" s="77">
        <v>0</v>
      </c>
      <c r="S536" s="77">
        <v>1</v>
      </c>
      <c r="T536" s="77">
        <v>0</v>
      </c>
      <c r="U536" s="77">
        <v>0</v>
      </c>
      <c r="V536" s="77">
        <v>24</v>
      </c>
      <c r="W536" s="77"/>
      <c r="X536" s="77"/>
      <c r="Y536" s="77"/>
      <c r="Z536" s="77" t="s">
        <v>798</v>
      </c>
      <c r="AA536" s="77"/>
      <c r="AB536" s="77"/>
      <c r="AC536" s="81" t="s">
        <v>855</v>
      </c>
      <c r="AD536" s="77" t="s">
        <v>859</v>
      </c>
      <c r="AE536" s="83" t="str">
        <f>HYPERLINK("https://twitter.com/dataengineer23/status/1694935350072791428")</f>
        <v>https://twitter.com/dataengineer23/status/1694935350072791428</v>
      </c>
      <c r="AF536" s="79">
        <v>45163.20199074074</v>
      </c>
      <c r="AG536" s="85">
        <v>45163</v>
      </c>
      <c r="AH536" s="81" t="s">
        <v>957</v>
      </c>
      <c r="AI536" s="77"/>
      <c r="AJ536" s="77"/>
      <c r="AK536" s="77"/>
      <c r="AL536" s="77"/>
      <c r="AM536" s="77"/>
      <c r="AN536" s="77"/>
      <c r="AO536" s="77"/>
      <c r="AP536" s="77"/>
      <c r="AQ536" s="77"/>
      <c r="AR536" s="77"/>
      <c r="AS536" s="77"/>
      <c r="AT536" s="77"/>
      <c r="AU536" s="77"/>
      <c r="AV536" s="83" t="str">
        <f>HYPERLINK("https://pbs.twimg.com/profile_images/1693361057580957696/YXXSA8pi_normal.jpg")</f>
        <v>https://pbs.twimg.com/profile_images/1693361057580957696/YXXSA8pi_normal.jpg</v>
      </c>
      <c r="AW536" s="81" t="s">
        <v>1112</v>
      </c>
      <c r="AX536" s="81" t="s">
        <v>1164</v>
      </c>
      <c r="AY536" s="81" t="s">
        <v>1183</v>
      </c>
      <c r="AZ536" s="81" t="s">
        <v>1113</v>
      </c>
      <c r="BA536" s="81" t="s">
        <v>1190</v>
      </c>
      <c r="BB536" s="81" t="s">
        <v>1190</v>
      </c>
      <c r="BC536" s="81" t="s">
        <v>1113</v>
      </c>
      <c r="BD536" s="81" t="s">
        <v>1184</v>
      </c>
      <c r="BE536" s="77"/>
      <c r="BF536" s="77"/>
      <c r="BG536" s="77"/>
      <c r="BH536" s="77"/>
      <c r="BI536" s="77"/>
      <c r="BJ536">
        <v>1</v>
      </c>
      <c r="BK536" s="76" t="str">
        <f>REPLACE(INDEX(GroupVertices[Group],MATCH(Edges[[#This Row],[Vertex 1]],GroupVertices[Vertex],0)),1,1,"")</f>
        <v>6</v>
      </c>
      <c r="BL536" s="76" t="str">
        <f>REPLACE(INDEX(GroupVertices[Group],MATCH(Edges[[#This Row],[Vertex 2]],GroupVertices[Vertex],0)),1,1,"")</f>
        <v>6</v>
      </c>
      <c r="BM536" s="45"/>
      <c r="BN536" s="46"/>
      <c r="BO536" s="45"/>
      <c r="BP536" s="46"/>
      <c r="BQ536" s="45"/>
      <c r="BR536" s="46"/>
      <c r="BS536" s="45"/>
      <c r="BT536" s="46"/>
      <c r="BU536" s="45"/>
    </row>
    <row r="537" spans="1:73" ht="15">
      <c r="A537" s="61" t="s">
        <v>250</v>
      </c>
      <c r="B537" s="61" t="s">
        <v>249</v>
      </c>
      <c r="C537" s="62" t="s">
        <v>11692</v>
      </c>
      <c r="D537" s="63">
        <v>3</v>
      </c>
      <c r="E537" s="64" t="s">
        <v>132</v>
      </c>
      <c r="F537" s="65">
        <v>32</v>
      </c>
      <c r="G537" s="62"/>
      <c r="H537" s="66"/>
      <c r="I537" s="67"/>
      <c r="J537" s="67"/>
      <c r="K537" s="31" t="s">
        <v>66</v>
      </c>
      <c r="L537" s="75">
        <v>537</v>
      </c>
      <c r="M537" s="75"/>
      <c r="N537" s="69"/>
      <c r="O537" s="77" t="s">
        <v>540</v>
      </c>
      <c r="P537" s="79">
        <v>45162.91981481481</v>
      </c>
      <c r="Q537" s="77" t="s">
        <v>630</v>
      </c>
      <c r="R537" s="77">
        <v>2</v>
      </c>
      <c r="S537" s="77">
        <v>6</v>
      </c>
      <c r="T537" s="77">
        <v>1</v>
      </c>
      <c r="U537" s="77">
        <v>0</v>
      </c>
      <c r="V537" s="77">
        <v>217</v>
      </c>
      <c r="W537" s="77"/>
      <c r="X537" s="77"/>
      <c r="Y537" s="77"/>
      <c r="Z537" s="77" t="s">
        <v>799</v>
      </c>
      <c r="AA537" s="77"/>
      <c r="AB537" s="77"/>
      <c r="AC537" s="81" t="s">
        <v>855</v>
      </c>
      <c r="AD537" s="77" t="s">
        <v>859</v>
      </c>
      <c r="AE537" s="83" t="str">
        <f>HYPERLINK("https://twitter.com/ifeanyidiaye/status/1694833091456467243")</f>
        <v>https://twitter.com/ifeanyidiaye/status/1694833091456467243</v>
      </c>
      <c r="AF537" s="79">
        <v>45162.91981481481</v>
      </c>
      <c r="AG537" s="85">
        <v>45162</v>
      </c>
      <c r="AH537" s="81" t="s">
        <v>958</v>
      </c>
      <c r="AI537" s="77"/>
      <c r="AJ537" s="77"/>
      <c r="AK537" s="77"/>
      <c r="AL537" s="77"/>
      <c r="AM537" s="77"/>
      <c r="AN537" s="77"/>
      <c r="AO537" s="77"/>
      <c r="AP537" s="77"/>
      <c r="AQ537" s="77"/>
      <c r="AR537" s="77"/>
      <c r="AS537" s="77"/>
      <c r="AT537" s="77"/>
      <c r="AU537" s="77"/>
      <c r="AV537" s="83" t="str">
        <f>HYPERLINK("https://pbs.twimg.com/profile_images/1674155076959477762/p-4Rg3Rn_normal.jpg")</f>
        <v>https://pbs.twimg.com/profile_images/1674155076959477762/p-4Rg3Rn_normal.jpg</v>
      </c>
      <c r="AW537" s="81" t="s">
        <v>1113</v>
      </c>
      <c r="AX537" s="81" t="s">
        <v>1164</v>
      </c>
      <c r="AY537" s="81" t="s">
        <v>1184</v>
      </c>
      <c r="AZ537" s="81" t="s">
        <v>1198</v>
      </c>
      <c r="BA537" s="81" t="s">
        <v>1190</v>
      </c>
      <c r="BB537" s="81" t="s">
        <v>1190</v>
      </c>
      <c r="BC537" s="81" t="s">
        <v>1198</v>
      </c>
      <c r="BD537" s="77">
        <v>622691806</v>
      </c>
      <c r="BE537" s="77"/>
      <c r="BF537" s="77"/>
      <c r="BG537" s="77"/>
      <c r="BH537" s="77"/>
      <c r="BI537" s="77"/>
      <c r="BJ537">
        <v>1</v>
      </c>
      <c r="BK537" s="76" t="str">
        <f>REPLACE(INDEX(GroupVertices[Group],MATCH(Edges[[#This Row],[Vertex 1]],GroupVertices[Vertex],0)),1,1,"")</f>
        <v>6</v>
      </c>
      <c r="BL537" s="76" t="str">
        <f>REPLACE(INDEX(GroupVertices[Group],MATCH(Edges[[#This Row],[Vertex 2]],GroupVertices[Vertex],0)),1,1,"")</f>
        <v>6</v>
      </c>
      <c r="BM537" s="45"/>
      <c r="BN537" s="46"/>
      <c r="BO537" s="45"/>
      <c r="BP537" s="46"/>
      <c r="BQ537" s="45"/>
      <c r="BR537" s="46"/>
      <c r="BS537" s="45"/>
      <c r="BT537" s="46"/>
      <c r="BU537" s="45"/>
    </row>
    <row r="538" spans="1:73" ht="15">
      <c r="A538" s="61" t="s">
        <v>250</v>
      </c>
      <c r="B538" s="61" t="s">
        <v>228</v>
      </c>
      <c r="C538" s="62" t="s">
        <v>11692</v>
      </c>
      <c r="D538" s="63">
        <v>3</v>
      </c>
      <c r="E538" s="64" t="s">
        <v>132</v>
      </c>
      <c r="F538" s="65">
        <v>32</v>
      </c>
      <c r="G538" s="62"/>
      <c r="H538" s="66"/>
      <c r="I538" s="67"/>
      <c r="J538" s="67"/>
      <c r="K538" s="31" t="s">
        <v>65</v>
      </c>
      <c r="L538" s="75">
        <v>538</v>
      </c>
      <c r="M538" s="75"/>
      <c r="N538" s="69"/>
      <c r="O538" s="77" t="s">
        <v>543</v>
      </c>
      <c r="P538" s="79">
        <v>45162.91981481481</v>
      </c>
      <c r="Q538" s="77" t="s">
        <v>630</v>
      </c>
      <c r="R538" s="77">
        <v>2</v>
      </c>
      <c r="S538" s="77">
        <v>6</v>
      </c>
      <c r="T538" s="77">
        <v>1</v>
      </c>
      <c r="U538" s="77">
        <v>0</v>
      </c>
      <c r="V538" s="77">
        <v>217</v>
      </c>
      <c r="W538" s="77"/>
      <c r="X538" s="77"/>
      <c r="Y538" s="77"/>
      <c r="Z538" s="77" t="s">
        <v>799</v>
      </c>
      <c r="AA538" s="77"/>
      <c r="AB538" s="77"/>
      <c r="AC538" s="81" t="s">
        <v>855</v>
      </c>
      <c r="AD538" s="77" t="s">
        <v>859</v>
      </c>
      <c r="AE538" s="83" t="str">
        <f>HYPERLINK("https://twitter.com/ifeanyidiaye/status/1694833091456467243")</f>
        <v>https://twitter.com/ifeanyidiaye/status/1694833091456467243</v>
      </c>
      <c r="AF538" s="79">
        <v>45162.91981481481</v>
      </c>
      <c r="AG538" s="85">
        <v>45162</v>
      </c>
      <c r="AH538" s="81" t="s">
        <v>958</v>
      </c>
      <c r="AI538" s="77"/>
      <c r="AJ538" s="77"/>
      <c r="AK538" s="77"/>
      <c r="AL538" s="77"/>
      <c r="AM538" s="77"/>
      <c r="AN538" s="77"/>
      <c r="AO538" s="77"/>
      <c r="AP538" s="77"/>
      <c r="AQ538" s="77"/>
      <c r="AR538" s="77"/>
      <c r="AS538" s="77"/>
      <c r="AT538" s="77"/>
      <c r="AU538" s="77"/>
      <c r="AV538" s="83" t="str">
        <f>HYPERLINK("https://pbs.twimg.com/profile_images/1674155076959477762/p-4Rg3Rn_normal.jpg")</f>
        <v>https://pbs.twimg.com/profile_images/1674155076959477762/p-4Rg3Rn_normal.jpg</v>
      </c>
      <c r="AW538" s="81" t="s">
        <v>1113</v>
      </c>
      <c r="AX538" s="81" t="s">
        <v>1164</v>
      </c>
      <c r="AY538" s="81" t="s">
        <v>1184</v>
      </c>
      <c r="AZ538" s="81" t="s">
        <v>1198</v>
      </c>
      <c r="BA538" s="81" t="s">
        <v>1190</v>
      </c>
      <c r="BB538" s="81" t="s">
        <v>1190</v>
      </c>
      <c r="BC538" s="81" t="s">
        <v>1198</v>
      </c>
      <c r="BD538" s="77">
        <v>622691806</v>
      </c>
      <c r="BE538" s="77"/>
      <c r="BF538" s="77"/>
      <c r="BG538" s="77"/>
      <c r="BH538" s="77"/>
      <c r="BI538" s="77"/>
      <c r="BJ538">
        <v>1</v>
      </c>
      <c r="BK538" s="76" t="str">
        <f>REPLACE(INDEX(GroupVertices[Group],MATCH(Edges[[#This Row],[Vertex 1]],GroupVertices[Vertex],0)),1,1,"")</f>
        <v>6</v>
      </c>
      <c r="BL538" s="76" t="str">
        <f>REPLACE(INDEX(GroupVertices[Group],MATCH(Edges[[#This Row],[Vertex 2]],GroupVertices[Vertex],0)),1,1,"")</f>
        <v>2</v>
      </c>
      <c r="BM538" s="45"/>
      <c r="BN538" s="46"/>
      <c r="BO538" s="45"/>
      <c r="BP538" s="46"/>
      <c r="BQ538" s="45"/>
      <c r="BR538" s="46"/>
      <c r="BS538" s="45"/>
      <c r="BT538" s="46"/>
      <c r="BU538" s="45"/>
    </row>
    <row r="539" spans="1:73" ht="15">
      <c r="A539" s="61" t="s">
        <v>251</v>
      </c>
      <c r="B539" s="61" t="s">
        <v>522</v>
      </c>
      <c r="C539" s="62" t="s">
        <v>11692</v>
      </c>
      <c r="D539" s="63">
        <v>3</v>
      </c>
      <c r="E539" s="64" t="s">
        <v>132</v>
      </c>
      <c r="F539" s="65">
        <v>32</v>
      </c>
      <c r="G539" s="62"/>
      <c r="H539" s="66"/>
      <c r="I539" s="67"/>
      <c r="J539" s="67"/>
      <c r="K539" s="31" t="s">
        <v>65</v>
      </c>
      <c r="L539" s="75">
        <v>539</v>
      </c>
      <c r="M539" s="75"/>
      <c r="N539" s="69"/>
      <c r="O539" s="77" t="s">
        <v>543</v>
      </c>
      <c r="P539" s="79">
        <v>45157.72424768518</v>
      </c>
      <c r="Q539" s="77" t="s">
        <v>631</v>
      </c>
      <c r="R539" s="77">
        <v>0</v>
      </c>
      <c r="S539" s="77">
        <v>1</v>
      </c>
      <c r="T539" s="77">
        <v>0</v>
      </c>
      <c r="U539" s="77">
        <v>0</v>
      </c>
      <c r="V539" s="77">
        <v>35</v>
      </c>
      <c r="W539" s="77"/>
      <c r="X539" s="77"/>
      <c r="Y539" s="77"/>
      <c r="Z539" s="77" t="s">
        <v>800</v>
      </c>
      <c r="AA539" s="77"/>
      <c r="AB539" s="77"/>
      <c r="AC539" s="81" t="s">
        <v>853</v>
      </c>
      <c r="AD539" s="77" t="s">
        <v>867</v>
      </c>
      <c r="AE539" s="83" t="str">
        <f>HYPERLINK("https://twitter.com/himesaka__/status/1692950280973996535")</f>
        <v>https://twitter.com/himesaka__/status/1692950280973996535</v>
      </c>
      <c r="AF539" s="79">
        <v>45157.72424768518</v>
      </c>
      <c r="AG539" s="85">
        <v>45157</v>
      </c>
      <c r="AH539" s="81" t="s">
        <v>959</v>
      </c>
      <c r="AI539" s="77"/>
      <c r="AJ539" s="77"/>
      <c r="AK539" s="77"/>
      <c r="AL539" s="77"/>
      <c r="AM539" s="77"/>
      <c r="AN539" s="77"/>
      <c r="AO539" s="77"/>
      <c r="AP539" s="77"/>
      <c r="AQ539" s="77"/>
      <c r="AR539" s="77"/>
      <c r="AS539" s="77"/>
      <c r="AT539" s="77"/>
      <c r="AU539" s="77"/>
      <c r="AV539" s="83" t="str">
        <f>HYPERLINK("https://pbs.twimg.com/profile_images/1493137404546654208/TFgx-i4Z_normal.jpg")</f>
        <v>https://pbs.twimg.com/profile_images/1493137404546654208/TFgx-i4Z_normal.jpg</v>
      </c>
      <c r="AW539" s="81" t="s">
        <v>1114</v>
      </c>
      <c r="AX539" s="81" t="s">
        <v>1165</v>
      </c>
      <c r="AY539" s="81" t="s">
        <v>1185</v>
      </c>
      <c r="AZ539" s="81" t="s">
        <v>1165</v>
      </c>
      <c r="BA539" s="81" t="s">
        <v>1190</v>
      </c>
      <c r="BB539" s="81" t="s">
        <v>1190</v>
      </c>
      <c r="BC539" s="81" t="s">
        <v>1165</v>
      </c>
      <c r="BD539" s="81" t="s">
        <v>1210</v>
      </c>
      <c r="BE539" s="77"/>
      <c r="BF539" s="77"/>
      <c r="BG539" s="77"/>
      <c r="BH539" s="77"/>
      <c r="BI539" s="77"/>
      <c r="BJ539">
        <v>1</v>
      </c>
      <c r="BK539" s="76" t="str">
        <f>REPLACE(INDEX(GroupVertices[Group],MATCH(Edges[[#This Row],[Vertex 1]],GroupVertices[Vertex],0)),1,1,"")</f>
        <v>12</v>
      </c>
      <c r="BL539" s="76" t="str">
        <f>REPLACE(INDEX(GroupVertices[Group],MATCH(Edges[[#This Row],[Vertex 2]],GroupVertices[Vertex],0)),1,1,"")</f>
        <v>12</v>
      </c>
      <c r="BM539" s="45"/>
      <c r="BN539" s="46"/>
      <c r="BO539" s="45"/>
      <c r="BP539" s="46"/>
      <c r="BQ539" s="45"/>
      <c r="BR539" s="46"/>
      <c r="BS539" s="45"/>
      <c r="BT539" s="46"/>
      <c r="BU539" s="45"/>
    </row>
    <row r="540" spans="1:73" ht="15">
      <c r="A540" s="61" t="s">
        <v>251</v>
      </c>
      <c r="B540" s="61" t="s">
        <v>523</v>
      </c>
      <c r="C540" s="62" t="s">
        <v>11692</v>
      </c>
      <c r="D540" s="63">
        <v>3</v>
      </c>
      <c r="E540" s="64" t="s">
        <v>132</v>
      </c>
      <c r="F540" s="65">
        <v>32</v>
      </c>
      <c r="G540" s="62"/>
      <c r="H540" s="66"/>
      <c r="I540" s="67"/>
      <c r="J540" s="67"/>
      <c r="K540" s="31" t="s">
        <v>65</v>
      </c>
      <c r="L540" s="75">
        <v>540</v>
      </c>
      <c r="M540" s="75"/>
      <c r="N540" s="69"/>
      <c r="O540" s="77" t="s">
        <v>543</v>
      </c>
      <c r="P540" s="79">
        <v>45157.72424768518</v>
      </c>
      <c r="Q540" s="77" t="s">
        <v>631</v>
      </c>
      <c r="R540" s="77">
        <v>0</v>
      </c>
      <c r="S540" s="77">
        <v>1</v>
      </c>
      <c r="T540" s="77">
        <v>0</v>
      </c>
      <c r="U540" s="77">
        <v>0</v>
      </c>
      <c r="V540" s="77">
        <v>35</v>
      </c>
      <c r="W540" s="77"/>
      <c r="X540" s="77"/>
      <c r="Y540" s="77"/>
      <c r="Z540" s="77" t="s">
        <v>800</v>
      </c>
      <c r="AA540" s="77"/>
      <c r="AB540" s="77"/>
      <c r="AC540" s="81" t="s">
        <v>853</v>
      </c>
      <c r="AD540" s="77" t="s">
        <v>867</v>
      </c>
      <c r="AE540" s="83" t="str">
        <f>HYPERLINK("https://twitter.com/himesaka__/status/1692950280973996535")</f>
        <v>https://twitter.com/himesaka__/status/1692950280973996535</v>
      </c>
      <c r="AF540" s="79">
        <v>45157.72424768518</v>
      </c>
      <c r="AG540" s="85">
        <v>45157</v>
      </c>
      <c r="AH540" s="81" t="s">
        <v>959</v>
      </c>
      <c r="AI540" s="77"/>
      <c r="AJ540" s="77"/>
      <c r="AK540" s="77"/>
      <c r="AL540" s="77"/>
      <c r="AM540" s="77"/>
      <c r="AN540" s="77"/>
      <c r="AO540" s="77"/>
      <c r="AP540" s="77"/>
      <c r="AQ540" s="77"/>
      <c r="AR540" s="77"/>
      <c r="AS540" s="77"/>
      <c r="AT540" s="77"/>
      <c r="AU540" s="77"/>
      <c r="AV540" s="83" t="str">
        <f>HYPERLINK("https://pbs.twimg.com/profile_images/1493137404546654208/TFgx-i4Z_normal.jpg")</f>
        <v>https://pbs.twimg.com/profile_images/1493137404546654208/TFgx-i4Z_normal.jpg</v>
      </c>
      <c r="AW540" s="81" t="s">
        <v>1114</v>
      </c>
      <c r="AX540" s="81" t="s">
        <v>1165</v>
      </c>
      <c r="AY540" s="81" t="s">
        <v>1185</v>
      </c>
      <c r="AZ540" s="81" t="s">
        <v>1165</v>
      </c>
      <c r="BA540" s="81" t="s">
        <v>1190</v>
      </c>
      <c r="BB540" s="81" t="s">
        <v>1190</v>
      </c>
      <c r="BC540" s="81" t="s">
        <v>1165</v>
      </c>
      <c r="BD540" s="81" t="s">
        <v>1210</v>
      </c>
      <c r="BE540" s="77"/>
      <c r="BF540" s="77"/>
      <c r="BG540" s="77"/>
      <c r="BH540" s="77"/>
      <c r="BI540" s="77"/>
      <c r="BJ540">
        <v>1</v>
      </c>
      <c r="BK540" s="76" t="str">
        <f>REPLACE(INDEX(GroupVertices[Group],MATCH(Edges[[#This Row],[Vertex 1]],GroupVertices[Vertex],0)),1,1,"")</f>
        <v>12</v>
      </c>
      <c r="BL540" s="76" t="str">
        <f>REPLACE(INDEX(GroupVertices[Group],MATCH(Edges[[#This Row],[Vertex 2]],GroupVertices[Vertex],0)),1,1,"")</f>
        <v>12</v>
      </c>
      <c r="BM540" s="45"/>
      <c r="BN540" s="46"/>
      <c r="BO540" s="45"/>
      <c r="BP540" s="46"/>
      <c r="BQ540" s="45"/>
      <c r="BR540" s="46"/>
      <c r="BS540" s="45"/>
      <c r="BT540" s="46"/>
      <c r="BU540" s="45"/>
    </row>
    <row r="541" spans="1:73" ht="15">
      <c r="A541" s="61" t="s">
        <v>251</v>
      </c>
      <c r="B541" s="61" t="s">
        <v>524</v>
      </c>
      <c r="C541" s="62" t="s">
        <v>11692</v>
      </c>
      <c r="D541" s="63">
        <v>3</v>
      </c>
      <c r="E541" s="64" t="s">
        <v>132</v>
      </c>
      <c r="F541" s="65">
        <v>32</v>
      </c>
      <c r="G541" s="62"/>
      <c r="H541" s="66"/>
      <c r="I541" s="67"/>
      <c r="J541" s="67"/>
      <c r="K541" s="31" t="s">
        <v>65</v>
      </c>
      <c r="L541" s="75">
        <v>541</v>
      </c>
      <c r="M541" s="75"/>
      <c r="N541" s="69"/>
      <c r="O541" s="77" t="s">
        <v>543</v>
      </c>
      <c r="P541" s="79">
        <v>45157.72424768518</v>
      </c>
      <c r="Q541" s="77" t="s">
        <v>631</v>
      </c>
      <c r="R541" s="77">
        <v>0</v>
      </c>
      <c r="S541" s="77">
        <v>1</v>
      </c>
      <c r="T541" s="77">
        <v>0</v>
      </c>
      <c r="U541" s="77">
        <v>0</v>
      </c>
      <c r="V541" s="77">
        <v>35</v>
      </c>
      <c r="W541" s="77"/>
      <c r="X541" s="77"/>
      <c r="Y541" s="77"/>
      <c r="Z541" s="77" t="s">
        <v>800</v>
      </c>
      <c r="AA541" s="77"/>
      <c r="AB541" s="77"/>
      <c r="AC541" s="81" t="s">
        <v>853</v>
      </c>
      <c r="AD541" s="77" t="s">
        <v>867</v>
      </c>
      <c r="AE541" s="83" t="str">
        <f>HYPERLINK("https://twitter.com/himesaka__/status/1692950280973996535")</f>
        <v>https://twitter.com/himesaka__/status/1692950280973996535</v>
      </c>
      <c r="AF541" s="79">
        <v>45157.72424768518</v>
      </c>
      <c r="AG541" s="85">
        <v>45157</v>
      </c>
      <c r="AH541" s="81" t="s">
        <v>959</v>
      </c>
      <c r="AI541" s="77"/>
      <c r="AJ541" s="77"/>
      <c r="AK541" s="77"/>
      <c r="AL541" s="77"/>
      <c r="AM541" s="77"/>
      <c r="AN541" s="77"/>
      <c r="AO541" s="77"/>
      <c r="AP541" s="77"/>
      <c r="AQ541" s="77"/>
      <c r="AR541" s="77"/>
      <c r="AS541" s="77"/>
      <c r="AT541" s="77"/>
      <c r="AU541" s="77"/>
      <c r="AV541" s="83" t="str">
        <f>HYPERLINK("https://pbs.twimg.com/profile_images/1493137404546654208/TFgx-i4Z_normal.jpg")</f>
        <v>https://pbs.twimg.com/profile_images/1493137404546654208/TFgx-i4Z_normal.jpg</v>
      </c>
      <c r="AW541" s="81" t="s">
        <v>1114</v>
      </c>
      <c r="AX541" s="81" t="s">
        <v>1165</v>
      </c>
      <c r="AY541" s="81" t="s">
        <v>1185</v>
      </c>
      <c r="AZ541" s="81" t="s">
        <v>1165</v>
      </c>
      <c r="BA541" s="81" t="s">
        <v>1190</v>
      </c>
      <c r="BB541" s="81" t="s">
        <v>1190</v>
      </c>
      <c r="BC541" s="81" t="s">
        <v>1165</v>
      </c>
      <c r="BD541" s="81" t="s">
        <v>1210</v>
      </c>
      <c r="BE541" s="77"/>
      <c r="BF541" s="77"/>
      <c r="BG541" s="77"/>
      <c r="BH541" s="77"/>
      <c r="BI541" s="77"/>
      <c r="BJ541">
        <v>1</v>
      </c>
      <c r="BK541" s="76" t="str">
        <f>REPLACE(INDEX(GroupVertices[Group],MATCH(Edges[[#This Row],[Vertex 1]],GroupVertices[Vertex],0)),1,1,"")</f>
        <v>12</v>
      </c>
      <c r="BL541" s="76" t="str">
        <f>REPLACE(INDEX(GroupVertices[Group],MATCH(Edges[[#This Row],[Vertex 2]],GroupVertices[Vertex],0)),1,1,"")</f>
        <v>12</v>
      </c>
      <c r="BM541" s="45"/>
      <c r="BN541" s="46"/>
      <c r="BO541" s="45"/>
      <c r="BP541" s="46"/>
      <c r="BQ541" s="45"/>
      <c r="BR541" s="46"/>
      <c r="BS541" s="45"/>
      <c r="BT541" s="46"/>
      <c r="BU541" s="45"/>
    </row>
    <row r="542" spans="1:73" ht="15">
      <c r="A542" s="61" t="s">
        <v>251</v>
      </c>
      <c r="B542" s="61" t="s">
        <v>525</v>
      </c>
      <c r="C542" s="62" t="s">
        <v>11692</v>
      </c>
      <c r="D542" s="63">
        <v>3</v>
      </c>
      <c r="E542" s="64" t="s">
        <v>132</v>
      </c>
      <c r="F542" s="65">
        <v>32</v>
      </c>
      <c r="G542" s="62"/>
      <c r="H542" s="66"/>
      <c r="I542" s="67"/>
      <c r="J542" s="67"/>
      <c r="K542" s="31" t="s">
        <v>65</v>
      </c>
      <c r="L542" s="75">
        <v>542</v>
      </c>
      <c r="M542" s="75"/>
      <c r="N542" s="69"/>
      <c r="O542" s="77" t="s">
        <v>540</v>
      </c>
      <c r="P542" s="79">
        <v>45157.72424768518</v>
      </c>
      <c r="Q542" s="77" t="s">
        <v>631</v>
      </c>
      <c r="R542" s="77">
        <v>0</v>
      </c>
      <c r="S542" s="77">
        <v>1</v>
      </c>
      <c r="T542" s="77">
        <v>0</v>
      </c>
      <c r="U542" s="77">
        <v>0</v>
      </c>
      <c r="V542" s="77">
        <v>35</v>
      </c>
      <c r="W542" s="77"/>
      <c r="X542" s="77"/>
      <c r="Y542" s="77"/>
      <c r="Z542" s="77" t="s">
        <v>800</v>
      </c>
      <c r="AA542" s="77"/>
      <c r="AB542" s="77"/>
      <c r="AC542" s="81" t="s">
        <v>853</v>
      </c>
      <c r="AD542" s="77" t="s">
        <v>867</v>
      </c>
      <c r="AE542" s="83" t="str">
        <f>HYPERLINK("https://twitter.com/himesaka__/status/1692950280973996535")</f>
        <v>https://twitter.com/himesaka__/status/1692950280973996535</v>
      </c>
      <c r="AF542" s="79">
        <v>45157.72424768518</v>
      </c>
      <c r="AG542" s="85">
        <v>45157</v>
      </c>
      <c r="AH542" s="81" t="s">
        <v>959</v>
      </c>
      <c r="AI542" s="77"/>
      <c r="AJ542" s="77"/>
      <c r="AK542" s="77"/>
      <c r="AL542" s="77"/>
      <c r="AM542" s="77"/>
      <c r="AN542" s="77"/>
      <c r="AO542" s="77"/>
      <c r="AP542" s="77"/>
      <c r="AQ542" s="77"/>
      <c r="AR542" s="77"/>
      <c r="AS542" s="77"/>
      <c r="AT542" s="77"/>
      <c r="AU542" s="77"/>
      <c r="AV542" s="83" t="str">
        <f>HYPERLINK("https://pbs.twimg.com/profile_images/1493137404546654208/TFgx-i4Z_normal.jpg")</f>
        <v>https://pbs.twimg.com/profile_images/1493137404546654208/TFgx-i4Z_normal.jpg</v>
      </c>
      <c r="AW542" s="81" t="s">
        <v>1114</v>
      </c>
      <c r="AX542" s="81" t="s">
        <v>1165</v>
      </c>
      <c r="AY542" s="81" t="s">
        <v>1185</v>
      </c>
      <c r="AZ542" s="81" t="s">
        <v>1165</v>
      </c>
      <c r="BA542" s="81" t="s">
        <v>1190</v>
      </c>
      <c r="BB542" s="81" t="s">
        <v>1190</v>
      </c>
      <c r="BC542" s="81" t="s">
        <v>1165</v>
      </c>
      <c r="BD542" s="81" t="s">
        <v>1210</v>
      </c>
      <c r="BE542" s="77"/>
      <c r="BF542" s="77"/>
      <c r="BG542" s="77"/>
      <c r="BH542" s="77"/>
      <c r="BI542" s="77"/>
      <c r="BJ542">
        <v>1</v>
      </c>
      <c r="BK542" s="76" t="str">
        <f>REPLACE(INDEX(GroupVertices[Group],MATCH(Edges[[#This Row],[Vertex 1]],GroupVertices[Vertex],0)),1,1,"")</f>
        <v>12</v>
      </c>
      <c r="BL542" s="76" t="str">
        <f>REPLACE(INDEX(GroupVertices[Group],MATCH(Edges[[#This Row],[Vertex 2]],GroupVertices[Vertex],0)),1,1,"")</f>
        <v>12</v>
      </c>
      <c r="BM542" s="45">
        <v>0</v>
      </c>
      <c r="BN542" s="46">
        <v>0</v>
      </c>
      <c r="BO542" s="45">
        <v>0</v>
      </c>
      <c r="BP542" s="46">
        <v>0</v>
      </c>
      <c r="BQ542" s="45">
        <v>0</v>
      </c>
      <c r="BR542" s="46">
        <v>0</v>
      </c>
      <c r="BS542" s="45">
        <v>12</v>
      </c>
      <c r="BT542" s="46">
        <v>100</v>
      </c>
      <c r="BU542" s="45">
        <v>12</v>
      </c>
    </row>
    <row r="543" spans="1:73" ht="15">
      <c r="A543" s="61" t="s">
        <v>251</v>
      </c>
      <c r="B543" s="61" t="s">
        <v>251</v>
      </c>
      <c r="C543" s="62" t="s">
        <v>11692</v>
      </c>
      <c r="D543" s="63">
        <v>3</v>
      </c>
      <c r="E543" s="64" t="s">
        <v>132</v>
      </c>
      <c r="F543" s="65">
        <v>32</v>
      </c>
      <c r="G543" s="62"/>
      <c r="H543" s="66"/>
      <c r="I543" s="67"/>
      <c r="J543" s="67"/>
      <c r="K543" s="31" t="s">
        <v>65</v>
      </c>
      <c r="L543" s="75">
        <v>543</v>
      </c>
      <c r="M543" s="75"/>
      <c r="N543" s="69"/>
      <c r="O543" s="77" t="s">
        <v>178</v>
      </c>
      <c r="P543" s="79">
        <v>45158.74569444444</v>
      </c>
      <c r="Q543" s="77" t="s">
        <v>632</v>
      </c>
      <c r="R543" s="77">
        <v>0</v>
      </c>
      <c r="S543" s="77">
        <v>10</v>
      </c>
      <c r="T543" s="77">
        <v>0</v>
      </c>
      <c r="U543" s="77">
        <v>0</v>
      </c>
      <c r="V543" s="77">
        <v>509</v>
      </c>
      <c r="W543" s="77"/>
      <c r="X543" s="77"/>
      <c r="Y543" s="77"/>
      <c r="Z543" s="77"/>
      <c r="AA543" s="77" t="s">
        <v>838</v>
      </c>
      <c r="AB543" s="77" t="s">
        <v>850</v>
      </c>
      <c r="AC543" s="81" t="s">
        <v>853</v>
      </c>
      <c r="AD543" s="77" t="s">
        <v>859</v>
      </c>
      <c r="AE543" s="83" t="str">
        <f>HYPERLINK("https://twitter.com/himesaka__/status/1693320440440344617")</f>
        <v>https://twitter.com/himesaka__/status/1693320440440344617</v>
      </c>
      <c r="AF543" s="79">
        <v>45158.74569444444</v>
      </c>
      <c r="AG543" s="85">
        <v>45158</v>
      </c>
      <c r="AH543" s="81" t="s">
        <v>960</v>
      </c>
      <c r="AI543" s="77" t="b">
        <v>0</v>
      </c>
      <c r="AJ543" s="77"/>
      <c r="AK543" s="77"/>
      <c r="AL543" s="77"/>
      <c r="AM543" s="77"/>
      <c r="AN543" s="77"/>
      <c r="AO543" s="77"/>
      <c r="AP543" s="77"/>
      <c r="AQ543" s="77" t="s">
        <v>1017</v>
      </c>
      <c r="AR543" s="77"/>
      <c r="AS543" s="77"/>
      <c r="AT543" s="77"/>
      <c r="AU543" s="77"/>
      <c r="AV543" s="83" t="str">
        <f>HYPERLINK("https://pbs.twimg.com/media/F3_hR2HaUAARpa0.jpg")</f>
        <v>https://pbs.twimg.com/media/F3_hR2HaUAARpa0.jpg</v>
      </c>
      <c r="AW543" s="81" t="s">
        <v>1115</v>
      </c>
      <c r="AX543" s="81" t="s">
        <v>1115</v>
      </c>
      <c r="AY543" s="77"/>
      <c r="AZ543" s="81" t="s">
        <v>1190</v>
      </c>
      <c r="BA543" s="81" t="s">
        <v>1190</v>
      </c>
      <c r="BB543" s="81" t="s">
        <v>1190</v>
      </c>
      <c r="BC543" s="81" t="s">
        <v>1115</v>
      </c>
      <c r="BD543" s="81" t="s">
        <v>1210</v>
      </c>
      <c r="BE543" s="77"/>
      <c r="BF543" s="77"/>
      <c r="BG543" s="77"/>
      <c r="BH543" s="77"/>
      <c r="BI543" s="77"/>
      <c r="BJ543">
        <v>1</v>
      </c>
      <c r="BK543" s="76" t="str">
        <f>REPLACE(INDEX(GroupVertices[Group],MATCH(Edges[[#This Row],[Vertex 1]],GroupVertices[Vertex],0)),1,1,"")</f>
        <v>12</v>
      </c>
      <c r="BL543" s="76" t="str">
        <f>REPLACE(INDEX(GroupVertices[Group],MATCH(Edges[[#This Row],[Vertex 2]],GroupVertices[Vertex],0)),1,1,"")</f>
        <v>12</v>
      </c>
      <c r="BM543" s="45">
        <v>1</v>
      </c>
      <c r="BN543" s="46">
        <v>2.0833333333333335</v>
      </c>
      <c r="BO543" s="45">
        <v>0</v>
      </c>
      <c r="BP543" s="46">
        <v>0</v>
      </c>
      <c r="BQ543" s="45">
        <v>0</v>
      </c>
      <c r="BR543" s="46">
        <v>0</v>
      </c>
      <c r="BS543" s="45">
        <v>31</v>
      </c>
      <c r="BT543" s="46">
        <v>64.58333333333333</v>
      </c>
      <c r="BU543" s="45">
        <v>48</v>
      </c>
    </row>
    <row r="544" spans="1:73" ht="15">
      <c r="A544" s="61" t="s">
        <v>252</v>
      </c>
      <c r="B544" s="61" t="s">
        <v>229</v>
      </c>
      <c r="C544" s="62" t="s">
        <v>11694</v>
      </c>
      <c r="D544" s="63">
        <v>5.8</v>
      </c>
      <c r="E544" s="64" t="s">
        <v>132</v>
      </c>
      <c r="F544" s="65">
        <v>23.2</v>
      </c>
      <c r="G544" s="62"/>
      <c r="H544" s="66"/>
      <c r="I544" s="67"/>
      <c r="J544" s="67"/>
      <c r="K544" s="31" t="s">
        <v>66</v>
      </c>
      <c r="L544" s="75">
        <v>544</v>
      </c>
      <c r="M544" s="75"/>
      <c r="N544" s="69"/>
      <c r="O544" s="77" t="s">
        <v>540</v>
      </c>
      <c r="P544" s="79">
        <v>45161.24364583333</v>
      </c>
      <c r="Q544" s="77" t="s">
        <v>633</v>
      </c>
      <c r="R544" s="77">
        <v>0</v>
      </c>
      <c r="S544" s="77">
        <v>1</v>
      </c>
      <c r="T544" s="77">
        <v>3</v>
      </c>
      <c r="U544" s="77">
        <v>1</v>
      </c>
      <c r="V544" s="77">
        <v>787</v>
      </c>
      <c r="W544" s="77"/>
      <c r="X544" s="77"/>
      <c r="Y544" s="77"/>
      <c r="Z544" s="77" t="s">
        <v>801</v>
      </c>
      <c r="AA544" s="77"/>
      <c r="AB544" s="77"/>
      <c r="AC544" s="81" t="s">
        <v>853</v>
      </c>
      <c r="AD544" s="77" t="s">
        <v>860</v>
      </c>
      <c r="AE544" s="83" t="str">
        <f>HYPERLINK("https://twitter.com/samisyrjamaki/status/1694225671558447150")</f>
        <v>https://twitter.com/samisyrjamaki/status/1694225671558447150</v>
      </c>
      <c r="AF544" s="79">
        <v>45161.24364583333</v>
      </c>
      <c r="AG544" s="85">
        <v>45161</v>
      </c>
      <c r="AH544" s="81" t="s">
        <v>961</v>
      </c>
      <c r="AI544" s="77"/>
      <c r="AJ544" s="77"/>
      <c r="AK544" s="77"/>
      <c r="AL544" s="77"/>
      <c r="AM544" s="77"/>
      <c r="AN544" s="77"/>
      <c r="AO544" s="77"/>
      <c r="AP544" s="77"/>
      <c r="AQ544" s="77"/>
      <c r="AR544" s="77"/>
      <c r="AS544" s="77"/>
      <c r="AT544" s="77"/>
      <c r="AU544" s="77"/>
      <c r="AV544" s="83" t="str">
        <f>HYPERLINK("https://pbs.twimg.com/profile_images/1686727292679008256/gCNSpMpN_normal.jpg")</f>
        <v>https://pbs.twimg.com/profile_images/1686727292679008256/gCNSpMpN_normal.jpg</v>
      </c>
      <c r="AW544" s="81" t="s">
        <v>1116</v>
      </c>
      <c r="AX544" s="81" t="s">
        <v>1121</v>
      </c>
      <c r="AY544" s="81" t="s">
        <v>1169</v>
      </c>
      <c r="AZ544" s="81" t="s">
        <v>1121</v>
      </c>
      <c r="BA544" s="81" t="s">
        <v>1190</v>
      </c>
      <c r="BB544" s="81" t="s">
        <v>1190</v>
      </c>
      <c r="BC544" s="81" t="s">
        <v>1121</v>
      </c>
      <c r="BD544" s="81" t="s">
        <v>1186</v>
      </c>
      <c r="BE544" s="77"/>
      <c r="BF544" s="77"/>
      <c r="BG544" s="77"/>
      <c r="BH544" s="77"/>
      <c r="BI544" s="77"/>
      <c r="BJ544">
        <v>3</v>
      </c>
      <c r="BK544" s="76" t="str">
        <f>REPLACE(INDEX(GroupVertices[Group],MATCH(Edges[[#This Row],[Vertex 1]],GroupVertices[Vertex],0)),1,1,"")</f>
        <v>2</v>
      </c>
      <c r="BL544" s="76" t="str">
        <f>REPLACE(INDEX(GroupVertices[Group],MATCH(Edges[[#This Row],[Vertex 2]],GroupVertices[Vertex],0)),1,1,"")</f>
        <v>1</v>
      </c>
      <c r="BM544" s="45"/>
      <c r="BN544" s="46"/>
      <c r="BO544" s="45"/>
      <c r="BP544" s="46"/>
      <c r="BQ544" s="45"/>
      <c r="BR544" s="46"/>
      <c r="BS544" s="45"/>
      <c r="BT544" s="46"/>
      <c r="BU544" s="45"/>
    </row>
    <row r="545" spans="1:73" ht="15">
      <c r="A545" s="61" t="s">
        <v>252</v>
      </c>
      <c r="B545" s="61" t="s">
        <v>229</v>
      </c>
      <c r="C545" s="62" t="s">
        <v>11694</v>
      </c>
      <c r="D545" s="63">
        <v>5.8</v>
      </c>
      <c r="E545" s="64" t="s">
        <v>132</v>
      </c>
      <c r="F545" s="65">
        <v>23.2</v>
      </c>
      <c r="G545" s="62"/>
      <c r="H545" s="66"/>
      <c r="I545" s="67"/>
      <c r="J545" s="67"/>
      <c r="K545" s="31" t="s">
        <v>66</v>
      </c>
      <c r="L545" s="75">
        <v>545</v>
      </c>
      <c r="M545" s="75"/>
      <c r="N545" s="69"/>
      <c r="O545" s="77" t="s">
        <v>540</v>
      </c>
      <c r="P545" s="79">
        <v>45161.24576388889</v>
      </c>
      <c r="Q545" s="77" t="s">
        <v>634</v>
      </c>
      <c r="R545" s="77">
        <v>0</v>
      </c>
      <c r="S545" s="77">
        <v>0</v>
      </c>
      <c r="T545" s="77">
        <v>0</v>
      </c>
      <c r="U545" s="77">
        <v>0</v>
      </c>
      <c r="V545" s="77">
        <v>26</v>
      </c>
      <c r="W545" s="77"/>
      <c r="X545" s="77"/>
      <c r="Y545" s="77"/>
      <c r="Z545" s="77" t="s">
        <v>801</v>
      </c>
      <c r="AA545" s="77"/>
      <c r="AB545" s="77"/>
      <c r="AC545" s="81" t="s">
        <v>853</v>
      </c>
      <c r="AD545" s="77" t="s">
        <v>871</v>
      </c>
      <c r="AE545" s="83" t="str">
        <f>HYPERLINK("https://twitter.com/samisyrjamaki/status/1694226435483840860")</f>
        <v>https://twitter.com/samisyrjamaki/status/1694226435483840860</v>
      </c>
      <c r="AF545" s="79">
        <v>45161.24576388889</v>
      </c>
      <c r="AG545" s="85">
        <v>45161</v>
      </c>
      <c r="AH545" s="81" t="s">
        <v>962</v>
      </c>
      <c r="AI545" s="77"/>
      <c r="AJ545" s="77"/>
      <c r="AK545" s="77"/>
      <c r="AL545" s="77"/>
      <c r="AM545" s="77"/>
      <c r="AN545" s="77"/>
      <c r="AO545" s="77"/>
      <c r="AP545" s="77"/>
      <c r="AQ545" s="77"/>
      <c r="AR545" s="77"/>
      <c r="AS545" s="77"/>
      <c r="AT545" s="77"/>
      <c r="AU545" s="77"/>
      <c r="AV545" s="83" t="str">
        <f>HYPERLINK("https://pbs.twimg.com/profile_images/1686727292679008256/gCNSpMpN_normal.jpg")</f>
        <v>https://pbs.twimg.com/profile_images/1686727292679008256/gCNSpMpN_normal.jpg</v>
      </c>
      <c r="AW545" s="81" t="s">
        <v>1117</v>
      </c>
      <c r="AX545" s="81" t="s">
        <v>1121</v>
      </c>
      <c r="AY545" s="81" t="s">
        <v>1169</v>
      </c>
      <c r="AZ545" s="81" t="s">
        <v>1123</v>
      </c>
      <c r="BA545" s="81" t="s">
        <v>1190</v>
      </c>
      <c r="BB545" s="81" t="s">
        <v>1190</v>
      </c>
      <c r="BC545" s="81" t="s">
        <v>1123</v>
      </c>
      <c r="BD545" s="81" t="s">
        <v>1186</v>
      </c>
      <c r="BE545" s="77"/>
      <c r="BF545" s="77"/>
      <c r="BG545" s="77"/>
      <c r="BH545" s="77"/>
      <c r="BI545" s="77"/>
      <c r="BJ545">
        <v>3</v>
      </c>
      <c r="BK545" s="76" t="str">
        <f>REPLACE(INDEX(GroupVertices[Group],MATCH(Edges[[#This Row],[Vertex 1]],GroupVertices[Vertex],0)),1,1,"")</f>
        <v>2</v>
      </c>
      <c r="BL545" s="76" t="str">
        <f>REPLACE(INDEX(GroupVertices[Group],MATCH(Edges[[#This Row],[Vertex 2]],GroupVertices[Vertex],0)),1,1,"")</f>
        <v>1</v>
      </c>
      <c r="BM545" s="45"/>
      <c r="BN545" s="46"/>
      <c r="BO545" s="45"/>
      <c r="BP545" s="46"/>
      <c r="BQ545" s="45"/>
      <c r="BR545" s="46"/>
      <c r="BS545" s="45"/>
      <c r="BT545" s="46"/>
      <c r="BU545" s="45"/>
    </row>
    <row r="546" spans="1:73" ht="15">
      <c r="A546" s="61" t="s">
        <v>252</v>
      </c>
      <c r="B546" s="61" t="s">
        <v>229</v>
      </c>
      <c r="C546" s="62" t="s">
        <v>11694</v>
      </c>
      <c r="D546" s="63">
        <v>5.8</v>
      </c>
      <c r="E546" s="64" t="s">
        <v>132</v>
      </c>
      <c r="F546" s="65">
        <v>23.2</v>
      </c>
      <c r="G546" s="62"/>
      <c r="H546" s="66"/>
      <c r="I546" s="67"/>
      <c r="J546" s="67"/>
      <c r="K546" s="31" t="s">
        <v>66</v>
      </c>
      <c r="L546" s="75">
        <v>546</v>
      </c>
      <c r="M546" s="75"/>
      <c r="N546" s="69"/>
      <c r="O546" s="77" t="s">
        <v>540</v>
      </c>
      <c r="P546" s="79">
        <v>45161.596875</v>
      </c>
      <c r="Q546" s="77" t="s">
        <v>635</v>
      </c>
      <c r="R546" s="77">
        <v>0</v>
      </c>
      <c r="S546" s="77">
        <v>2</v>
      </c>
      <c r="T546" s="77">
        <v>0</v>
      </c>
      <c r="U546" s="77">
        <v>0</v>
      </c>
      <c r="V546" s="77">
        <v>39</v>
      </c>
      <c r="W546" s="77"/>
      <c r="X546" s="77"/>
      <c r="Y546" s="77"/>
      <c r="Z546" s="77" t="s">
        <v>802</v>
      </c>
      <c r="AA546" s="77"/>
      <c r="AB546" s="77"/>
      <c r="AC546" s="81" t="s">
        <v>853</v>
      </c>
      <c r="AD546" s="77" t="s">
        <v>860</v>
      </c>
      <c r="AE546" s="83" t="str">
        <f>HYPERLINK("https://twitter.com/samisyrjamaki/status/1694353676209381785")</f>
        <v>https://twitter.com/samisyrjamaki/status/1694353676209381785</v>
      </c>
      <c r="AF546" s="79">
        <v>45161.596875</v>
      </c>
      <c r="AG546" s="85">
        <v>45161</v>
      </c>
      <c r="AH546" s="81" t="s">
        <v>963</v>
      </c>
      <c r="AI546" s="77"/>
      <c r="AJ546" s="77"/>
      <c r="AK546" s="77"/>
      <c r="AL546" s="77"/>
      <c r="AM546" s="77"/>
      <c r="AN546" s="77"/>
      <c r="AO546" s="77"/>
      <c r="AP546" s="77"/>
      <c r="AQ546" s="77"/>
      <c r="AR546" s="77"/>
      <c r="AS546" s="77"/>
      <c r="AT546" s="77"/>
      <c r="AU546" s="77"/>
      <c r="AV546" s="83" t="str">
        <f>HYPERLINK("https://pbs.twimg.com/profile_images/1686727292679008256/gCNSpMpN_normal.jpg")</f>
        <v>https://pbs.twimg.com/profile_images/1686727292679008256/gCNSpMpN_normal.jpg</v>
      </c>
      <c r="AW546" s="81" t="s">
        <v>1118</v>
      </c>
      <c r="AX546" s="81" t="s">
        <v>1121</v>
      </c>
      <c r="AY546" s="81" t="s">
        <v>1169</v>
      </c>
      <c r="AZ546" s="81" t="s">
        <v>1119</v>
      </c>
      <c r="BA546" s="81" t="s">
        <v>1190</v>
      </c>
      <c r="BB546" s="81" t="s">
        <v>1190</v>
      </c>
      <c r="BC546" s="81" t="s">
        <v>1119</v>
      </c>
      <c r="BD546" s="81" t="s">
        <v>1186</v>
      </c>
      <c r="BE546" s="77"/>
      <c r="BF546" s="77"/>
      <c r="BG546" s="77"/>
      <c r="BH546" s="77"/>
      <c r="BI546" s="77"/>
      <c r="BJ546">
        <v>3</v>
      </c>
      <c r="BK546" s="76" t="str">
        <f>REPLACE(INDEX(GroupVertices[Group],MATCH(Edges[[#This Row],[Vertex 1]],GroupVertices[Vertex],0)),1,1,"")</f>
        <v>2</v>
      </c>
      <c r="BL546" s="76" t="str">
        <f>REPLACE(INDEX(GroupVertices[Group],MATCH(Edges[[#This Row],[Vertex 2]],GroupVertices[Vertex],0)),1,1,"")</f>
        <v>1</v>
      </c>
      <c r="BM546" s="45"/>
      <c r="BN546" s="46"/>
      <c r="BO546" s="45"/>
      <c r="BP546" s="46"/>
      <c r="BQ546" s="45"/>
      <c r="BR546" s="46"/>
      <c r="BS546" s="45"/>
      <c r="BT546" s="46"/>
      <c r="BU546" s="45"/>
    </row>
    <row r="547" spans="1:73" ht="15">
      <c r="A547" s="61" t="s">
        <v>229</v>
      </c>
      <c r="B547" s="61" t="s">
        <v>252</v>
      </c>
      <c r="C547" s="62" t="s">
        <v>11692</v>
      </c>
      <c r="D547" s="63">
        <v>3</v>
      </c>
      <c r="E547" s="64" t="s">
        <v>132</v>
      </c>
      <c r="F547" s="65">
        <v>32</v>
      </c>
      <c r="G547" s="62"/>
      <c r="H547" s="66"/>
      <c r="I547" s="67"/>
      <c r="J547" s="67"/>
      <c r="K547" s="31" t="s">
        <v>66</v>
      </c>
      <c r="L547" s="75">
        <v>547</v>
      </c>
      <c r="M547" s="75"/>
      <c r="N547" s="69"/>
      <c r="O547" s="77" t="s">
        <v>539</v>
      </c>
      <c r="P547" s="79">
        <v>45162.556539351855</v>
      </c>
      <c r="Q547" s="77" t="s">
        <v>564</v>
      </c>
      <c r="R547" s="77">
        <v>0</v>
      </c>
      <c r="S547" s="77">
        <v>9</v>
      </c>
      <c r="T547" s="77">
        <v>1</v>
      </c>
      <c r="U547" s="77">
        <v>1</v>
      </c>
      <c r="V547" s="77">
        <v>288</v>
      </c>
      <c r="W547" s="81" t="s">
        <v>677</v>
      </c>
      <c r="X547" s="83" t="str">
        <f>HYPERLINK("https://bit.ly/3E8yBoX")</f>
        <v>https://bit.ly/3E8yBoX</v>
      </c>
      <c r="Y547" s="77" t="s">
        <v>740</v>
      </c>
      <c r="Z547" s="77" t="s">
        <v>762</v>
      </c>
      <c r="AA547" s="77"/>
      <c r="AB547" s="77"/>
      <c r="AC547" s="81" t="s">
        <v>853</v>
      </c>
      <c r="AD547" s="77" t="s">
        <v>859</v>
      </c>
      <c r="AE547" s="83" t="str">
        <f>HYPERLINK("https://twitter.com/mihkal/status/1694701446430589097")</f>
        <v>https://twitter.com/mihkal/status/1694701446430589097</v>
      </c>
      <c r="AF547" s="79">
        <v>45162.556539351855</v>
      </c>
      <c r="AG547" s="85">
        <v>45162</v>
      </c>
      <c r="AH547" s="81" t="s">
        <v>891</v>
      </c>
      <c r="AI547" s="77" t="b">
        <v>0</v>
      </c>
      <c r="AJ547" s="77"/>
      <c r="AK547" s="77"/>
      <c r="AL547" s="77"/>
      <c r="AM547" s="77"/>
      <c r="AN547" s="77"/>
      <c r="AO547" s="77"/>
      <c r="AP547" s="77"/>
      <c r="AQ547" s="77"/>
      <c r="AR547" s="77"/>
      <c r="AS547" s="77"/>
      <c r="AT547" s="77"/>
      <c r="AU547" s="77"/>
      <c r="AV547" s="83" t="str">
        <f>HYPERLINK("https://pbs.twimg.com/profile_images/1663227887837757440/XOjtFF4W_normal.jpg")</f>
        <v>https://pbs.twimg.com/profile_images/1663227887837757440/XOjtFF4W_normal.jpg</v>
      </c>
      <c r="AW547" s="81" t="s">
        <v>1046</v>
      </c>
      <c r="AX547" s="81" t="s">
        <v>1046</v>
      </c>
      <c r="AY547" s="77"/>
      <c r="AZ547" s="81" t="s">
        <v>1190</v>
      </c>
      <c r="BA547" s="81" t="s">
        <v>1190</v>
      </c>
      <c r="BB547" s="81" t="s">
        <v>1190</v>
      </c>
      <c r="BC547" s="81" t="s">
        <v>1046</v>
      </c>
      <c r="BD547" s="77">
        <v>24256031</v>
      </c>
      <c r="BE547" s="77"/>
      <c r="BF547" s="77"/>
      <c r="BG547" s="77"/>
      <c r="BH547" s="77"/>
      <c r="BI547" s="77"/>
      <c r="BJ547">
        <v>1</v>
      </c>
      <c r="BK547" s="76" t="str">
        <f>REPLACE(INDEX(GroupVertices[Group],MATCH(Edges[[#This Row],[Vertex 1]],GroupVertices[Vertex],0)),1,1,"")</f>
        <v>1</v>
      </c>
      <c r="BL547" s="76" t="str">
        <f>REPLACE(INDEX(GroupVertices[Group],MATCH(Edges[[#This Row],[Vertex 2]],GroupVertices[Vertex],0)),1,1,"")</f>
        <v>2</v>
      </c>
      <c r="BM547" s="45">
        <v>1</v>
      </c>
      <c r="BN547" s="46">
        <v>5</v>
      </c>
      <c r="BO547" s="45">
        <v>0</v>
      </c>
      <c r="BP547" s="46">
        <v>0</v>
      </c>
      <c r="BQ547" s="45">
        <v>0</v>
      </c>
      <c r="BR547" s="46">
        <v>0</v>
      </c>
      <c r="BS547" s="45">
        <v>18</v>
      </c>
      <c r="BT547" s="46">
        <v>90</v>
      </c>
      <c r="BU547" s="45">
        <v>20</v>
      </c>
    </row>
    <row r="548" spans="1:73" ht="15">
      <c r="A548" s="61" t="s">
        <v>229</v>
      </c>
      <c r="B548" s="61" t="s">
        <v>228</v>
      </c>
      <c r="C548" s="62" t="s">
        <v>11697</v>
      </c>
      <c r="D548" s="63">
        <v>10</v>
      </c>
      <c r="E548" s="64" t="s">
        <v>136</v>
      </c>
      <c r="F548" s="65">
        <v>10</v>
      </c>
      <c r="G548" s="62"/>
      <c r="H548" s="66"/>
      <c r="I548" s="67"/>
      <c r="J548" s="67"/>
      <c r="K548" s="31" t="s">
        <v>65</v>
      </c>
      <c r="L548" s="75">
        <v>548</v>
      </c>
      <c r="M548" s="75"/>
      <c r="N548" s="69"/>
      <c r="O548" s="77" t="s">
        <v>543</v>
      </c>
      <c r="P548" s="79">
        <v>45161.32444444444</v>
      </c>
      <c r="Q548" s="77" t="s">
        <v>595</v>
      </c>
      <c r="R548" s="77">
        <v>1</v>
      </c>
      <c r="S548" s="77">
        <v>1</v>
      </c>
      <c r="T548" s="77">
        <v>1</v>
      </c>
      <c r="U548" s="77">
        <v>0</v>
      </c>
      <c r="V548" s="77">
        <v>98</v>
      </c>
      <c r="W548" s="81" t="s">
        <v>701</v>
      </c>
      <c r="X548" s="77"/>
      <c r="Y548" s="77"/>
      <c r="Z548" s="77" t="s">
        <v>785</v>
      </c>
      <c r="AA548" s="77"/>
      <c r="AB548" s="77"/>
      <c r="AC548" s="81" t="s">
        <v>853</v>
      </c>
      <c r="AD548" s="77" t="s">
        <v>860</v>
      </c>
      <c r="AE548" s="83" t="str">
        <f>HYPERLINK("https://twitter.com/mihkal/status/1694254950790918501")</f>
        <v>https://twitter.com/mihkal/status/1694254950790918501</v>
      </c>
      <c r="AF548" s="79">
        <v>45161.32444444444</v>
      </c>
      <c r="AG548" s="85">
        <v>45161</v>
      </c>
      <c r="AH548" s="81" t="s">
        <v>923</v>
      </c>
      <c r="AI548" s="77"/>
      <c r="AJ548" s="77"/>
      <c r="AK548" s="77"/>
      <c r="AL548" s="77"/>
      <c r="AM548" s="77"/>
      <c r="AN548" s="77"/>
      <c r="AO548" s="77"/>
      <c r="AP548" s="77"/>
      <c r="AQ548" s="77"/>
      <c r="AR548" s="77"/>
      <c r="AS548" s="77"/>
      <c r="AT548" s="77"/>
      <c r="AU548" s="77"/>
      <c r="AV548" s="83" t="str">
        <f>HYPERLINK("https://pbs.twimg.com/profile_images/1663227887837757440/XOjtFF4W_normal.jpg")</f>
        <v>https://pbs.twimg.com/profile_images/1663227887837757440/XOjtFF4W_normal.jpg</v>
      </c>
      <c r="AW548" s="81" t="s">
        <v>1078</v>
      </c>
      <c r="AX548" s="81" t="s">
        <v>1158</v>
      </c>
      <c r="AY548" s="81" t="s">
        <v>1180</v>
      </c>
      <c r="AZ548" s="81" t="s">
        <v>1194</v>
      </c>
      <c r="BA548" s="81" t="s">
        <v>1190</v>
      </c>
      <c r="BB548" s="81" t="s">
        <v>1190</v>
      </c>
      <c r="BC548" s="81" t="s">
        <v>1194</v>
      </c>
      <c r="BD548" s="77">
        <v>24256031</v>
      </c>
      <c r="BE548" s="77"/>
      <c r="BF548" s="77"/>
      <c r="BG548" s="77"/>
      <c r="BH548" s="77"/>
      <c r="BI548" s="77"/>
      <c r="BJ548">
        <v>10</v>
      </c>
      <c r="BK548" s="76" t="str">
        <f>REPLACE(INDEX(GroupVertices[Group],MATCH(Edges[[#This Row],[Vertex 1]],GroupVertices[Vertex],0)),1,1,"")</f>
        <v>1</v>
      </c>
      <c r="BL548" s="76" t="str">
        <f>REPLACE(INDEX(GroupVertices[Group],MATCH(Edges[[#This Row],[Vertex 2]],GroupVertices[Vertex],0)),1,1,"")</f>
        <v>2</v>
      </c>
      <c r="BM548" s="45"/>
      <c r="BN548" s="46"/>
      <c r="BO548" s="45"/>
      <c r="BP548" s="46"/>
      <c r="BQ548" s="45"/>
      <c r="BR548" s="46"/>
      <c r="BS548" s="45"/>
      <c r="BT548" s="46"/>
      <c r="BU548" s="45"/>
    </row>
    <row r="549" spans="1:73" ht="15">
      <c r="A549" s="61" t="s">
        <v>229</v>
      </c>
      <c r="B549" s="61" t="s">
        <v>229</v>
      </c>
      <c r="C549" s="62" t="s">
        <v>11692</v>
      </c>
      <c r="D549" s="63">
        <v>3</v>
      </c>
      <c r="E549" s="64" t="s">
        <v>132</v>
      </c>
      <c r="F549" s="65">
        <v>32</v>
      </c>
      <c r="G549" s="62"/>
      <c r="H549" s="66"/>
      <c r="I549" s="67"/>
      <c r="J549" s="67"/>
      <c r="K549" s="31" t="s">
        <v>65</v>
      </c>
      <c r="L549" s="75">
        <v>549</v>
      </c>
      <c r="M549" s="75"/>
      <c r="N549" s="69"/>
      <c r="O549" s="77" t="s">
        <v>543</v>
      </c>
      <c r="P549" s="79">
        <v>45161.32444444444</v>
      </c>
      <c r="Q549" s="77" t="s">
        <v>595</v>
      </c>
      <c r="R549" s="77">
        <v>1</v>
      </c>
      <c r="S549" s="77">
        <v>1</v>
      </c>
      <c r="T549" s="77">
        <v>1</v>
      </c>
      <c r="U549" s="77">
        <v>0</v>
      </c>
      <c r="V549" s="77">
        <v>98</v>
      </c>
      <c r="W549" s="81" t="s">
        <v>701</v>
      </c>
      <c r="X549" s="77"/>
      <c r="Y549" s="77"/>
      <c r="Z549" s="77" t="s">
        <v>785</v>
      </c>
      <c r="AA549" s="77"/>
      <c r="AB549" s="77"/>
      <c r="AC549" s="81" t="s">
        <v>853</v>
      </c>
      <c r="AD549" s="77" t="s">
        <v>860</v>
      </c>
      <c r="AE549" s="83" t="str">
        <f>HYPERLINK("https://twitter.com/mihkal/status/1694254950790918501")</f>
        <v>https://twitter.com/mihkal/status/1694254950790918501</v>
      </c>
      <c r="AF549" s="79">
        <v>45161.32444444444</v>
      </c>
      <c r="AG549" s="85">
        <v>45161</v>
      </c>
      <c r="AH549" s="81" t="s">
        <v>923</v>
      </c>
      <c r="AI549" s="77"/>
      <c r="AJ549" s="77"/>
      <c r="AK549" s="77"/>
      <c r="AL549" s="77"/>
      <c r="AM549" s="77"/>
      <c r="AN549" s="77"/>
      <c r="AO549" s="77"/>
      <c r="AP549" s="77"/>
      <c r="AQ549" s="77"/>
      <c r="AR549" s="77"/>
      <c r="AS549" s="77"/>
      <c r="AT549" s="77"/>
      <c r="AU549" s="77"/>
      <c r="AV549" s="83" t="str">
        <f>HYPERLINK("https://pbs.twimg.com/profile_images/1663227887837757440/XOjtFF4W_normal.jpg")</f>
        <v>https://pbs.twimg.com/profile_images/1663227887837757440/XOjtFF4W_normal.jpg</v>
      </c>
      <c r="AW549" s="81" t="s">
        <v>1078</v>
      </c>
      <c r="AX549" s="81" t="s">
        <v>1158</v>
      </c>
      <c r="AY549" s="81" t="s">
        <v>1180</v>
      </c>
      <c r="AZ549" s="81" t="s">
        <v>1194</v>
      </c>
      <c r="BA549" s="81" t="s">
        <v>1190</v>
      </c>
      <c r="BB549" s="81" t="s">
        <v>1190</v>
      </c>
      <c r="BC549" s="81" t="s">
        <v>1194</v>
      </c>
      <c r="BD549" s="77">
        <v>24256031</v>
      </c>
      <c r="BE549" s="77"/>
      <c r="BF549" s="77"/>
      <c r="BG549" s="77"/>
      <c r="BH549" s="77"/>
      <c r="BI549" s="77"/>
      <c r="BJ549">
        <v>1</v>
      </c>
      <c r="BK549" s="76" t="str">
        <f>REPLACE(INDEX(GroupVertices[Group],MATCH(Edges[[#This Row],[Vertex 1]],GroupVertices[Vertex],0)),1,1,"")</f>
        <v>1</v>
      </c>
      <c r="BL549" s="76" t="str">
        <f>REPLACE(INDEX(GroupVertices[Group],MATCH(Edges[[#This Row],[Vertex 2]],GroupVertices[Vertex],0)),1,1,"")</f>
        <v>1</v>
      </c>
      <c r="BM549" s="45"/>
      <c r="BN549" s="46"/>
      <c r="BO549" s="45"/>
      <c r="BP549" s="46"/>
      <c r="BQ549" s="45"/>
      <c r="BR549" s="46"/>
      <c r="BS549" s="45"/>
      <c r="BT549" s="46"/>
      <c r="BU549" s="45"/>
    </row>
    <row r="550" spans="1:73" ht="15">
      <c r="A550" s="61" t="s">
        <v>229</v>
      </c>
      <c r="B550" s="61" t="s">
        <v>253</v>
      </c>
      <c r="C550" s="62" t="s">
        <v>11693</v>
      </c>
      <c r="D550" s="63">
        <v>4.4</v>
      </c>
      <c r="E550" s="64" t="s">
        <v>132</v>
      </c>
      <c r="F550" s="65">
        <v>27.6</v>
      </c>
      <c r="G550" s="62"/>
      <c r="H550" s="66"/>
      <c r="I550" s="67"/>
      <c r="J550" s="67"/>
      <c r="K550" s="31" t="s">
        <v>66</v>
      </c>
      <c r="L550" s="75">
        <v>550</v>
      </c>
      <c r="M550" s="75"/>
      <c r="N550" s="69"/>
      <c r="O550" s="77" t="s">
        <v>540</v>
      </c>
      <c r="P550" s="79">
        <v>45161.32444444444</v>
      </c>
      <c r="Q550" s="77" t="s">
        <v>595</v>
      </c>
      <c r="R550" s="77">
        <v>1</v>
      </c>
      <c r="S550" s="77">
        <v>1</v>
      </c>
      <c r="T550" s="77">
        <v>1</v>
      </c>
      <c r="U550" s="77">
        <v>0</v>
      </c>
      <c r="V550" s="77">
        <v>98</v>
      </c>
      <c r="W550" s="81" t="s">
        <v>701</v>
      </c>
      <c r="X550" s="77"/>
      <c r="Y550" s="77"/>
      <c r="Z550" s="77" t="s">
        <v>785</v>
      </c>
      <c r="AA550" s="77"/>
      <c r="AB550" s="77"/>
      <c r="AC550" s="81" t="s">
        <v>853</v>
      </c>
      <c r="AD550" s="77" t="s">
        <v>860</v>
      </c>
      <c r="AE550" s="83" t="str">
        <f>HYPERLINK("https://twitter.com/mihkal/status/1694254950790918501")</f>
        <v>https://twitter.com/mihkal/status/1694254950790918501</v>
      </c>
      <c r="AF550" s="79">
        <v>45161.32444444444</v>
      </c>
      <c r="AG550" s="85">
        <v>45161</v>
      </c>
      <c r="AH550" s="81" t="s">
        <v>923</v>
      </c>
      <c r="AI550" s="77"/>
      <c r="AJ550" s="77"/>
      <c r="AK550" s="77"/>
      <c r="AL550" s="77"/>
      <c r="AM550" s="77"/>
      <c r="AN550" s="77"/>
      <c r="AO550" s="77"/>
      <c r="AP550" s="77"/>
      <c r="AQ550" s="77"/>
      <c r="AR550" s="77"/>
      <c r="AS550" s="77"/>
      <c r="AT550" s="77"/>
      <c r="AU550" s="77"/>
      <c r="AV550" s="83" t="str">
        <f>HYPERLINK("https://pbs.twimg.com/profile_images/1663227887837757440/XOjtFF4W_normal.jpg")</f>
        <v>https://pbs.twimg.com/profile_images/1663227887837757440/XOjtFF4W_normal.jpg</v>
      </c>
      <c r="AW550" s="81" t="s">
        <v>1078</v>
      </c>
      <c r="AX550" s="81" t="s">
        <v>1158</v>
      </c>
      <c r="AY550" s="81" t="s">
        <v>1180</v>
      </c>
      <c r="AZ550" s="81" t="s">
        <v>1194</v>
      </c>
      <c r="BA550" s="81" t="s">
        <v>1190</v>
      </c>
      <c r="BB550" s="81" t="s">
        <v>1190</v>
      </c>
      <c r="BC550" s="81" t="s">
        <v>1194</v>
      </c>
      <c r="BD550" s="77">
        <v>24256031</v>
      </c>
      <c r="BE550" s="77"/>
      <c r="BF550" s="77"/>
      <c r="BG550" s="77"/>
      <c r="BH550" s="77"/>
      <c r="BI550" s="77"/>
      <c r="BJ550">
        <v>2</v>
      </c>
      <c r="BK550" s="76" t="str">
        <f>REPLACE(INDEX(GroupVertices[Group],MATCH(Edges[[#This Row],[Vertex 1]],GroupVertices[Vertex],0)),1,1,"")</f>
        <v>1</v>
      </c>
      <c r="BL550" s="76" t="str">
        <f>REPLACE(INDEX(GroupVertices[Group],MATCH(Edges[[#This Row],[Vertex 2]],GroupVertices[Vertex],0)),1,1,"")</f>
        <v>2</v>
      </c>
      <c r="BM550" s="45">
        <v>0</v>
      </c>
      <c r="BN550" s="46">
        <v>0</v>
      </c>
      <c r="BO550" s="45">
        <v>0</v>
      </c>
      <c r="BP550" s="46">
        <v>0</v>
      </c>
      <c r="BQ550" s="45">
        <v>0</v>
      </c>
      <c r="BR550" s="46">
        <v>0</v>
      </c>
      <c r="BS550" s="45">
        <v>34</v>
      </c>
      <c r="BT550" s="46">
        <v>97.14285714285714</v>
      </c>
      <c r="BU550" s="45">
        <v>35</v>
      </c>
    </row>
    <row r="551" spans="1:73" ht="15">
      <c r="A551" s="61" t="s">
        <v>229</v>
      </c>
      <c r="B551" s="61" t="s">
        <v>228</v>
      </c>
      <c r="C551" s="62" t="s">
        <v>11693</v>
      </c>
      <c r="D551" s="63">
        <v>4.4</v>
      </c>
      <c r="E551" s="64" t="s">
        <v>132</v>
      </c>
      <c r="F551" s="65">
        <v>27.6</v>
      </c>
      <c r="G551" s="62"/>
      <c r="H551" s="66"/>
      <c r="I551" s="67"/>
      <c r="J551" s="67"/>
      <c r="K551" s="31" t="s">
        <v>65</v>
      </c>
      <c r="L551" s="75">
        <v>551</v>
      </c>
      <c r="M551" s="75"/>
      <c r="N551" s="69"/>
      <c r="O551" s="77" t="s">
        <v>539</v>
      </c>
      <c r="P551" s="79">
        <v>45164.47796296296</v>
      </c>
      <c r="Q551" s="77" t="s">
        <v>572</v>
      </c>
      <c r="R551" s="77">
        <v>0</v>
      </c>
      <c r="S551" s="77">
        <v>4</v>
      </c>
      <c r="T551" s="77">
        <v>1</v>
      </c>
      <c r="U551" s="77">
        <v>0</v>
      </c>
      <c r="V551" s="77">
        <v>94</v>
      </c>
      <c r="W551" s="81" t="s">
        <v>683</v>
      </c>
      <c r="X551" s="83" t="str">
        <f>HYPERLINK("https://bit.ly/47Lu0XB")</f>
        <v>https://bit.ly/47Lu0XB</v>
      </c>
      <c r="Y551" s="77" t="s">
        <v>740</v>
      </c>
      <c r="Z551" s="77" t="s">
        <v>770</v>
      </c>
      <c r="AA551" s="77"/>
      <c r="AB551" s="77"/>
      <c r="AC551" s="81" t="s">
        <v>853</v>
      </c>
      <c r="AD551" s="77" t="s">
        <v>863</v>
      </c>
      <c r="AE551" s="83" t="str">
        <f>HYPERLINK("https://twitter.com/mihkal/status/1695397746121875757")</f>
        <v>https://twitter.com/mihkal/status/1695397746121875757</v>
      </c>
      <c r="AF551" s="79">
        <v>45164.47796296296</v>
      </c>
      <c r="AG551" s="85">
        <v>45164</v>
      </c>
      <c r="AH551" s="81" t="s">
        <v>899</v>
      </c>
      <c r="AI551" s="77" t="b">
        <v>0</v>
      </c>
      <c r="AJ551" s="77"/>
      <c r="AK551" s="77"/>
      <c r="AL551" s="77"/>
      <c r="AM551" s="77"/>
      <c r="AN551" s="77"/>
      <c r="AO551" s="77"/>
      <c r="AP551" s="77"/>
      <c r="AQ551" s="77"/>
      <c r="AR551" s="77"/>
      <c r="AS551" s="77"/>
      <c r="AT551" s="77"/>
      <c r="AU551" s="77"/>
      <c r="AV551" s="83" t="str">
        <f>HYPERLINK("https://pbs.twimg.com/profile_images/1663227887837757440/XOjtFF4W_normal.jpg")</f>
        <v>https://pbs.twimg.com/profile_images/1663227887837757440/XOjtFF4W_normal.jpg</v>
      </c>
      <c r="AW551" s="81" t="s">
        <v>1054</v>
      </c>
      <c r="AX551" s="81" t="s">
        <v>1054</v>
      </c>
      <c r="AY551" s="77"/>
      <c r="AZ551" s="81" t="s">
        <v>1190</v>
      </c>
      <c r="BA551" s="81" t="s">
        <v>1190</v>
      </c>
      <c r="BB551" s="81" t="s">
        <v>1190</v>
      </c>
      <c r="BC551" s="81" t="s">
        <v>1054</v>
      </c>
      <c r="BD551" s="77">
        <v>24256031</v>
      </c>
      <c r="BE551" s="77"/>
      <c r="BF551" s="77"/>
      <c r="BG551" s="77"/>
      <c r="BH551" s="77"/>
      <c r="BI551" s="77"/>
      <c r="BJ551">
        <v>2</v>
      </c>
      <c r="BK551" s="76" t="str">
        <f>REPLACE(INDEX(GroupVertices[Group],MATCH(Edges[[#This Row],[Vertex 1]],GroupVertices[Vertex],0)),1,1,"")</f>
        <v>1</v>
      </c>
      <c r="BL551" s="76" t="str">
        <f>REPLACE(INDEX(GroupVertices[Group],MATCH(Edges[[#This Row],[Vertex 2]],GroupVertices[Vertex],0)),1,1,"")</f>
        <v>2</v>
      </c>
      <c r="BM551" s="45"/>
      <c r="BN551" s="46"/>
      <c r="BO551" s="45"/>
      <c r="BP551" s="46"/>
      <c r="BQ551" s="45"/>
      <c r="BR551" s="46"/>
      <c r="BS551" s="45"/>
      <c r="BT551" s="46"/>
      <c r="BU551" s="45"/>
    </row>
    <row r="552" spans="1:73" ht="15">
      <c r="A552" s="61" t="s">
        <v>229</v>
      </c>
      <c r="B552" s="61" t="s">
        <v>228</v>
      </c>
      <c r="C552" s="62" t="s">
        <v>11697</v>
      </c>
      <c r="D552" s="63">
        <v>10</v>
      </c>
      <c r="E552" s="64" t="s">
        <v>136</v>
      </c>
      <c r="F552" s="65">
        <v>10</v>
      </c>
      <c r="G552" s="62"/>
      <c r="H552" s="66"/>
      <c r="I552" s="67"/>
      <c r="J552" s="67"/>
      <c r="K552" s="31" t="s">
        <v>65</v>
      </c>
      <c r="L552" s="75">
        <v>552</v>
      </c>
      <c r="M552" s="75"/>
      <c r="N552" s="69"/>
      <c r="O552" s="77" t="s">
        <v>543</v>
      </c>
      <c r="P552" s="79">
        <v>45161.51385416667</v>
      </c>
      <c r="Q552" s="77" t="s">
        <v>636</v>
      </c>
      <c r="R552" s="77">
        <v>0</v>
      </c>
      <c r="S552" s="77">
        <v>0</v>
      </c>
      <c r="T552" s="77">
        <v>1</v>
      </c>
      <c r="U552" s="77">
        <v>0</v>
      </c>
      <c r="V552" s="77">
        <v>45</v>
      </c>
      <c r="W552" s="77"/>
      <c r="X552" s="77"/>
      <c r="Y552" s="77"/>
      <c r="Z552" s="77" t="s">
        <v>803</v>
      </c>
      <c r="AA552" s="77"/>
      <c r="AB552" s="77"/>
      <c r="AC552" s="81" t="s">
        <v>853</v>
      </c>
      <c r="AD552" s="77" t="s">
        <v>860</v>
      </c>
      <c r="AE552" s="83" t="str">
        <f>HYPERLINK("https://twitter.com/mihkal/status/1694323588793249872")</f>
        <v>https://twitter.com/mihkal/status/1694323588793249872</v>
      </c>
      <c r="AF552" s="79">
        <v>45161.51385416667</v>
      </c>
      <c r="AG552" s="85">
        <v>45161</v>
      </c>
      <c r="AH552" s="81" t="s">
        <v>964</v>
      </c>
      <c r="AI552" s="77"/>
      <c r="AJ552" s="77"/>
      <c r="AK552" s="77"/>
      <c r="AL552" s="77"/>
      <c r="AM552" s="77"/>
      <c r="AN552" s="77"/>
      <c r="AO552" s="77"/>
      <c r="AP552" s="77"/>
      <c r="AQ552" s="77"/>
      <c r="AR552" s="77"/>
      <c r="AS552" s="77"/>
      <c r="AT552" s="77"/>
      <c r="AU552" s="77"/>
      <c r="AV552" s="83" t="str">
        <f>HYPERLINK("https://pbs.twimg.com/profile_images/1663227887837757440/XOjtFF4W_normal.jpg")</f>
        <v>https://pbs.twimg.com/profile_images/1663227887837757440/XOjtFF4W_normal.jpg</v>
      </c>
      <c r="AW552" s="81" t="s">
        <v>1119</v>
      </c>
      <c r="AX552" s="81" t="s">
        <v>1121</v>
      </c>
      <c r="AY552" s="81" t="s">
        <v>1180</v>
      </c>
      <c r="AZ552" s="81" t="s">
        <v>1124</v>
      </c>
      <c r="BA552" s="81" t="s">
        <v>1190</v>
      </c>
      <c r="BB552" s="81" t="s">
        <v>1190</v>
      </c>
      <c r="BC552" s="81" t="s">
        <v>1124</v>
      </c>
      <c r="BD552" s="77">
        <v>24256031</v>
      </c>
      <c r="BE552" s="77"/>
      <c r="BF552" s="77"/>
      <c r="BG552" s="77"/>
      <c r="BH552" s="77"/>
      <c r="BI552" s="77"/>
      <c r="BJ552">
        <v>10</v>
      </c>
      <c r="BK552" s="76" t="str">
        <f>REPLACE(INDEX(GroupVertices[Group],MATCH(Edges[[#This Row],[Vertex 1]],GroupVertices[Vertex],0)),1,1,"")</f>
        <v>1</v>
      </c>
      <c r="BL552" s="76" t="str">
        <f>REPLACE(INDEX(GroupVertices[Group],MATCH(Edges[[#This Row],[Vertex 2]],GroupVertices[Vertex],0)),1,1,"")</f>
        <v>2</v>
      </c>
      <c r="BM552" s="45"/>
      <c r="BN552" s="46"/>
      <c r="BO552" s="45"/>
      <c r="BP552" s="46"/>
      <c r="BQ552" s="45"/>
      <c r="BR552" s="46"/>
      <c r="BS552" s="45"/>
      <c r="BT552" s="46"/>
      <c r="BU552" s="45"/>
    </row>
    <row r="553" spans="1:73" ht="15">
      <c r="A553" s="61" t="s">
        <v>229</v>
      </c>
      <c r="B553" s="61" t="s">
        <v>252</v>
      </c>
      <c r="C553" s="62" t="s">
        <v>11692</v>
      </c>
      <c r="D553" s="63">
        <v>3</v>
      </c>
      <c r="E553" s="64" t="s">
        <v>132</v>
      </c>
      <c r="F553" s="65">
        <v>32</v>
      </c>
      <c r="G553" s="62"/>
      <c r="H553" s="66"/>
      <c r="I553" s="67"/>
      <c r="J553" s="67"/>
      <c r="K553" s="31" t="s">
        <v>66</v>
      </c>
      <c r="L553" s="75">
        <v>553</v>
      </c>
      <c r="M553" s="75"/>
      <c r="N553" s="69"/>
      <c r="O553" s="77" t="s">
        <v>543</v>
      </c>
      <c r="P553" s="79">
        <v>45161.51385416667</v>
      </c>
      <c r="Q553" s="77" t="s">
        <v>636</v>
      </c>
      <c r="R553" s="77">
        <v>0</v>
      </c>
      <c r="S553" s="77">
        <v>0</v>
      </c>
      <c r="T553" s="77">
        <v>1</v>
      </c>
      <c r="U553" s="77">
        <v>0</v>
      </c>
      <c r="V553" s="77">
        <v>45</v>
      </c>
      <c r="W553" s="77"/>
      <c r="X553" s="77"/>
      <c r="Y553" s="77"/>
      <c r="Z553" s="77" t="s">
        <v>803</v>
      </c>
      <c r="AA553" s="77"/>
      <c r="AB553" s="77"/>
      <c r="AC553" s="81" t="s">
        <v>853</v>
      </c>
      <c r="AD553" s="77" t="s">
        <v>860</v>
      </c>
      <c r="AE553" s="83" t="str">
        <f>HYPERLINK("https://twitter.com/mihkal/status/1694323588793249872")</f>
        <v>https://twitter.com/mihkal/status/1694323588793249872</v>
      </c>
      <c r="AF553" s="79">
        <v>45161.51385416667</v>
      </c>
      <c r="AG553" s="85">
        <v>45161</v>
      </c>
      <c r="AH553" s="81" t="s">
        <v>964</v>
      </c>
      <c r="AI553" s="77"/>
      <c r="AJ553" s="77"/>
      <c r="AK553" s="77"/>
      <c r="AL553" s="77"/>
      <c r="AM553" s="77"/>
      <c r="AN553" s="77"/>
      <c r="AO553" s="77"/>
      <c r="AP553" s="77"/>
      <c r="AQ553" s="77"/>
      <c r="AR553" s="77"/>
      <c r="AS553" s="77"/>
      <c r="AT553" s="77"/>
      <c r="AU553" s="77"/>
      <c r="AV553" s="83" t="str">
        <f>HYPERLINK("https://pbs.twimg.com/profile_images/1663227887837757440/XOjtFF4W_normal.jpg")</f>
        <v>https://pbs.twimg.com/profile_images/1663227887837757440/XOjtFF4W_normal.jpg</v>
      </c>
      <c r="AW553" s="81" t="s">
        <v>1119</v>
      </c>
      <c r="AX553" s="81" t="s">
        <v>1121</v>
      </c>
      <c r="AY553" s="81" t="s">
        <v>1180</v>
      </c>
      <c r="AZ553" s="81" t="s">
        <v>1124</v>
      </c>
      <c r="BA553" s="81" t="s">
        <v>1190</v>
      </c>
      <c r="BB553" s="81" t="s">
        <v>1190</v>
      </c>
      <c r="BC553" s="81" t="s">
        <v>1124</v>
      </c>
      <c r="BD553" s="77">
        <v>24256031</v>
      </c>
      <c r="BE553" s="77"/>
      <c r="BF553" s="77"/>
      <c r="BG553" s="77"/>
      <c r="BH553" s="77"/>
      <c r="BI553" s="77"/>
      <c r="BJ553">
        <v>1</v>
      </c>
      <c r="BK553" s="76" t="str">
        <f>REPLACE(INDEX(GroupVertices[Group],MATCH(Edges[[#This Row],[Vertex 1]],GroupVertices[Vertex],0)),1,1,"")</f>
        <v>1</v>
      </c>
      <c r="BL553" s="76" t="str">
        <f>REPLACE(INDEX(GroupVertices[Group],MATCH(Edges[[#This Row],[Vertex 2]],GroupVertices[Vertex],0)),1,1,"")</f>
        <v>2</v>
      </c>
      <c r="BM553" s="45"/>
      <c r="BN553" s="46"/>
      <c r="BO553" s="45"/>
      <c r="BP553" s="46"/>
      <c r="BQ553" s="45"/>
      <c r="BR553" s="46"/>
      <c r="BS553" s="45"/>
      <c r="BT553" s="46"/>
      <c r="BU553" s="45"/>
    </row>
    <row r="554" spans="1:73" ht="15">
      <c r="A554" s="61" t="s">
        <v>229</v>
      </c>
      <c r="B554" s="61" t="s">
        <v>253</v>
      </c>
      <c r="C554" s="62" t="s">
        <v>11693</v>
      </c>
      <c r="D554" s="63">
        <v>4.4</v>
      </c>
      <c r="E554" s="64" t="s">
        <v>132</v>
      </c>
      <c r="F554" s="65">
        <v>27.6</v>
      </c>
      <c r="G554" s="62"/>
      <c r="H554" s="66"/>
      <c r="I554" s="67"/>
      <c r="J554" s="67"/>
      <c r="K554" s="31" t="s">
        <v>66</v>
      </c>
      <c r="L554" s="75">
        <v>554</v>
      </c>
      <c r="M554" s="75"/>
      <c r="N554" s="69"/>
      <c r="O554" s="77" t="s">
        <v>540</v>
      </c>
      <c r="P554" s="79">
        <v>45161.51385416667</v>
      </c>
      <c r="Q554" s="77" t="s">
        <v>636</v>
      </c>
      <c r="R554" s="77">
        <v>0</v>
      </c>
      <c r="S554" s="77">
        <v>0</v>
      </c>
      <c r="T554" s="77">
        <v>1</v>
      </c>
      <c r="U554" s="77">
        <v>0</v>
      </c>
      <c r="V554" s="77">
        <v>45</v>
      </c>
      <c r="W554" s="77"/>
      <c r="X554" s="77"/>
      <c r="Y554" s="77"/>
      <c r="Z554" s="77" t="s">
        <v>803</v>
      </c>
      <c r="AA554" s="77"/>
      <c r="AB554" s="77"/>
      <c r="AC554" s="81" t="s">
        <v>853</v>
      </c>
      <c r="AD554" s="77" t="s">
        <v>860</v>
      </c>
      <c r="AE554" s="83" t="str">
        <f>HYPERLINK("https://twitter.com/mihkal/status/1694323588793249872")</f>
        <v>https://twitter.com/mihkal/status/1694323588793249872</v>
      </c>
      <c r="AF554" s="79">
        <v>45161.51385416667</v>
      </c>
      <c r="AG554" s="85">
        <v>45161</v>
      </c>
      <c r="AH554" s="81" t="s">
        <v>964</v>
      </c>
      <c r="AI554" s="77"/>
      <c r="AJ554" s="77"/>
      <c r="AK554" s="77"/>
      <c r="AL554" s="77"/>
      <c r="AM554" s="77"/>
      <c r="AN554" s="77"/>
      <c r="AO554" s="77"/>
      <c r="AP554" s="77"/>
      <c r="AQ554" s="77"/>
      <c r="AR554" s="77"/>
      <c r="AS554" s="77"/>
      <c r="AT554" s="77"/>
      <c r="AU554" s="77"/>
      <c r="AV554" s="83" t="str">
        <f>HYPERLINK("https://pbs.twimg.com/profile_images/1663227887837757440/XOjtFF4W_normal.jpg")</f>
        <v>https://pbs.twimg.com/profile_images/1663227887837757440/XOjtFF4W_normal.jpg</v>
      </c>
      <c r="AW554" s="81" t="s">
        <v>1119</v>
      </c>
      <c r="AX554" s="81" t="s">
        <v>1121</v>
      </c>
      <c r="AY554" s="81" t="s">
        <v>1180</v>
      </c>
      <c r="AZ554" s="81" t="s">
        <v>1124</v>
      </c>
      <c r="BA554" s="81" t="s">
        <v>1190</v>
      </c>
      <c r="BB554" s="81" t="s">
        <v>1190</v>
      </c>
      <c r="BC554" s="81" t="s">
        <v>1124</v>
      </c>
      <c r="BD554" s="77">
        <v>24256031</v>
      </c>
      <c r="BE554" s="77"/>
      <c r="BF554" s="77"/>
      <c r="BG554" s="77"/>
      <c r="BH554" s="77"/>
      <c r="BI554" s="77"/>
      <c r="BJ554">
        <v>2</v>
      </c>
      <c r="BK554" s="76" t="str">
        <f>REPLACE(INDEX(GroupVertices[Group],MATCH(Edges[[#This Row],[Vertex 1]],GroupVertices[Vertex],0)),1,1,"")</f>
        <v>1</v>
      </c>
      <c r="BL554" s="76" t="str">
        <f>REPLACE(INDEX(GroupVertices[Group],MATCH(Edges[[#This Row],[Vertex 2]],GroupVertices[Vertex],0)),1,1,"")</f>
        <v>2</v>
      </c>
      <c r="BM554" s="45">
        <v>0</v>
      </c>
      <c r="BN554" s="46">
        <v>0</v>
      </c>
      <c r="BO554" s="45">
        <v>0</v>
      </c>
      <c r="BP554" s="46">
        <v>0</v>
      </c>
      <c r="BQ554" s="45">
        <v>0</v>
      </c>
      <c r="BR554" s="46">
        <v>0</v>
      </c>
      <c r="BS554" s="45">
        <v>35</v>
      </c>
      <c r="BT554" s="46">
        <v>92.10526315789474</v>
      </c>
      <c r="BU554" s="45">
        <v>38</v>
      </c>
    </row>
    <row r="555" spans="1:73" ht="15">
      <c r="A555" s="61" t="s">
        <v>229</v>
      </c>
      <c r="B555" s="61" t="s">
        <v>228</v>
      </c>
      <c r="C555" s="62" t="s">
        <v>11697</v>
      </c>
      <c r="D555" s="63">
        <v>10</v>
      </c>
      <c r="E555" s="64" t="s">
        <v>136</v>
      </c>
      <c r="F555" s="65">
        <v>10</v>
      </c>
      <c r="G555" s="62"/>
      <c r="H555" s="66"/>
      <c r="I555" s="67"/>
      <c r="J555" s="67"/>
      <c r="K555" s="31" t="s">
        <v>65</v>
      </c>
      <c r="L555" s="75">
        <v>555</v>
      </c>
      <c r="M555" s="75"/>
      <c r="N555" s="69"/>
      <c r="O555" s="77" t="s">
        <v>543</v>
      </c>
      <c r="P555" s="79">
        <v>45165.418541666666</v>
      </c>
      <c r="Q555" s="77" t="s">
        <v>573</v>
      </c>
      <c r="R555" s="77">
        <v>0</v>
      </c>
      <c r="S555" s="77">
        <v>5</v>
      </c>
      <c r="T555" s="77">
        <v>1</v>
      </c>
      <c r="U555" s="77">
        <v>0</v>
      </c>
      <c r="V555" s="77">
        <v>49</v>
      </c>
      <c r="W555" s="77"/>
      <c r="X555" s="77"/>
      <c r="Y555" s="77"/>
      <c r="Z555" s="77" t="s">
        <v>771</v>
      </c>
      <c r="AA555" s="77"/>
      <c r="AB555" s="77"/>
      <c r="AC555" s="81" t="s">
        <v>853</v>
      </c>
      <c r="AD555" s="77" t="s">
        <v>859</v>
      </c>
      <c r="AE555" s="83" t="str">
        <f>HYPERLINK("https://twitter.com/mihkal/status/1695738602557239609")</f>
        <v>https://twitter.com/mihkal/status/1695738602557239609</v>
      </c>
      <c r="AF555" s="79">
        <v>45165.418541666666</v>
      </c>
      <c r="AG555" s="85">
        <v>45165</v>
      </c>
      <c r="AH555" s="81" t="s">
        <v>900</v>
      </c>
      <c r="AI555" s="77"/>
      <c r="AJ555" s="77"/>
      <c r="AK555" s="77"/>
      <c r="AL555" s="77"/>
      <c r="AM555" s="77"/>
      <c r="AN555" s="77"/>
      <c r="AO555" s="77"/>
      <c r="AP555" s="77"/>
      <c r="AQ555" s="77"/>
      <c r="AR555" s="77"/>
      <c r="AS555" s="77"/>
      <c r="AT555" s="77"/>
      <c r="AU555" s="77"/>
      <c r="AV555" s="83" t="str">
        <f>HYPERLINK("https://pbs.twimg.com/profile_images/1663227887837757440/XOjtFF4W_normal.jpg")</f>
        <v>https://pbs.twimg.com/profile_images/1663227887837757440/XOjtFF4W_normal.jpg</v>
      </c>
      <c r="AW555" s="81" t="s">
        <v>1055</v>
      </c>
      <c r="AX555" s="81" t="s">
        <v>1054</v>
      </c>
      <c r="AY555" s="81" t="s">
        <v>1176</v>
      </c>
      <c r="AZ555" s="81" t="s">
        <v>1052</v>
      </c>
      <c r="BA555" s="81" t="s">
        <v>1190</v>
      </c>
      <c r="BB555" s="81" t="s">
        <v>1190</v>
      </c>
      <c r="BC555" s="81" t="s">
        <v>1052</v>
      </c>
      <c r="BD555" s="77">
        <v>24256031</v>
      </c>
      <c r="BE555" s="77"/>
      <c r="BF555" s="77"/>
      <c r="BG555" s="77"/>
      <c r="BH555" s="77"/>
      <c r="BI555" s="77"/>
      <c r="BJ555">
        <v>10</v>
      </c>
      <c r="BK555" s="76" t="str">
        <f>REPLACE(INDEX(GroupVertices[Group],MATCH(Edges[[#This Row],[Vertex 1]],GroupVertices[Vertex],0)),1,1,"")</f>
        <v>1</v>
      </c>
      <c r="BL555" s="76" t="str">
        <f>REPLACE(INDEX(GroupVertices[Group],MATCH(Edges[[#This Row],[Vertex 2]],GroupVertices[Vertex],0)),1,1,"")</f>
        <v>2</v>
      </c>
      <c r="BM555" s="45"/>
      <c r="BN555" s="46"/>
      <c r="BO555" s="45"/>
      <c r="BP555" s="46"/>
      <c r="BQ555" s="45"/>
      <c r="BR555" s="46"/>
      <c r="BS555" s="45"/>
      <c r="BT555" s="46"/>
      <c r="BU555" s="45"/>
    </row>
    <row r="556" spans="1:73" ht="15">
      <c r="A556" s="61" t="s">
        <v>229</v>
      </c>
      <c r="B556" s="61" t="s">
        <v>228</v>
      </c>
      <c r="C556" s="62" t="s">
        <v>11697</v>
      </c>
      <c r="D556" s="63">
        <v>10</v>
      </c>
      <c r="E556" s="64" t="s">
        <v>136</v>
      </c>
      <c r="F556" s="65">
        <v>10</v>
      </c>
      <c r="G556" s="62"/>
      <c r="H556" s="66"/>
      <c r="I556" s="67"/>
      <c r="J556" s="67"/>
      <c r="K556" s="31" t="s">
        <v>65</v>
      </c>
      <c r="L556" s="75">
        <v>556</v>
      </c>
      <c r="M556" s="75"/>
      <c r="N556" s="69"/>
      <c r="O556" s="77" t="s">
        <v>543</v>
      </c>
      <c r="P556" s="79">
        <v>45165.418541666666</v>
      </c>
      <c r="Q556" s="77" t="s">
        <v>573</v>
      </c>
      <c r="R556" s="77">
        <v>0</v>
      </c>
      <c r="S556" s="77">
        <v>5</v>
      </c>
      <c r="T556" s="77">
        <v>1</v>
      </c>
      <c r="U556" s="77">
        <v>0</v>
      </c>
      <c r="V556" s="77">
        <v>49</v>
      </c>
      <c r="W556" s="77"/>
      <c r="X556" s="77"/>
      <c r="Y556" s="77"/>
      <c r="Z556" s="77" t="s">
        <v>771</v>
      </c>
      <c r="AA556" s="77"/>
      <c r="AB556" s="77"/>
      <c r="AC556" s="81" t="s">
        <v>853</v>
      </c>
      <c r="AD556" s="77" t="s">
        <v>859</v>
      </c>
      <c r="AE556" s="83" t="str">
        <f>HYPERLINK("https://twitter.com/mihkal/status/1695738602557239609")</f>
        <v>https://twitter.com/mihkal/status/1695738602557239609</v>
      </c>
      <c r="AF556" s="79">
        <v>45165.418541666666</v>
      </c>
      <c r="AG556" s="85">
        <v>45165</v>
      </c>
      <c r="AH556" s="81" t="s">
        <v>900</v>
      </c>
      <c r="AI556" s="77"/>
      <c r="AJ556" s="77"/>
      <c r="AK556" s="77"/>
      <c r="AL556" s="77"/>
      <c r="AM556" s="77"/>
      <c r="AN556" s="77"/>
      <c r="AO556" s="77"/>
      <c r="AP556" s="77"/>
      <c r="AQ556" s="77"/>
      <c r="AR556" s="77"/>
      <c r="AS556" s="77"/>
      <c r="AT556" s="77"/>
      <c r="AU556" s="77"/>
      <c r="AV556" s="83" t="str">
        <f>HYPERLINK("https://pbs.twimg.com/profile_images/1663227887837757440/XOjtFF4W_normal.jpg")</f>
        <v>https://pbs.twimg.com/profile_images/1663227887837757440/XOjtFF4W_normal.jpg</v>
      </c>
      <c r="AW556" s="81" t="s">
        <v>1055</v>
      </c>
      <c r="AX556" s="81" t="s">
        <v>1054</v>
      </c>
      <c r="AY556" s="81" t="s">
        <v>1176</v>
      </c>
      <c r="AZ556" s="81" t="s">
        <v>1052</v>
      </c>
      <c r="BA556" s="81" t="s">
        <v>1190</v>
      </c>
      <c r="BB556" s="81" t="s">
        <v>1190</v>
      </c>
      <c r="BC556" s="81" t="s">
        <v>1052</v>
      </c>
      <c r="BD556" s="77">
        <v>24256031</v>
      </c>
      <c r="BE556" s="77"/>
      <c r="BF556" s="77"/>
      <c r="BG556" s="77"/>
      <c r="BH556" s="77"/>
      <c r="BI556" s="77"/>
      <c r="BJ556">
        <v>10</v>
      </c>
      <c r="BK556" s="76" t="str">
        <f>REPLACE(INDEX(GroupVertices[Group],MATCH(Edges[[#This Row],[Vertex 1]],GroupVertices[Vertex],0)),1,1,"")</f>
        <v>1</v>
      </c>
      <c r="BL556" s="76" t="str">
        <f>REPLACE(INDEX(GroupVertices[Group],MATCH(Edges[[#This Row],[Vertex 2]],GroupVertices[Vertex],0)),1,1,"")</f>
        <v>2</v>
      </c>
      <c r="BM556" s="45"/>
      <c r="BN556" s="46"/>
      <c r="BO556" s="45"/>
      <c r="BP556" s="46"/>
      <c r="BQ556" s="45"/>
      <c r="BR556" s="46"/>
      <c r="BS556" s="45"/>
      <c r="BT556" s="46"/>
      <c r="BU556" s="45"/>
    </row>
    <row r="557" spans="1:73" ht="15">
      <c r="A557" s="61" t="s">
        <v>229</v>
      </c>
      <c r="B557" s="61" t="s">
        <v>228</v>
      </c>
      <c r="C557" s="62" t="s">
        <v>11697</v>
      </c>
      <c r="D557" s="63">
        <v>10</v>
      </c>
      <c r="E557" s="64" t="s">
        <v>136</v>
      </c>
      <c r="F557" s="65">
        <v>10</v>
      </c>
      <c r="G557" s="62"/>
      <c r="H557" s="66"/>
      <c r="I557" s="67"/>
      <c r="J557" s="67"/>
      <c r="K557" s="31" t="s">
        <v>65</v>
      </c>
      <c r="L557" s="75">
        <v>557</v>
      </c>
      <c r="M557" s="75"/>
      <c r="N557" s="69"/>
      <c r="O557" s="77" t="s">
        <v>543</v>
      </c>
      <c r="P557" s="79">
        <v>45161.24621527778</v>
      </c>
      <c r="Q557" s="77" t="s">
        <v>637</v>
      </c>
      <c r="R557" s="77">
        <v>0</v>
      </c>
      <c r="S557" s="77">
        <v>5</v>
      </c>
      <c r="T557" s="77">
        <v>0</v>
      </c>
      <c r="U557" s="77">
        <v>0</v>
      </c>
      <c r="V557" s="77">
        <v>37</v>
      </c>
      <c r="W557" s="77"/>
      <c r="X557" s="83" t="str">
        <f>HYPERLINK("https://www.smrfoundation.org/nodexl/nodexl-pro-insights-2/")</f>
        <v>https://www.smrfoundation.org/nodexl/nodexl-pro-insights-2/</v>
      </c>
      <c r="Y557" s="77" t="s">
        <v>741</v>
      </c>
      <c r="Z557" s="77" t="s">
        <v>804</v>
      </c>
      <c r="AA557" s="77"/>
      <c r="AB557" s="77"/>
      <c r="AC557" s="81" t="s">
        <v>853</v>
      </c>
      <c r="AD557" s="77" t="s">
        <v>860</v>
      </c>
      <c r="AE557" s="83" t="str">
        <f>HYPERLINK("https://twitter.com/mihkal/status/1694226602563887544")</f>
        <v>https://twitter.com/mihkal/status/1694226602563887544</v>
      </c>
      <c r="AF557" s="79">
        <v>45161.24621527778</v>
      </c>
      <c r="AG557" s="85">
        <v>45161</v>
      </c>
      <c r="AH557" s="81" t="s">
        <v>965</v>
      </c>
      <c r="AI557" s="77" t="b">
        <v>0</v>
      </c>
      <c r="AJ557" s="77"/>
      <c r="AK557" s="77"/>
      <c r="AL557" s="77"/>
      <c r="AM557" s="77"/>
      <c r="AN557" s="77"/>
      <c r="AO557" s="77"/>
      <c r="AP557" s="77"/>
      <c r="AQ557" s="77"/>
      <c r="AR557" s="77"/>
      <c r="AS557" s="77"/>
      <c r="AT557" s="77"/>
      <c r="AU557" s="77"/>
      <c r="AV557" s="83" t="str">
        <f>HYPERLINK("https://pbs.twimg.com/profile_images/1663227887837757440/XOjtFF4W_normal.jpg")</f>
        <v>https://pbs.twimg.com/profile_images/1663227887837757440/XOjtFF4W_normal.jpg</v>
      </c>
      <c r="AW557" s="81" t="s">
        <v>1120</v>
      </c>
      <c r="AX557" s="81" t="s">
        <v>1121</v>
      </c>
      <c r="AY557" s="81" t="s">
        <v>1186</v>
      </c>
      <c r="AZ557" s="81" t="s">
        <v>1116</v>
      </c>
      <c r="BA557" s="81" t="s">
        <v>1190</v>
      </c>
      <c r="BB557" s="81" t="s">
        <v>1190</v>
      </c>
      <c r="BC557" s="81" t="s">
        <v>1116</v>
      </c>
      <c r="BD557" s="77">
        <v>24256031</v>
      </c>
      <c r="BE557" s="77"/>
      <c r="BF557" s="77"/>
      <c r="BG557" s="77"/>
      <c r="BH557" s="77"/>
      <c r="BI557" s="77"/>
      <c r="BJ557">
        <v>10</v>
      </c>
      <c r="BK557" s="76" t="str">
        <f>REPLACE(INDEX(GroupVertices[Group],MATCH(Edges[[#This Row],[Vertex 1]],GroupVertices[Vertex],0)),1,1,"")</f>
        <v>1</v>
      </c>
      <c r="BL557" s="76" t="str">
        <f>REPLACE(INDEX(GroupVertices[Group],MATCH(Edges[[#This Row],[Vertex 2]],GroupVertices[Vertex],0)),1,1,"")</f>
        <v>2</v>
      </c>
      <c r="BM557" s="45"/>
      <c r="BN557" s="46"/>
      <c r="BO557" s="45"/>
      <c r="BP557" s="46"/>
      <c r="BQ557" s="45"/>
      <c r="BR557" s="46"/>
      <c r="BS557" s="45"/>
      <c r="BT557" s="46"/>
      <c r="BU557" s="45"/>
    </row>
    <row r="558" spans="1:73" ht="15">
      <c r="A558" s="61" t="s">
        <v>229</v>
      </c>
      <c r="B558" s="61" t="s">
        <v>252</v>
      </c>
      <c r="C558" s="62" t="s">
        <v>11693</v>
      </c>
      <c r="D558" s="63">
        <v>4.4</v>
      </c>
      <c r="E558" s="64" t="s">
        <v>132</v>
      </c>
      <c r="F558" s="65">
        <v>27.6</v>
      </c>
      <c r="G558" s="62"/>
      <c r="H558" s="66"/>
      <c r="I558" s="67"/>
      <c r="J558" s="67"/>
      <c r="K558" s="31" t="s">
        <v>66</v>
      </c>
      <c r="L558" s="75">
        <v>558</v>
      </c>
      <c r="M558" s="75"/>
      <c r="N558" s="69"/>
      <c r="O558" s="77" t="s">
        <v>540</v>
      </c>
      <c r="P558" s="79">
        <v>45161.24621527778</v>
      </c>
      <c r="Q558" s="77" t="s">
        <v>637</v>
      </c>
      <c r="R558" s="77">
        <v>0</v>
      </c>
      <c r="S558" s="77">
        <v>5</v>
      </c>
      <c r="T558" s="77">
        <v>0</v>
      </c>
      <c r="U558" s="77">
        <v>0</v>
      </c>
      <c r="V558" s="77">
        <v>37</v>
      </c>
      <c r="W558" s="77"/>
      <c r="X558" s="83" t="str">
        <f>HYPERLINK("https://www.smrfoundation.org/nodexl/nodexl-pro-insights-2/")</f>
        <v>https://www.smrfoundation.org/nodexl/nodexl-pro-insights-2/</v>
      </c>
      <c r="Y558" s="77" t="s">
        <v>741</v>
      </c>
      <c r="Z558" s="77" t="s">
        <v>804</v>
      </c>
      <c r="AA558" s="77"/>
      <c r="AB558" s="77"/>
      <c r="AC558" s="81" t="s">
        <v>853</v>
      </c>
      <c r="AD558" s="77" t="s">
        <v>860</v>
      </c>
      <c r="AE558" s="83" t="str">
        <f>HYPERLINK("https://twitter.com/mihkal/status/1694226602563887544")</f>
        <v>https://twitter.com/mihkal/status/1694226602563887544</v>
      </c>
      <c r="AF558" s="79">
        <v>45161.24621527778</v>
      </c>
      <c r="AG558" s="85">
        <v>45161</v>
      </c>
      <c r="AH558" s="81" t="s">
        <v>965</v>
      </c>
      <c r="AI558" s="77" t="b">
        <v>0</v>
      </c>
      <c r="AJ558" s="77"/>
      <c r="AK558" s="77"/>
      <c r="AL558" s="77"/>
      <c r="AM558" s="77"/>
      <c r="AN558" s="77"/>
      <c r="AO558" s="77"/>
      <c r="AP558" s="77"/>
      <c r="AQ558" s="77"/>
      <c r="AR558" s="77"/>
      <c r="AS558" s="77"/>
      <c r="AT558" s="77"/>
      <c r="AU558" s="77"/>
      <c r="AV558" s="83" t="str">
        <f>HYPERLINK("https://pbs.twimg.com/profile_images/1663227887837757440/XOjtFF4W_normal.jpg")</f>
        <v>https://pbs.twimg.com/profile_images/1663227887837757440/XOjtFF4W_normal.jpg</v>
      </c>
      <c r="AW558" s="81" t="s">
        <v>1120</v>
      </c>
      <c r="AX558" s="81" t="s">
        <v>1121</v>
      </c>
      <c r="AY558" s="81" t="s">
        <v>1186</v>
      </c>
      <c r="AZ558" s="81" t="s">
        <v>1116</v>
      </c>
      <c r="BA558" s="81" t="s">
        <v>1190</v>
      </c>
      <c r="BB558" s="81" t="s">
        <v>1190</v>
      </c>
      <c r="BC558" s="81" t="s">
        <v>1116</v>
      </c>
      <c r="BD558" s="77">
        <v>24256031</v>
      </c>
      <c r="BE558" s="77"/>
      <c r="BF558" s="77"/>
      <c r="BG558" s="77"/>
      <c r="BH558" s="77"/>
      <c r="BI558" s="77"/>
      <c r="BJ558">
        <v>2</v>
      </c>
      <c r="BK558" s="76" t="str">
        <f>REPLACE(INDEX(GroupVertices[Group],MATCH(Edges[[#This Row],[Vertex 1]],GroupVertices[Vertex],0)),1,1,"")</f>
        <v>1</v>
      </c>
      <c r="BL558" s="76" t="str">
        <f>REPLACE(INDEX(GroupVertices[Group],MATCH(Edges[[#This Row],[Vertex 2]],GroupVertices[Vertex],0)),1,1,"")</f>
        <v>2</v>
      </c>
      <c r="BM558" s="45">
        <v>0</v>
      </c>
      <c r="BN558" s="46">
        <v>0</v>
      </c>
      <c r="BO558" s="45">
        <v>0</v>
      </c>
      <c r="BP558" s="46">
        <v>0</v>
      </c>
      <c r="BQ558" s="45">
        <v>0</v>
      </c>
      <c r="BR558" s="46">
        <v>0</v>
      </c>
      <c r="BS558" s="45">
        <v>7</v>
      </c>
      <c r="BT558" s="46">
        <v>100</v>
      </c>
      <c r="BU558" s="45">
        <v>7</v>
      </c>
    </row>
    <row r="559" spans="1:73" ht="15">
      <c r="A559" s="61" t="s">
        <v>229</v>
      </c>
      <c r="B559" s="61" t="s">
        <v>228</v>
      </c>
      <c r="C559" s="62" t="s">
        <v>11697</v>
      </c>
      <c r="D559" s="63">
        <v>10</v>
      </c>
      <c r="E559" s="64" t="s">
        <v>136</v>
      </c>
      <c r="F559" s="65">
        <v>10</v>
      </c>
      <c r="G559" s="62"/>
      <c r="H559" s="66"/>
      <c r="I559" s="67"/>
      <c r="J559" s="67"/>
      <c r="K559" s="31" t="s">
        <v>65</v>
      </c>
      <c r="L559" s="75">
        <v>559</v>
      </c>
      <c r="M559" s="75"/>
      <c r="N559" s="69"/>
      <c r="O559" s="77" t="s">
        <v>543</v>
      </c>
      <c r="P559" s="79">
        <v>45161.33721064815</v>
      </c>
      <c r="Q559" s="77" t="s">
        <v>596</v>
      </c>
      <c r="R559" s="77">
        <v>0</v>
      </c>
      <c r="S559" s="77">
        <v>1</v>
      </c>
      <c r="T559" s="77">
        <v>1</v>
      </c>
      <c r="U559" s="77">
        <v>0</v>
      </c>
      <c r="V559" s="77">
        <v>39</v>
      </c>
      <c r="W559" s="81" t="s">
        <v>702</v>
      </c>
      <c r="X559" s="77"/>
      <c r="Y559" s="77"/>
      <c r="Z559" s="77" t="s">
        <v>786</v>
      </c>
      <c r="AA559" s="77"/>
      <c r="AB559" s="77"/>
      <c r="AC559" s="81" t="s">
        <v>853</v>
      </c>
      <c r="AD559" s="77" t="s">
        <v>860</v>
      </c>
      <c r="AE559" s="83" t="str">
        <f>HYPERLINK("https://twitter.com/mihkal/status/1694259577104019568")</f>
        <v>https://twitter.com/mihkal/status/1694259577104019568</v>
      </c>
      <c r="AF559" s="79">
        <v>45161.33721064815</v>
      </c>
      <c r="AG559" s="85">
        <v>45161</v>
      </c>
      <c r="AH559" s="81" t="s">
        <v>924</v>
      </c>
      <c r="AI559" s="77"/>
      <c r="AJ559" s="77"/>
      <c r="AK559" s="77"/>
      <c r="AL559" s="77"/>
      <c r="AM559" s="77"/>
      <c r="AN559" s="77"/>
      <c r="AO559" s="77"/>
      <c r="AP559" s="77"/>
      <c r="AQ559" s="77"/>
      <c r="AR559" s="77"/>
      <c r="AS559" s="77"/>
      <c r="AT559" s="77"/>
      <c r="AU559" s="77"/>
      <c r="AV559" s="83" t="str">
        <f>HYPERLINK("https://pbs.twimg.com/profile_images/1663227887837757440/XOjtFF4W_normal.jpg")</f>
        <v>https://pbs.twimg.com/profile_images/1663227887837757440/XOjtFF4W_normal.jpg</v>
      </c>
      <c r="AW559" s="81" t="s">
        <v>1079</v>
      </c>
      <c r="AX559" s="81" t="s">
        <v>1158</v>
      </c>
      <c r="AY559" s="81" t="s">
        <v>1169</v>
      </c>
      <c r="AZ559" s="81" t="s">
        <v>1078</v>
      </c>
      <c r="BA559" s="81" t="s">
        <v>1190</v>
      </c>
      <c r="BB559" s="81" t="s">
        <v>1190</v>
      </c>
      <c r="BC559" s="81" t="s">
        <v>1078</v>
      </c>
      <c r="BD559" s="77">
        <v>24256031</v>
      </c>
      <c r="BE559" s="77"/>
      <c r="BF559" s="77"/>
      <c r="BG559" s="77"/>
      <c r="BH559" s="77"/>
      <c r="BI559" s="77"/>
      <c r="BJ559">
        <v>10</v>
      </c>
      <c r="BK559" s="76" t="str">
        <f>REPLACE(INDEX(GroupVertices[Group],MATCH(Edges[[#This Row],[Vertex 1]],GroupVertices[Vertex],0)),1,1,"")</f>
        <v>1</v>
      </c>
      <c r="BL559" s="76" t="str">
        <f>REPLACE(INDEX(GroupVertices[Group],MATCH(Edges[[#This Row],[Vertex 2]],GroupVertices[Vertex],0)),1,1,"")</f>
        <v>2</v>
      </c>
      <c r="BM559" s="45"/>
      <c r="BN559" s="46"/>
      <c r="BO559" s="45"/>
      <c r="BP559" s="46"/>
      <c r="BQ559" s="45"/>
      <c r="BR559" s="46"/>
      <c r="BS559" s="45"/>
      <c r="BT559" s="46"/>
      <c r="BU559" s="45"/>
    </row>
    <row r="560" spans="1:73" ht="15">
      <c r="A560" s="61" t="s">
        <v>229</v>
      </c>
      <c r="B560" s="61" t="s">
        <v>229</v>
      </c>
      <c r="C560" s="62" t="s">
        <v>11694</v>
      </c>
      <c r="D560" s="63">
        <v>5.8</v>
      </c>
      <c r="E560" s="64" t="s">
        <v>132</v>
      </c>
      <c r="F560" s="65">
        <v>23.2</v>
      </c>
      <c r="G560" s="62"/>
      <c r="H560" s="66"/>
      <c r="I560" s="67"/>
      <c r="J560" s="67"/>
      <c r="K560" s="31" t="s">
        <v>65</v>
      </c>
      <c r="L560" s="75">
        <v>560</v>
      </c>
      <c r="M560" s="75"/>
      <c r="N560" s="69"/>
      <c r="O560" s="77" t="s">
        <v>540</v>
      </c>
      <c r="P560" s="79">
        <v>45161.33721064815</v>
      </c>
      <c r="Q560" s="77" t="s">
        <v>596</v>
      </c>
      <c r="R560" s="77">
        <v>0</v>
      </c>
      <c r="S560" s="77">
        <v>1</v>
      </c>
      <c r="T560" s="77">
        <v>1</v>
      </c>
      <c r="U560" s="77">
        <v>0</v>
      </c>
      <c r="V560" s="77">
        <v>39</v>
      </c>
      <c r="W560" s="81" t="s">
        <v>702</v>
      </c>
      <c r="X560" s="77"/>
      <c r="Y560" s="77"/>
      <c r="Z560" s="77" t="s">
        <v>786</v>
      </c>
      <c r="AA560" s="77"/>
      <c r="AB560" s="77"/>
      <c r="AC560" s="81" t="s">
        <v>853</v>
      </c>
      <c r="AD560" s="77" t="s">
        <v>860</v>
      </c>
      <c r="AE560" s="83" t="str">
        <f>HYPERLINK("https://twitter.com/mihkal/status/1694259577104019568")</f>
        <v>https://twitter.com/mihkal/status/1694259577104019568</v>
      </c>
      <c r="AF560" s="79">
        <v>45161.33721064815</v>
      </c>
      <c r="AG560" s="85">
        <v>45161</v>
      </c>
      <c r="AH560" s="81" t="s">
        <v>924</v>
      </c>
      <c r="AI560" s="77"/>
      <c r="AJ560" s="77"/>
      <c r="AK560" s="77"/>
      <c r="AL560" s="77"/>
      <c r="AM560" s="77"/>
      <c r="AN560" s="77"/>
      <c r="AO560" s="77"/>
      <c r="AP560" s="77"/>
      <c r="AQ560" s="77"/>
      <c r="AR560" s="77"/>
      <c r="AS560" s="77"/>
      <c r="AT560" s="77"/>
      <c r="AU560" s="77"/>
      <c r="AV560" s="83" t="str">
        <f>HYPERLINK("https://pbs.twimg.com/profile_images/1663227887837757440/XOjtFF4W_normal.jpg")</f>
        <v>https://pbs.twimg.com/profile_images/1663227887837757440/XOjtFF4W_normal.jpg</v>
      </c>
      <c r="AW560" s="81" t="s">
        <v>1079</v>
      </c>
      <c r="AX560" s="81" t="s">
        <v>1158</v>
      </c>
      <c r="AY560" s="81" t="s">
        <v>1169</v>
      </c>
      <c r="AZ560" s="81" t="s">
        <v>1078</v>
      </c>
      <c r="BA560" s="81" t="s">
        <v>1190</v>
      </c>
      <c r="BB560" s="81" t="s">
        <v>1190</v>
      </c>
      <c r="BC560" s="81" t="s">
        <v>1078</v>
      </c>
      <c r="BD560" s="77">
        <v>24256031</v>
      </c>
      <c r="BE560" s="77"/>
      <c r="BF560" s="77"/>
      <c r="BG560" s="77"/>
      <c r="BH560" s="77"/>
      <c r="BI560" s="77"/>
      <c r="BJ560">
        <v>3</v>
      </c>
      <c r="BK560" s="76" t="str">
        <f>REPLACE(INDEX(GroupVertices[Group],MATCH(Edges[[#This Row],[Vertex 1]],GroupVertices[Vertex],0)),1,1,"")</f>
        <v>1</v>
      </c>
      <c r="BL560" s="76" t="str">
        <f>REPLACE(INDEX(GroupVertices[Group],MATCH(Edges[[#This Row],[Vertex 2]],GroupVertices[Vertex],0)),1,1,"")</f>
        <v>1</v>
      </c>
      <c r="BM560" s="45"/>
      <c r="BN560" s="46"/>
      <c r="BO560" s="45"/>
      <c r="BP560" s="46"/>
      <c r="BQ560" s="45"/>
      <c r="BR560" s="46"/>
      <c r="BS560" s="45"/>
      <c r="BT560" s="46"/>
      <c r="BU560" s="45"/>
    </row>
    <row r="561" spans="1:73" ht="15">
      <c r="A561" s="61" t="s">
        <v>229</v>
      </c>
      <c r="B561" s="61" t="s">
        <v>228</v>
      </c>
      <c r="C561" s="62" t="s">
        <v>11697</v>
      </c>
      <c r="D561" s="63">
        <v>10</v>
      </c>
      <c r="E561" s="64" t="s">
        <v>136</v>
      </c>
      <c r="F561" s="65">
        <v>10</v>
      </c>
      <c r="G561" s="62"/>
      <c r="H561" s="66"/>
      <c r="I561" s="67"/>
      <c r="J561" s="67"/>
      <c r="K561" s="31" t="s">
        <v>65</v>
      </c>
      <c r="L561" s="75">
        <v>561</v>
      </c>
      <c r="M561" s="75"/>
      <c r="N561" s="69"/>
      <c r="O561" s="77" t="s">
        <v>543</v>
      </c>
      <c r="P561" s="79">
        <v>45161.33939814815</v>
      </c>
      <c r="Q561" s="77" t="s">
        <v>597</v>
      </c>
      <c r="R561" s="77">
        <v>0</v>
      </c>
      <c r="S561" s="77">
        <v>2</v>
      </c>
      <c r="T561" s="77">
        <v>0</v>
      </c>
      <c r="U561" s="77">
        <v>0</v>
      </c>
      <c r="V561" s="77">
        <v>64</v>
      </c>
      <c r="W561" s="81" t="s">
        <v>702</v>
      </c>
      <c r="X561" s="83" t="str">
        <f>HYPERLINK("https://drive.google.com/file/d/1V8VDKgqRE3Ait1LOwdKrF73c0Y2BEvse/view?usp=sharing")</f>
        <v>https://drive.google.com/file/d/1V8VDKgqRE3Ait1LOwdKrF73c0Y2BEvse/view?usp=sharing</v>
      </c>
      <c r="Y561" s="77" t="s">
        <v>739</v>
      </c>
      <c r="Z561" s="77" t="s">
        <v>787</v>
      </c>
      <c r="AA561" s="77"/>
      <c r="AB561" s="77"/>
      <c r="AC561" s="81" t="s">
        <v>853</v>
      </c>
      <c r="AD561" s="77" t="s">
        <v>860</v>
      </c>
      <c r="AE561" s="83" t="str">
        <f>HYPERLINK("https://twitter.com/mihkal/status/1694260369382903812")</f>
        <v>https://twitter.com/mihkal/status/1694260369382903812</v>
      </c>
      <c r="AF561" s="79">
        <v>45161.33939814815</v>
      </c>
      <c r="AG561" s="85">
        <v>45161</v>
      </c>
      <c r="AH561" s="81" t="s">
        <v>925</v>
      </c>
      <c r="AI561" s="77" t="b">
        <v>0</v>
      </c>
      <c r="AJ561" s="77"/>
      <c r="AK561" s="77"/>
      <c r="AL561" s="77"/>
      <c r="AM561" s="77"/>
      <c r="AN561" s="77"/>
      <c r="AO561" s="77"/>
      <c r="AP561" s="77"/>
      <c r="AQ561" s="77"/>
      <c r="AR561" s="77"/>
      <c r="AS561" s="77"/>
      <c r="AT561" s="77"/>
      <c r="AU561" s="77"/>
      <c r="AV561" s="83" t="str">
        <f>HYPERLINK("https://pbs.twimg.com/profile_images/1663227887837757440/XOjtFF4W_normal.jpg")</f>
        <v>https://pbs.twimg.com/profile_images/1663227887837757440/XOjtFF4W_normal.jpg</v>
      </c>
      <c r="AW561" s="81" t="s">
        <v>1080</v>
      </c>
      <c r="AX561" s="81" t="s">
        <v>1158</v>
      </c>
      <c r="AY561" s="81" t="s">
        <v>1169</v>
      </c>
      <c r="AZ561" s="81" t="s">
        <v>1081</v>
      </c>
      <c r="BA561" s="81" t="s">
        <v>1190</v>
      </c>
      <c r="BB561" s="81" t="s">
        <v>1190</v>
      </c>
      <c r="BC561" s="81" t="s">
        <v>1081</v>
      </c>
      <c r="BD561" s="77">
        <v>24256031</v>
      </c>
      <c r="BE561" s="77"/>
      <c r="BF561" s="77"/>
      <c r="BG561" s="77"/>
      <c r="BH561" s="77"/>
      <c r="BI561" s="77"/>
      <c r="BJ561">
        <v>10</v>
      </c>
      <c r="BK561" s="76" t="str">
        <f>REPLACE(INDEX(GroupVertices[Group],MATCH(Edges[[#This Row],[Vertex 1]],GroupVertices[Vertex],0)),1,1,"")</f>
        <v>1</v>
      </c>
      <c r="BL561" s="76" t="str">
        <f>REPLACE(INDEX(GroupVertices[Group],MATCH(Edges[[#This Row],[Vertex 2]],GroupVertices[Vertex],0)),1,1,"")</f>
        <v>2</v>
      </c>
      <c r="BM561" s="45"/>
      <c r="BN561" s="46"/>
      <c r="BO561" s="45"/>
      <c r="BP561" s="46"/>
      <c r="BQ561" s="45"/>
      <c r="BR561" s="46"/>
      <c r="BS561" s="45"/>
      <c r="BT561" s="46"/>
      <c r="BU561" s="45"/>
    </row>
    <row r="562" spans="1:73" ht="15">
      <c r="A562" s="61" t="s">
        <v>229</v>
      </c>
      <c r="B562" s="61" t="s">
        <v>229</v>
      </c>
      <c r="C562" s="62" t="s">
        <v>11694</v>
      </c>
      <c r="D562" s="63">
        <v>5.8</v>
      </c>
      <c r="E562" s="64" t="s">
        <v>132</v>
      </c>
      <c r="F562" s="65">
        <v>23.2</v>
      </c>
      <c r="G562" s="62"/>
      <c r="H562" s="66"/>
      <c r="I562" s="67"/>
      <c r="J562" s="67"/>
      <c r="K562" s="31" t="s">
        <v>65</v>
      </c>
      <c r="L562" s="75">
        <v>562</v>
      </c>
      <c r="M562" s="75"/>
      <c r="N562" s="69"/>
      <c r="O562" s="77" t="s">
        <v>540</v>
      </c>
      <c r="P562" s="79">
        <v>45161.33939814815</v>
      </c>
      <c r="Q562" s="77" t="s">
        <v>597</v>
      </c>
      <c r="R562" s="77">
        <v>0</v>
      </c>
      <c r="S562" s="77">
        <v>2</v>
      </c>
      <c r="T562" s="77">
        <v>0</v>
      </c>
      <c r="U562" s="77">
        <v>0</v>
      </c>
      <c r="V562" s="77">
        <v>64</v>
      </c>
      <c r="W562" s="81" t="s">
        <v>702</v>
      </c>
      <c r="X562" s="83" t="str">
        <f>HYPERLINK("https://drive.google.com/file/d/1V8VDKgqRE3Ait1LOwdKrF73c0Y2BEvse/view?usp=sharing")</f>
        <v>https://drive.google.com/file/d/1V8VDKgqRE3Ait1LOwdKrF73c0Y2BEvse/view?usp=sharing</v>
      </c>
      <c r="Y562" s="77" t="s">
        <v>739</v>
      </c>
      <c r="Z562" s="77" t="s">
        <v>787</v>
      </c>
      <c r="AA562" s="77"/>
      <c r="AB562" s="77"/>
      <c r="AC562" s="81" t="s">
        <v>853</v>
      </c>
      <c r="AD562" s="77" t="s">
        <v>860</v>
      </c>
      <c r="AE562" s="83" t="str">
        <f>HYPERLINK("https://twitter.com/mihkal/status/1694260369382903812")</f>
        <v>https://twitter.com/mihkal/status/1694260369382903812</v>
      </c>
      <c r="AF562" s="79">
        <v>45161.33939814815</v>
      </c>
      <c r="AG562" s="85">
        <v>45161</v>
      </c>
      <c r="AH562" s="81" t="s">
        <v>925</v>
      </c>
      <c r="AI562" s="77" t="b">
        <v>0</v>
      </c>
      <c r="AJ562" s="77"/>
      <c r="AK562" s="77"/>
      <c r="AL562" s="77"/>
      <c r="AM562" s="77"/>
      <c r="AN562" s="77"/>
      <c r="AO562" s="77"/>
      <c r="AP562" s="77"/>
      <c r="AQ562" s="77"/>
      <c r="AR562" s="77"/>
      <c r="AS562" s="77"/>
      <c r="AT562" s="77"/>
      <c r="AU562" s="77"/>
      <c r="AV562" s="83" t="str">
        <f>HYPERLINK("https://pbs.twimg.com/profile_images/1663227887837757440/XOjtFF4W_normal.jpg")</f>
        <v>https://pbs.twimg.com/profile_images/1663227887837757440/XOjtFF4W_normal.jpg</v>
      </c>
      <c r="AW562" s="81" t="s">
        <v>1080</v>
      </c>
      <c r="AX562" s="81" t="s">
        <v>1158</v>
      </c>
      <c r="AY562" s="81" t="s">
        <v>1169</v>
      </c>
      <c r="AZ562" s="81" t="s">
        <v>1081</v>
      </c>
      <c r="BA562" s="81" t="s">
        <v>1190</v>
      </c>
      <c r="BB562" s="81" t="s">
        <v>1190</v>
      </c>
      <c r="BC562" s="81" t="s">
        <v>1081</v>
      </c>
      <c r="BD562" s="77">
        <v>24256031</v>
      </c>
      <c r="BE562" s="77"/>
      <c r="BF562" s="77"/>
      <c r="BG562" s="77"/>
      <c r="BH562" s="77"/>
      <c r="BI562" s="77"/>
      <c r="BJ562">
        <v>3</v>
      </c>
      <c r="BK562" s="76" t="str">
        <f>REPLACE(INDEX(GroupVertices[Group],MATCH(Edges[[#This Row],[Vertex 1]],GroupVertices[Vertex],0)),1,1,"")</f>
        <v>1</v>
      </c>
      <c r="BL562" s="76" t="str">
        <f>REPLACE(INDEX(GroupVertices[Group],MATCH(Edges[[#This Row],[Vertex 2]],GroupVertices[Vertex],0)),1,1,"")</f>
        <v>1</v>
      </c>
      <c r="BM562" s="45"/>
      <c r="BN562" s="46"/>
      <c r="BO562" s="45"/>
      <c r="BP562" s="46"/>
      <c r="BQ562" s="45"/>
      <c r="BR562" s="46"/>
      <c r="BS562" s="45"/>
      <c r="BT562" s="46"/>
      <c r="BU562" s="45"/>
    </row>
    <row r="563" spans="1:73" ht="15">
      <c r="A563" s="61" t="s">
        <v>229</v>
      </c>
      <c r="B563" s="61" t="s">
        <v>228</v>
      </c>
      <c r="C563" s="62" t="s">
        <v>11697</v>
      </c>
      <c r="D563" s="63">
        <v>10</v>
      </c>
      <c r="E563" s="64" t="s">
        <v>136</v>
      </c>
      <c r="F563" s="65">
        <v>10</v>
      </c>
      <c r="G563" s="62"/>
      <c r="H563" s="66"/>
      <c r="I563" s="67"/>
      <c r="J563" s="67"/>
      <c r="K563" s="31" t="s">
        <v>65</v>
      </c>
      <c r="L563" s="75">
        <v>563</v>
      </c>
      <c r="M563" s="75"/>
      <c r="N563" s="69"/>
      <c r="O563" s="77" t="s">
        <v>543</v>
      </c>
      <c r="P563" s="79">
        <v>45161.33829861111</v>
      </c>
      <c r="Q563" s="77" t="s">
        <v>598</v>
      </c>
      <c r="R563" s="77">
        <v>1</v>
      </c>
      <c r="S563" s="77">
        <v>4</v>
      </c>
      <c r="T563" s="77">
        <v>1</v>
      </c>
      <c r="U563" s="77">
        <v>1</v>
      </c>
      <c r="V563" s="77">
        <v>186</v>
      </c>
      <c r="W563" s="81" t="s">
        <v>703</v>
      </c>
      <c r="X563" s="83" t="str">
        <f>HYPERLINK("https://nodexlgraphgallery.org/Pages/Graph.aspx?graphID=292277")</f>
        <v>https://nodexlgraphgallery.org/Pages/Graph.aspx?graphID=292277</v>
      </c>
      <c r="Y563" s="77" t="s">
        <v>732</v>
      </c>
      <c r="Z563" s="77" t="s">
        <v>788</v>
      </c>
      <c r="AA563" s="77"/>
      <c r="AB563" s="77"/>
      <c r="AC563" s="81" t="s">
        <v>853</v>
      </c>
      <c r="AD563" s="77" t="s">
        <v>860</v>
      </c>
      <c r="AE563" s="83" t="str">
        <f>HYPERLINK("https://twitter.com/mihkal/status/1694259968608735298")</f>
        <v>https://twitter.com/mihkal/status/1694259968608735298</v>
      </c>
      <c r="AF563" s="79">
        <v>45161.33829861111</v>
      </c>
      <c r="AG563" s="85">
        <v>45161</v>
      </c>
      <c r="AH563" s="81" t="s">
        <v>926</v>
      </c>
      <c r="AI563" s="77" t="b">
        <v>0</v>
      </c>
      <c r="AJ563" s="77"/>
      <c r="AK563" s="77"/>
      <c r="AL563" s="77"/>
      <c r="AM563" s="77"/>
      <c r="AN563" s="77"/>
      <c r="AO563" s="77"/>
      <c r="AP563" s="77"/>
      <c r="AQ563" s="77"/>
      <c r="AR563" s="77"/>
      <c r="AS563" s="77"/>
      <c r="AT563" s="77"/>
      <c r="AU563" s="77"/>
      <c r="AV563" s="83" t="str">
        <f>HYPERLINK("https://pbs.twimg.com/profile_images/1663227887837757440/XOjtFF4W_normal.jpg")</f>
        <v>https://pbs.twimg.com/profile_images/1663227887837757440/XOjtFF4W_normal.jpg</v>
      </c>
      <c r="AW563" s="81" t="s">
        <v>1081</v>
      </c>
      <c r="AX563" s="81" t="s">
        <v>1158</v>
      </c>
      <c r="AY563" s="81" t="s">
        <v>1169</v>
      </c>
      <c r="AZ563" s="81" t="s">
        <v>1079</v>
      </c>
      <c r="BA563" s="81" t="s">
        <v>1190</v>
      </c>
      <c r="BB563" s="81" t="s">
        <v>1190</v>
      </c>
      <c r="BC563" s="81" t="s">
        <v>1079</v>
      </c>
      <c r="BD563" s="77">
        <v>24256031</v>
      </c>
      <c r="BE563" s="77"/>
      <c r="BF563" s="77"/>
      <c r="BG563" s="77"/>
      <c r="BH563" s="77"/>
      <c r="BI563" s="77"/>
      <c r="BJ563">
        <v>10</v>
      </c>
      <c r="BK563" s="76" t="str">
        <f>REPLACE(INDEX(GroupVertices[Group],MATCH(Edges[[#This Row],[Vertex 1]],GroupVertices[Vertex],0)),1,1,"")</f>
        <v>1</v>
      </c>
      <c r="BL563" s="76" t="str">
        <f>REPLACE(INDEX(GroupVertices[Group],MATCH(Edges[[#This Row],[Vertex 2]],GroupVertices[Vertex],0)),1,1,"")</f>
        <v>2</v>
      </c>
      <c r="BM563" s="45"/>
      <c r="BN563" s="46"/>
      <c r="BO563" s="45"/>
      <c r="BP563" s="46"/>
      <c r="BQ563" s="45"/>
      <c r="BR563" s="46"/>
      <c r="BS563" s="45"/>
      <c r="BT563" s="46"/>
      <c r="BU563" s="45"/>
    </row>
    <row r="564" spans="1:73" ht="15">
      <c r="A564" s="61" t="s">
        <v>229</v>
      </c>
      <c r="B564" s="61" t="s">
        <v>228</v>
      </c>
      <c r="C564" s="62" t="s">
        <v>11697</v>
      </c>
      <c r="D564" s="63">
        <v>10</v>
      </c>
      <c r="E564" s="64" t="s">
        <v>136</v>
      </c>
      <c r="F564" s="65">
        <v>10</v>
      </c>
      <c r="G564" s="62"/>
      <c r="H564" s="66"/>
      <c r="I564" s="67"/>
      <c r="J564" s="67"/>
      <c r="K564" s="31" t="s">
        <v>65</v>
      </c>
      <c r="L564" s="75">
        <v>564</v>
      </c>
      <c r="M564" s="75"/>
      <c r="N564" s="69"/>
      <c r="O564" s="77" t="s">
        <v>543</v>
      </c>
      <c r="P564" s="79">
        <v>45161.33829861111</v>
      </c>
      <c r="Q564" s="77" t="s">
        <v>598</v>
      </c>
      <c r="R564" s="77">
        <v>1</v>
      </c>
      <c r="S564" s="77">
        <v>4</v>
      </c>
      <c r="T564" s="77">
        <v>1</v>
      </c>
      <c r="U564" s="77">
        <v>1</v>
      </c>
      <c r="V564" s="77">
        <v>186</v>
      </c>
      <c r="W564" s="81" t="s">
        <v>703</v>
      </c>
      <c r="X564" s="83" t="str">
        <f>HYPERLINK("https://nodexlgraphgallery.org/Pages/Graph.aspx?graphID=292277")</f>
        <v>https://nodexlgraphgallery.org/Pages/Graph.aspx?graphID=292277</v>
      </c>
      <c r="Y564" s="77" t="s">
        <v>732</v>
      </c>
      <c r="Z564" s="77" t="s">
        <v>788</v>
      </c>
      <c r="AA564" s="77"/>
      <c r="AB564" s="77"/>
      <c r="AC564" s="81" t="s">
        <v>853</v>
      </c>
      <c r="AD564" s="77" t="s">
        <v>860</v>
      </c>
      <c r="AE564" s="83" t="str">
        <f>HYPERLINK("https://twitter.com/mihkal/status/1694259968608735298")</f>
        <v>https://twitter.com/mihkal/status/1694259968608735298</v>
      </c>
      <c r="AF564" s="79">
        <v>45161.33829861111</v>
      </c>
      <c r="AG564" s="85">
        <v>45161</v>
      </c>
      <c r="AH564" s="81" t="s">
        <v>926</v>
      </c>
      <c r="AI564" s="77" t="b">
        <v>0</v>
      </c>
      <c r="AJ564" s="77"/>
      <c r="AK564" s="77"/>
      <c r="AL564" s="77"/>
      <c r="AM564" s="77"/>
      <c r="AN564" s="77"/>
      <c r="AO564" s="77"/>
      <c r="AP564" s="77"/>
      <c r="AQ564" s="77"/>
      <c r="AR564" s="77"/>
      <c r="AS564" s="77"/>
      <c r="AT564" s="77"/>
      <c r="AU564" s="77"/>
      <c r="AV564" s="83" t="str">
        <f>HYPERLINK("https://pbs.twimg.com/profile_images/1663227887837757440/XOjtFF4W_normal.jpg")</f>
        <v>https://pbs.twimg.com/profile_images/1663227887837757440/XOjtFF4W_normal.jpg</v>
      </c>
      <c r="AW564" s="81" t="s">
        <v>1081</v>
      </c>
      <c r="AX564" s="81" t="s">
        <v>1158</v>
      </c>
      <c r="AY564" s="81" t="s">
        <v>1169</v>
      </c>
      <c r="AZ564" s="81" t="s">
        <v>1079</v>
      </c>
      <c r="BA564" s="81" t="s">
        <v>1190</v>
      </c>
      <c r="BB564" s="81" t="s">
        <v>1190</v>
      </c>
      <c r="BC564" s="81" t="s">
        <v>1079</v>
      </c>
      <c r="BD564" s="77">
        <v>24256031</v>
      </c>
      <c r="BE564" s="77"/>
      <c r="BF564" s="77"/>
      <c r="BG564" s="77"/>
      <c r="BH564" s="77"/>
      <c r="BI564" s="77"/>
      <c r="BJ564">
        <v>10</v>
      </c>
      <c r="BK564" s="76" t="str">
        <f>REPLACE(INDEX(GroupVertices[Group],MATCH(Edges[[#This Row],[Vertex 1]],GroupVertices[Vertex],0)),1,1,"")</f>
        <v>1</v>
      </c>
      <c r="BL564" s="76" t="str">
        <f>REPLACE(INDEX(GroupVertices[Group],MATCH(Edges[[#This Row],[Vertex 2]],GroupVertices[Vertex],0)),1,1,"")</f>
        <v>2</v>
      </c>
      <c r="BM564" s="45"/>
      <c r="BN564" s="46"/>
      <c r="BO564" s="45"/>
      <c r="BP564" s="46"/>
      <c r="BQ564" s="45"/>
      <c r="BR564" s="46"/>
      <c r="BS564" s="45"/>
      <c r="BT564" s="46"/>
      <c r="BU564" s="45"/>
    </row>
    <row r="565" spans="1:73" ht="15">
      <c r="A565" s="61" t="s">
        <v>229</v>
      </c>
      <c r="B565" s="61" t="s">
        <v>229</v>
      </c>
      <c r="C565" s="62" t="s">
        <v>11694</v>
      </c>
      <c r="D565" s="63">
        <v>5.8</v>
      </c>
      <c r="E565" s="64" t="s">
        <v>132</v>
      </c>
      <c r="F565" s="65">
        <v>23.2</v>
      </c>
      <c r="G565" s="62"/>
      <c r="H565" s="66"/>
      <c r="I565" s="67"/>
      <c r="J565" s="67"/>
      <c r="K565" s="31" t="s">
        <v>65</v>
      </c>
      <c r="L565" s="75">
        <v>565</v>
      </c>
      <c r="M565" s="75"/>
      <c r="N565" s="69"/>
      <c r="O565" s="77" t="s">
        <v>540</v>
      </c>
      <c r="P565" s="79">
        <v>45161.33829861111</v>
      </c>
      <c r="Q565" s="77" t="s">
        <v>598</v>
      </c>
      <c r="R565" s="77">
        <v>1</v>
      </c>
      <c r="S565" s="77">
        <v>4</v>
      </c>
      <c r="T565" s="77">
        <v>1</v>
      </c>
      <c r="U565" s="77">
        <v>1</v>
      </c>
      <c r="V565" s="77">
        <v>186</v>
      </c>
      <c r="W565" s="81" t="s">
        <v>703</v>
      </c>
      <c r="X565" s="83" t="str">
        <f>HYPERLINK("https://nodexlgraphgallery.org/Pages/Graph.aspx?graphID=292277")</f>
        <v>https://nodexlgraphgallery.org/Pages/Graph.aspx?graphID=292277</v>
      </c>
      <c r="Y565" s="77" t="s">
        <v>732</v>
      </c>
      <c r="Z565" s="77" t="s">
        <v>788</v>
      </c>
      <c r="AA565" s="77"/>
      <c r="AB565" s="77"/>
      <c r="AC565" s="81" t="s">
        <v>853</v>
      </c>
      <c r="AD565" s="77" t="s">
        <v>860</v>
      </c>
      <c r="AE565" s="83" t="str">
        <f>HYPERLINK("https://twitter.com/mihkal/status/1694259968608735298")</f>
        <v>https://twitter.com/mihkal/status/1694259968608735298</v>
      </c>
      <c r="AF565" s="79">
        <v>45161.33829861111</v>
      </c>
      <c r="AG565" s="85">
        <v>45161</v>
      </c>
      <c r="AH565" s="81" t="s">
        <v>926</v>
      </c>
      <c r="AI565" s="77" t="b">
        <v>0</v>
      </c>
      <c r="AJ565" s="77"/>
      <c r="AK565" s="77"/>
      <c r="AL565" s="77"/>
      <c r="AM565" s="77"/>
      <c r="AN565" s="77"/>
      <c r="AO565" s="77"/>
      <c r="AP565" s="77"/>
      <c r="AQ565" s="77"/>
      <c r="AR565" s="77"/>
      <c r="AS565" s="77"/>
      <c r="AT565" s="77"/>
      <c r="AU565" s="77"/>
      <c r="AV565" s="83" t="str">
        <f>HYPERLINK("https://pbs.twimg.com/profile_images/1663227887837757440/XOjtFF4W_normal.jpg")</f>
        <v>https://pbs.twimg.com/profile_images/1663227887837757440/XOjtFF4W_normal.jpg</v>
      </c>
      <c r="AW565" s="81" t="s">
        <v>1081</v>
      </c>
      <c r="AX565" s="81" t="s">
        <v>1158</v>
      </c>
      <c r="AY565" s="81" t="s">
        <v>1169</v>
      </c>
      <c r="AZ565" s="81" t="s">
        <v>1079</v>
      </c>
      <c r="BA565" s="81" t="s">
        <v>1190</v>
      </c>
      <c r="BB565" s="81" t="s">
        <v>1190</v>
      </c>
      <c r="BC565" s="81" t="s">
        <v>1079</v>
      </c>
      <c r="BD565" s="77">
        <v>24256031</v>
      </c>
      <c r="BE565" s="77"/>
      <c r="BF565" s="77"/>
      <c r="BG565" s="77"/>
      <c r="BH565" s="77"/>
      <c r="BI565" s="77"/>
      <c r="BJ565">
        <v>3</v>
      </c>
      <c r="BK565" s="76" t="str">
        <f>REPLACE(INDEX(GroupVertices[Group],MATCH(Edges[[#This Row],[Vertex 1]],GroupVertices[Vertex],0)),1,1,"")</f>
        <v>1</v>
      </c>
      <c r="BL565" s="76" t="str">
        <f>REPLACE(INDEX(GroupVertices[Group],MATCH(Edges[[#This Row],[Vertex 2]],GroupVertices[Vertex],0)),1,1,"")</f>
        <v>1</v>
      </c>
      <c r="BM565" s="45"/>
      <c r="BN565" s="46"/>
      <c r="BO565" s="45"/>
      <c r="BP565" s="46"/>
      <c r="BQ565" s="45"/>
      <c r="BR565" s="46"/>
      <c r="BS565" s="45"/>
      <c r="BT565" s="46"/>
      <c r="BU565" s="45"/>
    </row>
    <row r="566" spans="1:73" ht="15">
      <c r="A566" s="61" t="s">
        <v>229</v>
      </c>
      <c r="B566" s="61" t="s">
        <v>228</v>
      </c>
      <c r="C566" s="62" t="s">
        <v>11693</v>
      </c>
      <c r="D566" s="63">
        <v>4.4</v>
      </c>
      <c r="E566" s="64" t="s">
        <v>132</v>
      </c>
      <c r="F566" s="65">
        <v>27.6</v>
      </c>
      <c r="G566" s="62"/>
      <c r="H566" s="66"/>
      <c r="I566" s="67"/>
      <c r="J566" s="67"/>
      <c r="K566" s="31" t="s">
        <v>65</v>
      </c>
      <c r="L566" s="75">
        <v>566</v>
      </c>
      <c r="M566" s="75"/>
      <c r="N566" s="69"/>
      <c r="O566" s="77" t="s">
        <v>539</v>
      </c>
      <c r="P566" s="79">
        <v>45161.24128472222</v>
      </c>
      <c r="Q566" s="77" t="s">
        <v>638</v>
      </c>
      <c r="R566" s="77">
        <v>0</v>
      </c>
      <c r="S566" s="77">
        <v>1</v>
      </c>
      <c r="T566" s="77">
        <v>2</v>
      </c>
      <c r="U566" s="77">
        <v>0</v>
      </c>
      <c r="V566" s="77">
        <v>249</v>
      </c>
      <c r="W566" s="81" t="s">
        <v>709</v>
      </c>
      <c r="X566" s="83" t="str">
        <f>HYPERLINK("https://drive.google.com/file/d/1V8VDKgqRE3Ait1LOwdKrF73c0Y2BEvse/view?usp=sharing")</f>
        <v>https://drive.google.com/file/d/1V8VDKgqRE3Ait1LOwdKrF73c0Y2BEvse/view?usp=sharing</v>
      </c>
      <c r="Y566" s="77" t="s">
        <v>739</v>
      </c>
      <c r="Z566" s="77" t="s">
        <v>228</v>
      </c>
      <c r="AA566" s="77"/>
      <c r="AB566" s="77"/>
      <c r="AC566" s="81" t="s">
        <v>853</v>
      </c>
      <c r="AD566" s="77" t="s">
        <v>860</v>
      </c>
      <c r="AE566" s="83" t="str">
        <f>HYPERLINK("https://twitter.com/mihkal/status/1694224815505232291")</f>
        <v>https://twitter.com/mihkal/status/1694224815505232291</v>
      </c>
      <c r="AF566" s="79">
        <v>45161.24128472222</v>
      </c>
      <c r="AG566" s="85">
        <v>45161</v>
      </c>
      <c r="AH566" s="81" t="s">
        <v>966</v>
      </c>
      <c r="AI566" s="77" t="b">
        <v>0</v>
      </c>
      <c r="AJ566" s="77"/>
      <c r="AK566" s="77"/>
      <c r="AL566" s="77"/>
      <c r="AM566" s="77"/>
      <c r="AN566" s="77"/>
      <c r="AO566" s="77"/>
      <c r="AP566" s="77"/>
      <c r="AQ566" s="77"/>
      <c r="AR566" s="77"/>
      <c r="AS566" s="77"/>
      <c r="AT566" s="77"/>
      <c r="AU566" s="77"/>
      <c r="AV566" s="83" t="str">
        <f>HYPERLINK("https://pbs.twimg.com/profile_images/1663227887837757440/XOjtFF4W_normal.jpg")</f>
        <v>https://pbs.twimg.com/profile_images/1663227887837757440/XOjtFF4W_normal.jpg</v>
      </c>
      <c r="AW566" s="81" t="s">
        <v>1121</v>
      </c>
      <c r="AX566" s="81" t="s">
        <v>1121</v>
      </c>
      <c r="AY566" s="77"/>
      <c r="AZ566" s="81" t="s">
        <v>1190</v>
      </c>
      <c r="BA566" s="81" t="s">
        <v>1190</v>
      </c>
      <c r="BB566" s="81" t="s">
        <v>1190</v>
      </c>
      <c r="BC566" s="81" t="s">
        <v>1121</v>
      </c>
      <c r="BD566" s="77">
        <v>24256031</v>
      </c>
      <c r="BE566" s="77"/>
      <c r="BF566" s="77"/>
      <c r="BG566" s="77"/>
      <c r="BH566" s="77"/>
      <c r="BI566" s="77"/>
      <c r="BJ566">
        <v>2</v>
      </c>
      <c r="BK566" s="76" t="str">
        <f>REPLACE(INDEX(GroupVertices[Group],MATCH(Edges[[#This Row],[Vertex 1]],GroupVertices[Vertex],0)),1,1,"")</f>
        <v>1</v>
      </c>
      <c r="BL566" s="76" t="str">
        <f>REPLACE(INDEX(GroupVertices[Group],MATCH(Edges[[#This Row],[Vertex 2]],GroupVertices[Vertex],0)),1,1,"")</f>
        <v>2</v>
      </c>
      <c r="BM566" s="45">
        <v>0</v>
      </c>
      <c r="BN566" s="46">
        <v>0</v>
      </c>
      <c r="BO566" s="45">
        <v>0</v>
      </c>
      <c r="BP566" s="46">
        <v>0</v>
      </c>
      <c r="BQ566" s="45">
        <v>0</v>
      </c>
      <c r="BR566" s="46">
        <v>0</v>
      </c>
      <c r="BS566" s="45">
        <v>20</v>
      </c>
      <c r="BT566" s="46">
        <v>100</v>
      </c>
      <c r="BU566" s="45">
        <v>20</v>
      </c>
    </row>
    <row r="567" spans="1:73" ht="15">
      <c r="A567" s="61" t="s">
        <v>229</v>
      </c>
      <c r="B567" s="61" t="s">
        <v>228</v>
      </c>
      <c r="C567" s="62" t="s">
        <v>11692</v>
      </c>
      <c r="D567" s="63">
        <v>3</v>
      </c>
      <c r="E567" s="64" t="s">
        <v>132</v>
      </c>
      <c r="F567" s="65">
        <v>32</v>
      </c>
      <c r="G567" s="62"/>
      <c r="H567" s="66"/>
      <c r="I567" s="67"/>
      <c r="J567" s="67"/>
      <c r="K567" s="31" t="s">
        <v>65</v>
      </c>
      <c r="L567" s="75">
        <v>567</v>
      </c>
      <c r="M567" s="75"/>
      <c r="N567" s="69"/>
      <c r="O567" s="77" t="s">
        <v>544</v>
      </c>
      <c r="P567" s="79">
        <v>45162.55747685185</v>
      </c>
      <c r="Q567" s="77" t="s">
        <v>639</v>
      </c>
      <c r="R567" s="77">
        <v>0</v>
      </c>
      <c r="S567" s="77">
        <v>3</v>
      </c>
      <c r="T567" s="77">
        <v>0</v>
      </c>
      <c r="U567" s="77">
        <v>0</v>
      </c>
      <c r="V567" s="77">
        <v>132</v>
      </c>
      <c r="W567" s="81" t="s">
        <v>710</v>
      </c>
      <c r="X567" s="77"/>
      <c r="Y567" s="77"/>
      <c r="Z567" s="77" t="s">
        <v>228</v>
      </c>
      <c r="AA567" s="77"/>
      <c r="AB567" s="77"/>
      <c r="AC567" s="81" t="s">
        <v>853</v>
      </c>
      <c r="AD567" s="77" t="s">
        <v>860</v>
      </c>
      <c r="AE567" s="83" t="str">
        <f>HYPERLINK("https://twitter.com/mihkal/status/1694701784642588845")</f>
        <v>https://twitter.com/mihkal/status/1694701784642588845</v>
      </c>
      <c r="AF567" s="79">
        <v>45162.55747685185</v>
      </c>
      <c r="AG567" s="85">
        <v>45162</v>
      </c>
      <c r="AH567" s="81" t="s">
        <v>967</v>
      </c>
      <c r="AI567" s="77"/>
      <c r="AJ567" s="77"/>
      <c r="AK567" s="77"/>
      <c r="AL567" s="77"/>
      <c r="AM567" s="77"/>
      <c r="AN567" s="77"/>
      <c r="AO567" s="77"/>
      <c r="AP567" s="77"/>
      <c r="AQ567" s="77"/>
      <c r="AR567" s="77"/>
      <c r="AS567" s="77"/>
      <c r="AT567" s="77"/>
      <c r="AU567" s="77"/>
      <c r="AV567" s="83" t="str">
        <f>HYPERLINK("https://pbs.twimg.com/profile_images/1663227887837757440/XOjtFF4W_normal.jpg")</f>
        <v>https://pbs.twimg.com/profile_images/1663227887837757440/XOjtFF4W_normal.jpg</v>
      </c>
      <c r="AW567" s="81" t="s">
        <v>1122</v>
      </c>
      <c r="AX567" s="81" t="s">
        <v>1122</v>
      </c>
      <c r="AY567" s="77"/>
      <c r="AZ567" s="81" t="s">
        <v>1190</v>
      </c>
      <c r="BA567" s="81" t="s">
        <v>1046</v>
      </c>
      <c r="BB567" s="81" t="s">
        <v>1190</v>
      </c>
      <c r="BC567" s="81" t="s">
        <v>1046</v>
      </c>
      <c r="BD567" s="77">
        <v>24256031</v>
      </c>
      <c r="BE567" s="77"/>
      <c r="BF567" s="77"/>
      <c r="BG567" s="77"/>
      <c r="BH567" s="77"/>
      <c r="BI567" s="77"/>
      <c r="BJ567">
        <v>1</v>
      </c>
      <c r="BK567" s="76" t="str">
        <f>REPLACE(INDEX(GroupVertices[Group],MATCH(Edges[[#This Row],[Vertex 1]],GroupVertices[Vertex],0)),1,1,"")</f>
        <v>1</v>
      </c>
      <c r="BL567" s="76" t="str">
        <f>REPLACE(INDEX(GroupVertices[Group],MATCH(Edges[[#This Row],[Vertex 2]],GroupVertices[Vertex],0)),1,1,"")</f>
        <v>2</v>
      </c>
      <c r="BM567" s="45">
        <v>0</v>
      </c>
      <c r="BN567" s="46">
        <v>0</v>
      </c>
      <c r="BO567" s="45">
        <v>0</v>
      </c>
      <c r="BP567" s="46">
        <v>0</v>
      </c>
      <c r="BQ567" s="45">
        <v>0</v>
      </c>
      <c r="BR567" s="46">
        <v>0</v>
      </c>
      <c r="BS567" s="45">
        <v>17</v>
      </c>
      <c r="BT567" s="46">
        <v>80.95238095238095</v>
      </c>
      <c r="BU567" s="45">
        <v>21</v>
      </c>
    </row>
    <row r="568" spans="1:73" ht="15">
      <c r="A568" s="61" t="s">
        <v>229</v>
      </c>
      <c r="B568" s="61" t="s">
        <v>229</v>
      </c>
      <c r="C568" s="62" t="s">
        <v>11692</v>
      </c>
      <c r="D568" s="63">
        <v>3</v>
      </c>
      <c r="E568" s="64" t="s">
        <v>132</v>
      </c>
      <c r="F568" s="65">
        <v>32</v>
      </c>
      <c r="G568" s="62"/>
      <c r="H568" s="66"/>
      <c r="I568" s="67"/>
      <c r="J568" s="67"/>
      <c r="K568" s="31" t="s">
        <v>65</v>
      </c>
      <c r="L568" s="75">
        <v>568</v>
      </c>
      <c r="M568" s="75"/>
      <c r="N568" s="69"/>
      <c r="O568" s="77" t="s">
        <v>542</v>
      </c>
      <c r="P568" s="79">
        <v>45162.55747685185</v>
      </c>
      <c r="Q568" s="77" t="s">
        <v>639</v>
      </c>
      <c r="R568" s="77">
        <v>0</v>
      </c>
      <c r="S568" s="77">
        <v>3</v>
      </c>
      <c r="T568" s="77">
        <v>0</v>
      </c>
      <c r="U568" s="77">
        <v>0</v>
      </c>
      <c r="V568" s="77">
        <v>132</v>
      </c>
      <c r="W568" s="81" t="s">
        <v>710</v>
      </c>
      <c r="X568" s="77"/>
      <c r="Y568" s="77"/>
      <c r="Z568" s="77" t="s">
        <v>228</v>
      </c>
      <c r="AA568" s="77"/>
      <c r="AB568" s="77"/>
      <c r="AC568" s="81" t="s">
        <v>853</v>
      </c>
      <c r="AD568" s="77" t="s">
        <v>860</v>
      </c>
      <c r="AE568" s="83" t="str">
        <f>HYPERLINK("https://twitter.com/mihkal/status/1694701784642588845")</f>
        <v>https://twitter.com/mihkal/status/1694701784642588845</v>
      </c>
      <c r="AF568" s="79">
        <v>45162.55747685185</v>
      </c>
      <c r="AG568" s="85">
        <v>45162</v>
      </c>
      <c r="AH568" s="81" t="s">
        <v>967</v>
      </c>
      <c r="AI568" s="77"/>
      <c r="AJ568" s="77"/>
      <c r="AK568" s="77"/>
      <c r="AL568" s="77"/>
      <c r="AM568" s="77"/>
      <c r="AN568" s="77"/>
      <c r="AO568" s="77"/>
      <c r="AP568" s="77"/>
      <c r="AQ568" s="77"/>
      <c r="AR568" s="77"/>
      <c r="AS568" s="77"/>
      <c r="AT568" s="77"/>
      <c r="AU568" s="77"/>
      <c r="AV568" s="83" t="str">
        <f>HYPERLINK("https://pbs.twimg.com/profile_images/1663227887837757440/XOjtFF4W_normal.jpg")</f>
        <v>https://pbs.twimg.com/profile_images/1663227887837757440/XOjtFF4W_normal.jpg</v>
      </c>
      <c r="AW568" s="81" t="s">
        <v>1122</v>
      </c>
      <c r="AX568" s="81" t="s">
        <v>1122</v>
      </c>
      <c r="AY568" s="77"/>
      <c r="AZ568" s="81" t="s">
        <v>1190</v>
      </c>
      <c r="BA568" s="81" t="s">
        <v>1046</v>
      </c>
      <c r="BB568" s="81" t="s">
        <v>1190</v>
      </c>
      <c r="BC568" s="81" t="s">
        <v>1046</v>
      </c>
      <c r="BD568" s="77">
        <v>24256031</v>
      </c>
      <c r="BE568" s="77"/>
      <c r="BF568" s="77"/>
      <c r="BG568" s="77"/>
      <c r="BH568" s="77"/>
      <c r="BI568" s="77"/>
      <c r="BJ568">
        <v>1</v>
      </c>
      <c r="BK568" s="76" t="str">
        <f>REPLACE(INDEX(GroupVertices[Group],MATCH(Edges[[#This Row],[Vertex 1]],GroupVertices[Vertex],0)),1,1,"")</f>
        <v>1</v>
      </c>
      <c r="BL568" s="76" t="str">
        <f>REPLACE(INDEX(GroupVertices[Group],MATCH(Edges[[#This Row],[Vertex 2]],GroupVertices[Vertex],0)),1,1,"")</f>
        <v>1</v>
      </c>
      <c r="BM568" s="45"/>
      <c r="BN568" s="46"/>
      <c r="BO568" s="45"/>
      <c r="BP568" s="46"/>
      <c r="BQ568" s="45"/>
      <c r="BR568" s="46"/>
      <c r="BS568" s="45"/>
      <c r="BT568" s="46"/>
      <c r="BU568" s="45"/>
    </row>
    <row r="569" spans="1:73" ht="15">
      <c r="A569" s="61" t="s">
        <v>229</v>
      </c>
      <c r="B569" s="61" t="s">
        <v>228</v>
      </c>
      <c r="C569" s="62" t="s">
        <v>11697</v>
      </c>
      <c r="D569" s="63">
        <v>10</v>
      </c>
      <c r="E569" s="64" t="s">
        <v>136</v>
      </c>
      <c r="F569" s="65">
        <v>10</v>
      </c>
      <c r="G569" s="62"/>
      <c r="H569" s="66"/>
      <c r="I569" s="67"/>
      <c r="J569" s="67"/>
      <c r="K569" s="31" t="s">
        <v>65</v>
      </c>
      <c r="L569" s="75">
        <v>569</v>
      </c>
      <c r="M569" s="75"/>
      <c r="N569" s="69"/>
      <c r="O569" s="77" t="s">
        <v>543</v>
      </c>
      <c r="P569" s="79">
        <v>45161.24545138889</v>
      </c>
      <c r="Q569" s="77" t="s">
        <v>640</v>
      </c>
      <c r="R569" s="77">
        <v>0</v>
      </c>
      <c r="S569" s="77">
        <v>5</v>
      </c>
      <c r="T569" s="77">
        <v>1</v>
      </c>
      <c r="U569" s="77">
        <v>0</v>
      </c>
      <c r="V569" s="77">
        <v>40</v>
      </c>
      <c r="W569" s="77"/>
      <c r="X569" s="83" t="str">
        <f>HYPERLINK("https://nodexlgraphgallery.org/Pages/Graph.aspx?graphID=281570")</f>
        <v>https://nodexlgraphgallery.org/Pages/Graph.aspx?graphID=281570</v>
      </c>
      <c r="Y569" s="77" t="s">
        <v>732</v>
      </c>
      <c r="Z569" s="77" t="s">
        <v>804</v>
      </c>
      <c r="AA569" s="77"/>
      <c r="AB569" s="77"/>
      <c r="AC569" s="81" t="s">
        <v>853</v>
      </c>
      <c r="AD569" s="77" t="s">
        <v>860</v>
      </c>
      <c r="AE569" s="83" t="str">
        <f>HYPERLINK("https://twitter.com/mihkal/status/1694226322556416333")</f>
        <v>https://twitter.com/mihkal/status/1694226322556416333</v>
      </c>
      <c r="AF569" s="79">
        <v>45161.24545138889</v>
      </c>
      <c r="AG569" s="85">
        <v>45161</v>
      </c>
      <c r="AH569" s="81" t="s">
        <v>968</v>
      </c>
      <c r="AI569" s="77" t="b">
        <v>0</v>
      </c>
      <c r="AJ569" s="77"/>
      <c r="AK569" s="77"/>
      <c r="AL569" s="77"/>
      <c r="AM569" s="77"/>
      <c r="AN569" s="77"/>
      <c r="AO569" s="77"/>
      <c r="AP569" s="77"/>
      <c r="AQ569" s="77"/>
      <c r="AR569" s="77"/>
      <c r="AS569" s="77"/>
      <c r="AT569" s="77"/>
      <c r="AU569" s="77"/>
      <c r="AV569" s="83" t="str">
        <f>HYPERLINK("https://pbs.twimg.com/profile_images/1663227887837757440/XOjtFF4W_normal.jpg")</f>
        <v>https://pbs.twimg.com/profile_images/1663227887837757440/XOjtFF4W_normal.jpg</v>
      </c>
      <c r="AW569" s="81" t="s">
        <v>1123</v>
      </c>
      <c r="AX569" s="81" t="s">
        <v>1121</v>
      </c>
      <c r="AY569" s="81" t="s">
        <v>1186</v>
      </c>
      <c r="AZ569" s="81" t="s">
        <v>1116</v>
      </c>
      <c r="BA569" s="81" t="s">
        <v>1190</v>
      </c>
      <c r="BB569" s="81" t="s">
        <v>1190</v>
      </c>
      <c r="BC569" s="81" t="s">
        <v>1116</v>
      </c>
      <c r="BD569" s="77">
        <v>24256031</v>
      </c>
      <c r="BE569" s="77"/>
      <c r="BF569" s="77"/>
      <c r="BG569" s="77"/>
      <c r="BH569" s="77"/>
      <c r="BI569" s="77"/>
      <c r="BJ569">
        <v>10</v>
      </c>
      <c r="BK569" s="76" t="str">
        <f>REPLACE(INDEX(GroupVertices[Group],MATCH(Edges[[#This Row],[Vertex 1]],GroupVertices[Vertex],0)),1,1,"")</f>
        <v>1</v>
      </c>
      <c r="BL569" s="76" t="str">
        <f>REPLACE(INDEX(GroupVertices[Group],MATCH(Edges[[#This Row],[Vertex 2]],GroupVertices[Vertex],0)),1,1,"")</f>
        <v>2</v>
      </c>
      <c r="BM569" s="45"/>
      <c r="BN569" s="46"/>
      <c r="BO569" s="45"/>
      <c r="BP569" s="46"/>
      <c r="BQ569" s="45"/>
      <c r="BR569" s="46"/>
      <c r="BS569" s="45"/>
      <c r="BT569" s="46"/>
      <c r="BU569" s="45"/>
    </row>
    <row r="570" spans="1:73" ht="15">
      <c r="A570" s="61" t="s">
        <v>229</v>
      </c>
      <c r="B570" s="61" t="s">
        <v>252</v>
      </c>
      <c r="C570" s="62" t="s">
        <v>11693</v>
      </c>
      <c r="D570" s="63">
        <v>4.4</v>
      </c>
      <c r="E570" s="64" t="s">
        <v>132</v>
      </c>
      <c r="F570" s="65">
        <v>27.6</v>
      </c>
      <c r="G570" s="62"/>
      <c r="H570" s="66"/>
      <c r="I570" s="67"/>
      <c r="J570" s="67"/>
      <c r="K570" s="31" t="s">
        <v>66</v>
      </c>
      <c r="L570" s="75">
        <v>570</v>
      </c>
      <c r="M570" s="75"/>
      <c r="N570" s="69"/>
      <c r="O570" s="77" t="s">
        <v>540</v>
      </c>
      <c r="P570" s="79">
        <v>45161.24545138889</v>
      </c>
      <c r="Q570" s="77" t="s">
        <v>640</v>
      </c>
      <c r="R570" s="77">
        <v>0</v>
      </c>
      <c r="S570" s="77">
        <v>5</v>
      </c>
      <c r="T570" s="77">
        <v>1</v>
      </c>
      <c r="U570" s="77">
        <v>0</v>
      </c>
      <c r="V570" s="77">
        <v>40</v>
      </c>
      <c r="W570" s="77"/>
      <c r="X570" s="83" t="str">
        <f>HYPERLINK("https://nodexlgraphgallery.org/Pages/Graph.aspx?graphID=281570")</f>
        <v>https://nodexlgraphgallery.org/Pages/Graph.aspx?graphID=281570</v>
      </c>
      <c r="Y570" s="77" t="s">
        <v>732</v>
      </c>
      <c r="Z570" s="77" t="s">
        <v>804</v>
      </c>
      <c r="AA570" s="77"/>
      <c r="AB570" s="77"/>
      <c r="AC570" s="81" t="s">
        <v>853</v>
      </c>
      <c r="AD570" s="77" t="s">
        <v>860</v>
      </c>
      <c r="AE570" s="83" t="str">
        <f>HYPERLINK("https://twitter.com/mihkal/status/1694226322556416333")</f>
        <v>https://twitter.com/mihkal/status/1694226322556416333</v>
      </c>
      <c r="AF570" s="79">
        <v>45161.24545138889</v>
      </c>
      <c r="AG570" s="85">
        <v>45161</v>
      </c>
      <c r="AH570" s="81" t="s">
        <v>968</v>
      </c>
      <c r="AI570" s="77" t="b">
        <v>0</v>
      </c>
      <c r="AJ570" s="77"/>
      <c r="AK570" s="77"/>
      <c r="AL570" s="77"/>
      <c r="AM570" s="77"/>
      <c r="AN570" s="77"/>
      <c r="AO570" s="77"/>
      <c r="AP570" s="77"/>
      <c r="AQ570" s="77"/>
      <c r="AR570" s="77"/>
      <c r="AS570" s="77"/>
      <c r="AT570" s="77"/>
      <c r="AU570" s="77"/>
      <c r="AV570" s="83" t="str">
        <f>HYPERLINK("https://pbs.twimg.com/profile_images/1663227887837757440/XOjtFF4W_normal.jpg")</f>
        <v>https://pbs.twimg.com/profile_images/1663227887837757440/XOjtFF4W_normal.jpg</v>
      </c>
      <c r="AW570" s="81" t="s">
        <v>1123</v>
      </c>
      <c r="AX570" s="81" t="s">
        <v>1121</v>
      </c>
      <c r="AY570" s="81" t="s">
        <v>1186</v>
      </c>
      <c r="AZ570" s="81" t="s">
        <v>1116</v>
      </c>
      <c r="BA570" s="81" t="s">
        <v>1190</v>
      </c>
      <c r="BB570" s="81" t="s">
        <v>1190</v>
      </c>
      <c r="BC570" s="81" t="s">
        <v>1116</v>
      </c>
      <c r="BD570" s="77">
        <v>24256031</v>
      </c>
      <c r="BE570" s="77"/>
      <c r="BF570" s="77"/>
      <c r="BG570" s="77"/>
      <c r="BH570" s="77"/>
      <c r="BI570" s="77"/>
      <c r="BJ570">
        <v>2</v>
      </c>
      <c r="BK570" s="76" t="str">
        <f>REPLACE(INDEX(GroupVertices[Group],MATCH(Edges[[#This Row],[Vertex 1]],GroupVertices[Vertex],0)),1,1,"")</f>
        <v>1</v>
      </c>
      <c r="BL570" s="76" t="str">
        <f>REPLACE(INDEX(GroupVertices[Group],MATCH(Edges[[#This Row],[Vertex 2]],GroupVertices[Vertex],0)),1,1,"")</f>
        <v>2</v>
      </c>
      <c r="BM570" s="45">
        <v>0</v>
      </c>
      <c r="BN570" s="46">
        <v>0</v>
      </c>
      <c r="BO570" s="45">
        <v>0</v>
      </c>
      <c r="BP570" s="46">
        <v>0</v>
      </c>
      <c r="BQ570" s="45">
        <v>0</v>
      </c>
      <c r="BR570" s="46">
        <v>0</v>
      </c>
      <c r="BS570" s="45">
        <v>6</v>
      </c>
      <c r="BT570" s="46">
        <v>100</v>
      </c>
      <c r="BU570" s="45">
        <v>6</v>
      </c>
    </row>
    <row r="571" spans="1:73" ht="15">
      <c r="A571" s="61" t="s">
        <v>253</v>
      </c>
      <c r="B571" s="61" t="s">
        <v>229</v>
      </c>
      <c r="C571" s="62" t="s">
        <v>11692</v>
      </c>
      <c r="D571" s="63">
        <v>3</v>
      </c>
      <c r="E571" s="64" t="s">
        <v>132</v>
      </c>
      <c r="F571" s="65">
        <v>32</v>
      </c>
      <c r="G571" s="62"/>
      <c r="H571" s="66"/>
      <c r="I571" s="67"/>
      <c r="J571" s="67"/>
      <c r="K571" s="31" t="s">
        <v>66</v>
      </c>
      <c r="L571" s="75">
        <v>571</v>
      </c>
      <c r="M571" s="75"/>
      <c r="N571" s="69"/>
      <c r="O571" s="77" t="s">
        <v>543</v>
      </c>
      <c r="P571" s="79">
        <v>45161.511342592596</v>
      </c>
      <c r="Q571" s="77" t="s">
        <v>641</v>
      </c>
      <c r="R571" s="77">
        <v>0</v>
      </c>
      <c r="S571" s="77">
        <v>1</v>
      </c>
      <c r="T571" s="77">
        <v>1</v>
      </c>
      <c r="U571" s="77">
        <v>0</v>
      </c>
      <c r="V571" s="77">
        <v>42</v>
      </c>
      <c r="W571" s="77"/>
      <c r="X571" s="77"/>
      <c r="Y571" s="77"/>
      <c r="Z571" s="77" t="s">
        <v>805</v>
      </c>
      <c r="AA571" s="77"/>
      <c r="AB571" s="77"/>
      <c r="AC571" s="81" t="s">
        <v>853</v>
      </c>
      <c r="AD571" s="77" t="s">
        <v>860</v>
      </c>
      <c r="AE571" s="83" t="str">
        <f>HYPERLINK("https://twitter.com/jnkka/status/1694322681213010036")</f>
        <v>https://twitter.com/jnkka/status/1694322681213010036</v>
      </c>
      <c r="AF571" s="79">
        <v>45161.511342592596</v>
      </c>
      <c r="AG571" s="85">
        <v>45161</v>
      </c>
      <c r="AH571" s="81" t="s">
        <v>969</v>
      </c>
      <c r="AI571" s="77"/>
      <c r="AJ571" s="77"/>
      <c r="AK571" s="77"/>
      <c r="AL571" s="77"/>
      <c r="AM571" s="77"/>
      <c r="AN571" s="77"/>
      <c r="AO571" s="77"/>
      <c r="AP571" s="77"/>
      <c r="AQ571" s="77"/>
      <c r="AR571" s="77"/>
      <c r="AS571" s="77"/>
      <c r="AT571" s="77"/>
      <c r="AU571" s="77"/>
      <c r="AV571" s="83" t="str">
        <f>HYPERLINK("https://pbs.twimg.com/profile_images/932214325909053440/xREfIOx-_normal.jpg")</f>
        <v>https://pbs.twimg.com/profile_images/932214325909053440/xREfIOx-_normal.jpg</v>
      </c>
      <c r="AW571" s="81" t="s">
        <v>1124</v>
      </c>
      <c r="AX571" s="81" t="s">
        <v>1121</v>
      </c>
      <c r="AY571" s="81" t="s">
        <v>1186</v>
      </c>
      <c r="AZ571" s="81" t="s">
        <v>1116</v>
      </c>
      <c r="BA571" s="81" t="s">
        <v>1190</v>
      </c>
      <c r="BB571" s="81" t="s">
        <v>1190</v>
      </c>
      <c r="BC571" s="81" t="s">
        <v>1116</v>
      </c>
      <c r="BD571" s="77">
        <v>14094651</v>
      </c>
      <c r="BE571" s="77"/>
      <c r="BF571" s="77"/>
      <c r="BG571" s="77"/>
      <c r="BH571" s="77"/>
      <c r="BI571" s="77"/>
      <c r="BJ571">
        <v>1</v>
      </c>
      <c r="BK571" s="76" t="str">
        <f>REPLACE(INDEX(GroupVertices[Group],MATCH(Edges[[#This Row],[Vertex 1]],GroupVertices[Vertex],0)),1,1,"")</f>
        <v>2</v>
      </c>
      <c r="BL571" s="76" t="str">
        <f>REPLACE(INDEX(GroupVertices[Group],MATCH(Edges[[#This Row],[Vertex 2]],GroupVertices[Vertex],0)),1,1,"")</f>
        <v>1</v>
      </c>
      <c r="BM571" s="45"/>
      <c r="BN571" s="46"/>
      <c r="BO571" s="45"/>
      <c r="BP571" s="46"/>
      <c r="BQ571" s="45"/>
      <c r="BR571" s="46"/>
      <c r="BS571" s="45"/>
      <c r="BT571" s="46"/>
      <c r="BU571" s="45"/>
    </row>
    <row r="572" spans="1:73" ht="15">
      <c r="A572" s="61" t="s">
        <v>252</v>
      </c>
      <c r="B572" s="61" t="s">
        <v>228</v>
      </c>
      <c r="C572" s="62" t="s">
        <v>11694</v>
      </c>
      <c r="D572" s="63">
        <v>5.8</v>
      </c>
      <c r="E572" s="64" t="s">
        <v>132</v>
      </c>
      <c r="F572" s="65">
        <v>23.2</v>
      </c>
      <c r="G572" s="62"/>
      <c r="H572" s="66"/>
      <c r="I572" s="67"/>
      <c r="J572" s="67"/>
      <c r="K572" s="31" t="s">
        <v>65</v>
      </c>
      <c r="L572" s="75">
        <v>572</v>
      </c>
      <c r="M572" s="75"/>
      <c r="N572" s="69"/>
      <c r="O572" s="77" t="s">
        <v>543</v>
      </c>
      <c r="P572" s="79">
        <v>45161.24364583333</v>
      </c>
      <c r="Q572" s="77" t="s">
        <v>633</v>
      </c>
      <c r="R572" s="77">
        <v>0</v>
      </c>
      <c r="S572" s="77">
        <v>1</v>
      </c>
      <c r="T572" s="77">
        <v>3</v>
      </c>
      <c r="U572" s="77">
        <v>1</v>
      </c>
      <c r="V572" s="77">
        <v>787</v>
      </c>
      <c r="W572" s="77"/>
      <c r="X572" s="77"/>
      <c r="Y572" s="77"/>
      <c r="Z572" s="77" t="s">
        <v>801</v>
      </c>
      <c r="AA572" s="77"/>
      <c r="AB572" s="77"/>
      <c r="AC572" s="81" t="s">
        <v>853</v>
      </c>
      <c r="AD572" s="77" t="s">
        <v>860</v>
      </c>
      <c r="AE572" s="83" t="str">
        <f>HYPERLINK("https://twitter.com/samisyrjamaki/status/1694225671558447150")</f>
        <v>https://twitter.com/samisyrjamaki/status/1694225671558447150</v>
      </c>
      <c r="AF572" s="79">
        <v>45161.24364583333</v>
      </c>
      <c r="AG572" s="85">
        <v>45161</v>
      </c>
      <c r="AH572" s="81" t="s">
        <v>961</v>
      </c>
      <c r="AI572" s="77"/>
      <c r="AJ572" s="77"/>
      <c r="AK572" s="77"/>
      <c r="AL572" s="77"/>
      <c r="AM572" s="77"/>
      <c r="AN572" s="77"/>
      <c r="AO572" s="77"/>
      <c r="AP572" s="77"/>
      <c r="AQ572" s="77"/>
      <c r="AR572" s="77"/>
      <c r="AS572" s="77"/>
      <c r="AT572" s="77"/>
      <c r="AU572" s="77"/>
      <c r="AV572" s="83" t="str">
        <f>HYPERLINK("https://pbs.twimg.com/profile_images/1686727292679008256/gCNSpMpN_normal.jpg")</f>
        <v>https://pbs.twimg.com/profile_images/1686727292679008256/gCNSpMpN_normal.jpg</v>
      </c>
      <c r="AW572" s="81" t="s">
        <v>1116</v>
      </c>
      <c r="AX572" s="81" t="s">
        <v>1121</v>
      </c>
      <c r="AY572" s="81" t="s">
        <v>1169</v>
      </c>
      <c r="AZ572" s="81" t="s">
        <v>1121</v>
      </c>
      <c r="BA572" s="81" t="s">
        <v>1190</v>
      </c>
      <c r="BB572" s="81" t="s">
        <v>1190</v>
      </c>
      <c r="BC572" s="81" t="s">
        <v>1121</v>
      </c>
      <c r="BD572" s="81" t="s">
        <v>1186</v>
      </c>
      <c r="BE572" s="77"/>
      <c r="BF572" s="77"/>
      <c r="BG572" s="77"/>
      <c r="BH572" s="77"/>
      <c r="BI572" s="77"/>
      <c r="BJ572">
        <v>3</v>
      </c>
      <c r="BK572" s="76" t="str">
        <f>REPLACE(INDEX(GroupVertices[Group],MATCH(Edges[[#This Row],[Vertex 1]],GroupVertices[Vertex],0)),1,1,"")</f>
        <v>2</v>
      </c>
      <c r="BL572" s="76" t="str">
        <f>REPLACE(INDEX(GroupVertices[Group],MATCH(Edges[[#This Row],[Vertex 2]],GroupVertices[Vertex],0)),1,1,"")</f>
        <v>2</v>
      </c>
      <c r="BM572" s="45">
        <v>0</v>
      </c>
      <c r="BN572" s="46">
        <v>0</v>
      </c>
      <c r="BO572" s="45">
        <v>0</v>
      </c>
      <c r="BP572" s="46">
        <v>0</v>
      </c>
      <c r="BQ572" s="45">
        <v>0</v>
      </c>
      <c r="BR572" s="46">
        <v>0</v>
      </c>
      <c r="BS572" s="45">
        <v>10</v>
      </c>
      <c r="BT572" s="46">
        <v>76.92307692307692</v>
      </c>
      <c r="BU572" s="45">
        <v>13</v>
      </c>
    </row>
    <row r="573" spans="1:73" ht="15">
      <c r="A573" s="61" t="s">
        <v>252</v>
      </c>
      <c r="B573" s="61" t="s">
        <v>228</v>
      </c>
      <c r="C573" s="62" t="s">
        <v>11694</v>
      </c>
      <c r="D573" s="63">
        <v>5.8</v>
      </c>
      <c r="E573" s="64" t="s">
        <v>132</v>
      </c>
      <c r="F573" s="65">
        <v>23.2</v>
      </c>
      <c r="G573" s="62"/>
      <c r="H573" s="66"/>
      <c r="I573" s="67"/>
      <c r="J573" s="67"/>
      <c r="K573" s="31" t="s">
        <v>65</v>
      </c>
      <c r="L573" s="75">
        <v>573</v>
      </c>
      <c r="M573" s="75"/>
      <c r="N573" s="69"/>
      <c r="O573" s="77" t="s">
        <v>543</v>
      </c>
      <c r="P573" s="79">
        <v>45161.24576388889</v>
      </c>
      <c r="Q573" s="77" t="s">
        <v>634</v>
      </c>
      <c r="R573" s="77">
        <v>0</v>
      </c>
      <c r="S573" s="77">
        <v>0</v>
      </c>
      <c r="T573" s="77">
        <v>0</v>
      </c>
      <c r="U573" s="77">
        <v>0</v>
      </c>
      <c r="V573" s="77">
        <v>26</v>
      </c>
      <c r="W573" s="77"/>
      <c r="X573" s="77"/>
      <c r="Y573" s="77"/>
      <c r="Z573" s="77" t="s">
        <v>801</v>
      </c>
      <c r="AA573" s="77"/>
      <c r="AB573" s="77"/>
      <c r="AC573" s="81" t="s">
        <v>853</v>
      </c>
      <c r="AD573" s="77" t="s">
        <v>871</v>
      </c>
      <c r="AE573" s="83" t="str">
        <f>HYPERLINK("https://twitter.com/samisyrjamaki/status/1694226435483840860")</f>
        <v>https://twitter.com/samisyrjamaki/status/1694226435483840860</v>
      </c>
      <c r="AF573" s="79">
        <v>45161.24576388889</v>
      </c>
      <c r="AG573" s="85">
        <v>45161</v>
      </c>
      <c r="AH573" s="81" t="s">
        <v>962</v>
      </c>
      <c r="AI573" s="77"/>
      <c r="AJ573" s="77"/>
      <c r="AK573" s="77"/>
      <c r="AL573" s="77"/>
      <c r="AM573" s="77"/>
      <c r="AN573" s="77"/>
      <c r="AO573" s="77"/>
      <c r="AP573" s="77"/>
      <c r="AQ573" s="77"/>
      <c r="AR573" s="77"/>
      <c r="AS573" s="77"/>
      <c r="AT573" s="77"/>
      <c r="AU573" s="77"/>
      <c r="AV573" s="83" t="str">
        <f>HYPERLINK("https://pbs.twimg.com/profile_images/1686727292679008256/gCNSpMpN_normal.jpg")</f>
        <v>https://pbs.twimg.com/profile_images/1686727292679008256/gCNSpMpN_normal.jpg</v>
      </c>
      <c r="AW573" s="81" t="s">
        <v>1117</v>
      </c>
      <c r="AX573" s="81" t="s">
        <v>1121</v>
      </c>
      <c r="AY573" s="81" t="s">
        <v>1169</v>
      </c>
      <c r="AZ573" s="81" t="s">
        <v>1123</v>
      </c>
      <c r="BA573" s="81" t="s">
        <v>1190</v>
      </c>
      <c r="BB573" s="81" t="s">
        <v>1190</v>
      </c>
      <c r="BC573" s="81" t="s">
        <v>1123</v>
      </c>
      <c r="BD573" s="81" t="s">
        <v>1186</v>
      </c>
      <c r="BE573" s="77"/>
      <c r="BF573" s="77"/>
      <c r="BG573" s="77"/>
      <c r="BH573" s="77"/>
      <c r="BI573" s="77"/>
      <c r="BJ573">
        <v>3</v>
      </c>
      <c r="BK573" s="76" t="str">
        <f>REPLACE(INDEX(GroupVertices[Group],MATCH(Edges[[#This Row],[Vertex 1]],GroupVertices[Vertex],0)),1,1,"")</f>
        <v>2</v>
      </c>
      <c r="BL573" s="76" t="str">
        <f>REPLACE(INDEX(GroupVertices[Group],MATCH(Edges[[#This Row],[Vertex 2]],GroupVertices[Vertex],0)),1,1,"")</f>
        <v>2</v>
      </c>
      <c r="BM573" s="45">
        <v>0</v>
      </c>
      <c r="BN573" s="46">
        <v>0</v>
      </c>
      <c r="BO573" s="45">
        <v>0</v>
      </c>
      <c r="BP573" s="46">
        <v>0</v>
      </c>
      <c r="BQ573" s="45">
        <v>0</v>
      </c>
      <c r="BR573" s="46">
        <v>0</v>
      </c>
      <c r="BS573" s="45">
        <v>4</v>
      </c>
      <c r="BT573" s="46">
        <v>100</v>
      </c>
      <c r="BU573" s="45">
        <v>4</v>
      </c>
    </row>
    <row r="574" spans="1:73" ht="15">
      <c r="A574" s="61" t="s">
        <v>252</v>
      </c>
      <c r="B574" s="61" t="s">
        <v>228</v>
      </c>
      <c r="C574" s="62" t="s">
        <v>11694</v>
      </c>
      <c r="D574" s="63">
        <v>5.8</v>
      </c>
      <c r="E574" s="64" t="s">
        <v>132</v>
      </c>
      <c r="F574" s="65">
        <v>23.2</v>
      </c>
      <c r="G574" s="62"/>
      <c r="H574" s="66"/>
      <c r="I574" s="67"/>
      <c r="J574" s="67"/>
      <c r="K574" s="31" t="s">
        <v>65</v>
      </c>
      <c r="L574" s="75">
        <v>574</v>
      </c>
      <c r="M574" s="75"/>
      <c r="N574" s="69"/>
      <c r="O574" s="77" t="s">
        <v>543</v>
      </c>
      <c r="P574" s="79">
        <v>45161.596875</v>
      </c>
      <c r="Q574" s="77" t="s">
        <v>635</v>
      </c>
      <c r="R574" s="77">
        <v>0</v>
      </c>
      <c r="S574" s="77">
        <v>2</v>
      </c>
      <c r="T574" s="77">
        <v>0</v>
      </c>
      <c r="U574" s="77">
        <v>0</v>
      </c>
      <c r="V574" s="77">
        <v>39</v>
      </c>
      <c r="W574" s="77"/>
      <c r="X574" s="77"/>
      <c r="Y574" s="77"/>
      <c r="Z574" s="77" t="s">
        <v>802</v>
      </c>
      <c r="AA574" s="77"/>
      <c r="AB574" s="77"/>
      <c r="AC574" s="81" t="s">
        <v>853</v>
      </c>
      <c r="AD574" s="77" t="s">
        <v>860</v>
      </c>
      <c r="AE574" s="83" t="str">
        <f>HYPERLINK("https://twitter.com/samisyrjamaki/status/1694353676209381785")</f>
        <v>https://twitter.com/samisyrjamaki/status/1694353676209381785</v>
      </c>
      <c r="AF574" s="79">
        <v>45161.596875</v>
      </c>
      <c r="AG574" s="85">
        <v>45161</v>
      </c>
      <c r="AH574" s="81" t="s">
        <v>963</v>
      </c>
      <c r="AI574" s="77"/>
      <c r="AJ574" s="77"/>
      <c r="AK574" s="77"/>
      <c r="AL574" s="77"/>
      <c r="AM574" s="77"/>
      <c r="AN574" s="77"/>
      <c r="AO574" s="77"/>
      <c r="AP574" s="77"/>
      <c r="AQ574" s="77"/>
      <c r="AR574" s="77"/>
      <c r="AS574" s="77"/>
      <c r="AT574" s="77"/>
      <c r="AU574" s="77"/>
      <c r="AV574" s="83" t="str">
        <f>HYPERLINK("https://pbs.twimg.com/profile_images/1686727292679008256/gCNSpMpN_normal.jpg")</f>
        <v>https://pbs.twimg.com/profile_images/1686727292679008256/gCNSpMpN_normal.jpg</v>
      </c>
      <c r="AW574" s="81" t="s">
        <v>1118</v>
      </c>
      <c r="AX574" s="81" t="s">
        <v>1121</v>
      </c>
      <c r="AY574" s="81" t="s">
        <v>1169</v>
      </c>
      <c r="AZ574" s="81" t="s">
        <v>1119</v>
      </c>
      <c r="BA574" s="81" t="s">
        <v>1190</v>
      </c>
      <c r="BB574" s="81" t="s">
        <v>1190</v>
      </c>
      <c r="BC574" s="81" t="s">
        <v>1119</v>
      </c>
      <c r="BD574" s="81" t="s">
        <v>1186</v>
      </c>
      <c r="BE574" s="77"/>
      <c r="BF574" s="77"/>
      <c r="BG574" s="77"/>
      <c r="BH574" s="77"/>
      <c r="BI574" s="77"/>
      <c r="BJ574">
        <v>3</v>
      </c>
      <c r="BK574" s="76" t="str">
        <f>REPLACE(INDEX(GroupVertices[Group],MATCH(Edges[[#This Row],[Vertex 1]],GroupVertices[Vertex],0)),1,1,"")</f>
        <v>2</v>
      </c>
      <c r="BL574" s="76" t="str">
        <f>REPLACE(INDEX(GroupVertices[Group],MATCH(Edges[[#This Row],[Vertex 2]],GroupVertices[Vertex],0)),1,1,"")</f>
        <v>2</v>
      </c>
      <c r="BM574" s="45"/>
      <c r="BN574" s="46"/>
      <c r="BO574" s="45"/>
      <c r="BP574" s="46"/>
      <c r="BQ574" s="45"/>
      <c r="BR574" s="46"/>
      <c r="BS574" s="45"/>
      <c r="BT574" s="46"/>
      <c r="BU574" s="45"/>
    </row>
    <row r="575" spans="1:73" ht="15">
      <c r="A575" s="61" t="s">
        <v>252</v>
      </c>
      <c r="B575" s="61" t="s">
        <v>253</v>
      </c>
      <c r="C575" s="62" t="s">
        <v>11692</v>
      </c>
      <c r="D575" s="63">
        <v>3</v>
      </c>
      <c r="E575" s="64" t="s">
        <v>132</v>
      </c>
      <c r="F575" s="65">
        <v>32</v>
      </c>
      <c r="G575" s="62"/>
      <c r="H575" s="66"/>
      <c r="I575" s="67"/>
      <c r="J575" s="67"/>
      <c r="K575" s="31" t="s">
        <v>66</v>
      </c>
      <c r="L575" s="75">
        <v>575</v>
      </c>
      <c r="M575" s="75"/>
      <c r="N575" s="69"/>
      <c r="O575" s="77" t="s">
        <v>543</v>
      </c>
      <c r="P575" s="79">
        <v>45161.596875</v>
      </c>
      <c r="Q575" s="77" t="s">
        <v>635</v>
      </c>
      <c r="R575" s="77">
        <v>0</v>
      </c>
      <c r="S575" s="77">
        <v>2</v>
      </c>
      <c r="T575" s="77">
        <v>0</v>
      </c>
      <c r="U575" s="77">
        <v>0</v>
      </c>
      <c r="V575" s="77">
        <v>39</v>
      </c>
      <c r="W575" s="77"/>
      <c r="X575" s="77"/>
      <c r="Y575" s="77"/>
      <c r="Z575" s="77" t="s">
        <v>802</v>
      </c>
      <c r="AA575" s="77"/>
      <c r="AB575" s="77"/>
      <c r="AC575" s="81" t="s">
        <v>853</v>
      </c>
      <c r="AD575" s="77" t="s">
        <v>860</v>
      </c>
      <c r="AE575" s="83" t="str">
        <f>HYPERLINK("https://twitter.com/samisyrjamaki/status/1694353676209381785")</f>
        <v>https://twitter.com/samisyrjamaki/status/1694353676209381785</v>
      </c>
      <c r="AF575" s="79">
        <v>45161.596875</v>
      </c>
      <c r="AG575" s="85">
        <v>45161</v>
      </c>
      <c r="AH575" s="81" t="s">
        <v>963</v>
      </c>
      <c r="AI575" s="77"/>
      <c r="AJ575" s="77"/>
      <c r="AK575" s="77"/>
      <c r="AL575" s="77"/>
      <c r="AM575" s="77"/>
      <c r="AN575" s="77"/>
      <c r="AO575" s="77"/>
      <c r="AP575" s="77"/>
      <c r="AQ575" s="77"/>
      <c r="AR575" s="77"/>
      <c r="AS575" s="77"/>
      <c r="AT575" s="77"/>
      <c r="AU575" s="77"/>
      <c r="AV575" s="83" t="str">
        <f>HYPERLINK("https://pbs.twimg.com/profile_images/1686727292679008256/gCNSpMpN_normal.jpg")</f>
        <v>https://pbs.twimg.com/profile_images/1686727292679008256/gCNSpMpN_normal.jpg</v>
      </c>
      <c r="AW575" s="81" t="s">
        <v>1118</v>
      </c>
      <c r="AX575" s="81" t="s">
        <v>1121</v>
      </c>
      <c r="AY575" s="81" t="s">
        <v>1169</v>
      </c>
      <c r="AZ575" s="81" t="s">
        <v>1119</v>
      </c>
      <c r="BA575" s="81" t="s">
        <v>1190</v>
      </c>
      <c r="BB575" s="81" t="s">
        <v>1190</v>
      </c>
      <c r="BC575" s="81" t="s">
        <v>1119</v>
      </c>
      <c r="BD575" s="81" t="s">
        <v>1186</v>
      </c>
      <c r="BE575" s="77"/>
      <c r="BF575" s="77"/>
      <c r="BG575" s="77"/>
      <c r="BH575" s="77"/>
      <c r="BI575" s="77"/>
      <c r="BJ575">
        <v>1</v>
      </c>
      <c r="BK575" s="76" t="str">
        <f>REPLACE(INDEX(GroupVertices[Group],MATCH(Edges[[#This Row],[Vertex 1]],GroupVertices[Vertex],0)),1,1,"")</f>
        <v>2</v>
      </c>
      <c r="BL575" s="76" t="str">
        <f>REPLACE(INDEX(GroupVertices[Group],MATCH(Edges[[#This Row],[Vertex 2]],GroupVertices[Vertex],0)),1,1,"")</f>
        <v>2</v>
      </c>
      <c r="BM575" s="45">
        <v>0</v>
      </c>
      <c r="BN575" s="46">
        <v>0</v>
      </c>
      <c r="BO575" s="45">
        <v>0</v>
      </c>
      <c r="BP575" s="46">
        <v>0</v>
      </c>
      <c r="BQ575" s="45">
        <v>0</v>
      </c>
      <c r="BR575" s="46">
        <v>0</v>
      </c>
      <c r="BS575" s="45">
        <v>14</v>
      </c>
      <c r="BT575" s="46">
        <v>93.33333333333333</v>
      </c>
      <c r="BU575" s="45">
        <v>15</v>
      </c>
    </row>
    <row r="576" spans="1:73" ht="15">
      <c r="A576" s="61" t="s">
        <v>253</v>
      </c>
      <c r="B576" s="61" t="s">
        <v>252</v>
      </c>
      <c r="C576" s="62" t="s">
        <v>11692</v>
      </c>
      <c r="D576" s="63">
        <v>3</v>
      </c>
      <c r="E576" s="64" t="s">
        <v>132</v>
      </c>
      <c r="F576" s="65">
        <v>32</v>
      </c>
      <c r="G576" s="62"/>
      <c r="H576" s="66"/>
      <c r="I576" s="67"/>
      <c r="J576" s="67"/>
      <c r="K576" s="31" t="s">
        <v>66</v>
      </c>
      <c r="L576" s="75">
        <v>576</v>
      </c>
      <c r="M576" s="75"/>
      <c r="N576" s="69"/>
      <c r="O576" s="77" t="s">
        <v>540</v>
      </c>
      <c r="P576" s="79">
        <v>45161.511342592596</v>
      </c>
      <c r="Q576" s="77" t="s">
        <v>641</v>
      </c>
      <c r="R576" s="77">
        <v>0</v>
      </c>
      <c r="S576" s="77">
        <v>1</v>
      </c>
      <c r="T576" s="77">
        <v>1</v>
      </c>
      <c r="U576" s="77">
        <v>0</v>
      </c>
      <c r="V576" s="77">
        <v>42</v>
      </c>
      <c r="W576" s="77"/>
      <c r="X576" s="77"/>
      <c r="Y576" s="77"/>
      <c r="Z576" s="77" t="s">
        <v>805</v>
      </c>
      <c r="AA576" s="77"/>
      <c r="AB576" s="77"/>
      <c r="AC576" s="81" t="s">
        <v>853</v>
      </c>
      <c r="AD576" s="77" t="s">
        <v>860</v>
      </c>
      <c r="AE576" s="83" t="str">
        <f>HYPERLINK("https://twitter.com/jnkka/status/1694322681213010036")</f>
        <v>https://twitter.com/jnkka/status/1694322681213010036</v>
      </c>
      <c r="AF576" s="79">
        <v>45161.511342592596</v>
      </c>
      <c r="AG576" s="85">
        <v>45161</v>
      </c>
      <c r="AH576" s="81" t="s">
        <v>969</v>
      </c>
      <c r="AI576" s="77"/>
      <c r="AJ576" s="77"/>
      <c r="AK576" s="77"/>
      <c r="AL576" s="77"/>
      <c r="AM576" s="77"/>
      <c r="AN576" s="77"/>
      <c r="AO576" s="77"/>
      <c r="AP576" s="77"/>
      <c r="AQ576" s="77"/>
      <c r="AR576" s="77"/>
      <c r="AS576" s="77"/>
      <c r="AT576" s="77"/>
      <c r="AU576" s="77"/>
      <c r="AV576" s="83" t="str">
        <f>HYPERLINK("https://pbs.twimg.com/profile_images/932214325909053440/xREfIOx-_normal.jpg")</f>
        <v>https://pbs.twimg.com/profile_images/932214325909053440/xREfIOx-_normal.jpg</v>
      </c>
      <c r="AW576" s="81" t="s">
        <v>1124</v>
      </c>
      <c r="AX576" s="81" t="s">
        <v>1121</v>
      </c>
      <c r="AY576" s="81" t="s">
        <v>1186</v>
      </c>
      <c r="AZ576" s="81" t="s">
        <v>1116</v>
      </c>
      <c r="BA576" s="81" t="s">
        <v>1190</v>
      </c>
      <c r="BB576" s="81" t="s">
        <v>1190</v>
      </c>
      <c r="BC576" s="81" t="s">
        <v>1116</v>
      </c>
      <c r="BD576" s="77">
        <v>14094651</v>
      </c>
      <c r="BE576" s="77"/>
      <c r="BF576" s="77"/>
      <c r="BG576" s="77"/>
      <c r="BH576" s="77"/>
      <c r="BI576" s="77"/>
      <c r="BJ576">
        <v>1</v>
      </c>
      <c r="BK576" s="76" t="str">
        <f>REPLACE(INDEX(GroupVertices[Group],MATCH(Edges[[#This Row],[Vertex 1]],GroupVertices[Vertex],0)),1,1,"")</f>
        <v>2</v>
      </c>
      <c r="BL576" s="76" t="str">
        <f>REPLACE(INDEX(GroupVertices[Group],MATCH(Edges[[#This Row],[Vertex 2]],GroupVertices[Vertex],0)),1,1,"")</f>
        <v>2</v>
      </c>
      <c r="BM576" s="45"/>
      <c r="BN576" s="46"/>
      <c r="BO576" s="45"/>
      <c r="BP576" s="46"/>
      <c r="BQ576" s="45"/>
      <c r="BR576" s="46"/>
      <c r="BS576" s="45"/>
      <c r="BT576" s="46"/>
      <c r="BU576" s="45"/>
    </row>
    <row r="577" spans="1:73" ht="15">
      <c r="A577" s="61" t="s">
        <v>253</v>
      </c>
      <c r="B577" s="61" t="s">
        <v>228</v>
      </c>
      <c r="C577" s="62" t="s">
        <v>11692</v>
      </c>
      <c r="D577" s="63">
        <v>3</v>
      </c>
      <c r="E577" s="64" t="s">
        <v>132</v>
      </c>
      <c r="F577" s="65">
        <v>32</v>
      </c>
      <c r="G577" s="62"/>
      <c r="H577" s="66"/>
      <c r="I577" s="67"/>
      <c r="J577" s="67"/>
      <c r="K577" s="31" t="s">
        <v>65</v>
      </c>
      <c r="L577" s="75">
        <v>577</v>
      </c>
      <c r="M577" s="75"/>
      <c r="N577" s="69"/>
      <c r="O577" s="77" t="s">
        <v>543</v>
      </c>
      <c r="P577" s="79">
        <v>45161.511342592596</v>
      </c>
      <c r="Q577" s="77" t="s">
        <v>641</v>
      </c>
      <c r="R577" s="77">
        <v>0</v>
      </c>
      <c r="S577" s="77">
        <v>1</v>
      </c>
      <c r="T577" s="77">
        <v>1</v>
      </c>
      <c r="U577" s="77">
        <v>0</v>
      </c>
      <c r="V577" s="77">
        <v>42</v>
      </c>
      <c r="W577" s="77"/>
      <c r="X577" s="77"/>
      <c r="Y577" s="77"/>
      <c r="Z577" s="77" t="s">
        <v>805</v>
      </c>
      <c r="AA577" s="77"/>
      <c r="AB577" s="77"/>
      <c r="AC577" s="81" t="s">
        <v>853</v>
      </c>
      <c r="AD577" s="77" t="s">
        <v>860</v>
      </c>
      <c r="AE577" s="83" t="str">
        <f>HYPERLINK("https://twitter.com/jnkka/status/1694322681213010036")</f>
        <v>https://twitter.com/jnkka/status/1694322681213010036</v>
      </c>
      <c r="AF577" s="79">
        <v>45161.511342592596</v>
      </c>
      <c r="AG577" s="85">
        <v>45161</v>
      </c>
      <c r="AH577" s="81" t="s">
        <v>969</v>
      </c>
      <c r="AI577" s="77"/>
      <c r="AJ577" s="77"/>
      <c r="AK577" s="77"/>
      <c r="AL577" s="77"/>
      <c r="AM577" s="77"/>
      <c r="AN577" s="77"/>
      <c r="AO577" s="77"/>
      <c r="AP577" s="77"/>
      <c r="AQ577" s="77"/>
      <c r="AR577" s="77"/>
      <c r="AS577" s="77"/>
      <c r="AT577" s="77"/>
      <c r="AU577" s="77"/>
      <c r="AV577" s="83" t="str">
        <f>HYPERLINK("https://pbs.twimg.com/profile_images/932214325909053440/xREfIOx-_normal.jpg")</f>
        <v>https://pbs.twimg.com/profile_images/932214325909053440/xREfIOx-_normal.jpg</v>
      </c>
      <c r="AW577" s="81" t="s">
        <v>1124</v>
      </c>
      <c r="AX577" s="81" t="s">
        <v>1121</v>
      </c>
      <c r="AY577" s="81" t="s">
        <v>1186</v>
      </c>
      <c r="AZ577" s="81" t="s">
        <v>1116</v>
      </c>
      <c r="BA577" s="81" t="s">
        <v>1190</v>
      </c>
      <c r="BB577" s="81" t="s">
        <v>1190</v>
      </c>
      <c r="BC577" s="81" t="s">
        <v>1116</v>
      </c>
      <c r="BD577" s="77">
        <v>14094651</v>
      </c>
      <c r="BE577" s="77"/>
      <c r="BF577" s="77"/>
      <c r="BG577" s="77"/>
      <c r="BH577" s="77"/>
      <c r="BI577" s="77"/>
      <c r="BJ577">
        <v>1</v>
      </c>
      <c r="BK577" s="76" t="str">
        <f>REPLACE(INDEX(GroupVertices[Group],MATCH(Edges[[#This Row],[Vertex 1]],GroupVertices[Vertex],0)),1,1,"")</f>
        <v>2</v>
      </c>
      <c r="BL577" s="76" t="str">
        <f>REPLACE(INDEX(GroupVertices[Group],MATCH(Edges[[#This Row],[Vertex 2]],GroupVertices[Vertex],0)),1,1,"")</f>
        <v>2</v>
      </c>
      <c r="BM577" s="45">
        <v>0</v>
      </c>
      <c r="BN577" s="46">
        <v>0</v>
      </c>
      <c r="BO577" s="45">
        <v>0</v>
      </c>
      <c r="BP577" s="46">
        <v>0</v>
      </c>
      <c r="BQ577" s="45">
        <v>0</v>
      </c>
      <c r="BR577" s="46">
        <v>0</v>
      </c>
      <c r="BS577" s="45">
        <v>9</v>
      </c>
      <c r="BT577" s="46">
        <v>90</v>
      </c>
      <c r="BU577" s="45">
        <v>10</v>
      </c>
    </row>
    <row r="578" spans="1:73" ht="15">
      <c r="A578" s="61" t="s">
        <v>254</v>
      </c>
      <c r="B578" s="61" t="s">
        <v>254</v>
      </c>
      <c r="C578" s="62" t="s">
        <v>11692</v>
      </c>
      <c r="D578" s="63">
        <v>3</v>
      </c>
      <c r="E578" s="64" t="s">
        <v>132</v>
      </c>
      <c r="F578" s="65">
        <v>32</v>
      </c>
      <c r="G578" s="62"/>
      <c r="H578" s="66"/>
      <c r="I578" s="67"/>
      <c r="J578" s="67"/>
      <c r="K578" s="31" t="s">
        <v>65</v>
      </c>
      <c r="L578" s="75">
        <v>578</v>
      </c>
      <c r="M578" s="75"/>
      <c r="N578" s="69"/>
      <c r="O578" s="77" t="s">
        <v>178</v>
      </c>
      <c r="P578" s="79">
        <v>45141.28040509259</v>
      </c>
      <c r="Q578" s="77" t="s">
        <v>642</v>
      </c>
      <c r="R578" s="77">
        <v>0</v>
      </c>
      <c r="S578" s="77">
        <v>0</v>
      </c>
      <c r="T578" s="77">
        <v>0</v>
      </c>
      <c r="U578" s="77">
        <v>0</v>
      </c>
      <c r="V578" s="77">
        <v>18</v>
      </c>
      <c r="W578" s="81" t="s">
        <v>711</v>
      </c>
      <c r="X578" s="83" t="str">
        <f>HYPERLINK("https://docs.qq.com/pdf/DUUFQdWVsTkpib1Nl")</f>
        <v>https://docs.qq.com/pdf/DUUFQdWVsTkpib1Nl</v>
      </c>
      <c r="Y578" s="77" t="s">
        <v>748</v>
      </c>
      <c r="Z578" s="77"/>
      <c r="AA578" s="77"/>
      <c r="AB578" s="77"/>
      <c r="AC578" s="81" t="s">
        <v>853</v>
      </c>
      <c r="AD578" s="77" t="s">
        <v>859</v>
      </c>
      <c r="AE578" s="83" t="str">
        <f>HYPERLINK("https://twitter.com/heortyw/status/1686991233703641088")</f>
        <v>https://twitter.com/heortyw/status/1686991233703641088</v>
      </c>
      <c r="AF578" s="79">
        <v>45141.28040509259</v>
      </c>
      <c r="AG578" s="85">
        <v>45141</v>
      </c>
      <c r="AH578" s="81" t="s">
        <v>970</v>
      </c>
      <c r="AI578" s="77" t="b">
        <v>0</v>
      </c>
      <c r="AJ578" s="77"/>
      <c r="AK578" s="77"/>
      <c r="AL578" s="77"/>
      <c r="AM578" s="77"/>
      <c r="AN578" s="77"/>
      <c r="AO578" s="77"/>
      <c r="AP578" s="77"/>
      <c r="AQ578" s="77"/>
      <c r="AR578" s="77"/>
      <c r="AS578" s="77"/>
      <c r="AT578" s="77"/>
      <c r="AU578" s="77"/>
      <c r="AV578" s="83" t="str">
        <f>HYPERLINK("https://pbs.twimg.com/profile_images/1684412156165640194/McWrCZHA_normal.jpg")</f>
        <v>https://pbs.twimg.com/profile_images/1684412156165640194/McWrCZHA_normal.jpg</v>
      </c>
      <c r="AW578" s="81" t="s">
        <v>1125</v>
      </c>
      <c r="AX578" s="81" t="s">
        <v>1125</v>
      </c>
      <c r="AY578" s="77"/>
      <c r="AZ578" s="81" t="s">
        <v>1190</v>
      </c>
      <c r="BA578" s="81" t="s">
        <v>1190</v>
      </c>
      <c r="BB578" s="81" t="s">
        <v>1190</v>
      </c>
      <c r="BC578" s="81" t="s">
        <v>1125</v>
      </c>
      <c r="BD578" s="81" t="s">
        <v>1211</v>
      </c>
      <c r="BE578" s="77"/>
      <c r="BF578" s="77"/>
      <c r="BG578" s="77"/>
      <c r="BH578" s="77"/>
      <c r="BI578" s="77"/>
      <c r="BJ578">
        <v>1</v>
      </c>
      <c r="BK578" s="76" t="str">
        <f>REPLACE(INDEX(GroupVertices[Group],MATCH(Edges[[#This Row],[Vertex 1]],GroupVertices[Vertex],0)),1,1,"")</f>
        <v>11</v>
      </c>
      <c r="BL578" s="76" t="str">
        <f>REPLACE(INDEX(GroupVertices[Group],MATCH(Edges[[#This Row],[Vertex 2]],GroupVertices[Vertex],0)),1,1,"")</f>
        <v>11</v>
      </c>
      <c r="BM578" s="45">
        <v>0</v>
      </c>
      <c r="BN578" s="46">
        <v>0</v>
      </c>
      <c r="BO578" s="45">
        <v>0</v>
      </c>
      <c r="BP578" s="46">
        <v>0</v>
      </c>
      <c r="BQ578" s="45">
        <v>0</v>
      </c>
      <c r="BR578" s="46">
        <v>0</v>
      </c>
      <c r="BS578" s="45">
        <v>27</v>
      </c>
      <c r="BT578" s="46">
        <v>69.23076923076923</v>
      </c>
      <c r="BU578" s="45">
        <v>39</v>
      </c>
    </row>
    <row r="579" spans="1:73" ht="15">
      <c r="A579" s="61" t="s">
        <v>255</v>
      </c>
      <c r="B579" s="61" t="s">
        <v>255</v>
      </c>
      <c r="C579" s="62" t="s">
        <v>11692</v>
      </c>
      <c r="D579" s="63">
        <v>3</v>
      </c>
      <c r="E579" s="64" t="s">
        <v>132</v>
      </c>
      <c r="F579" s="65">
        <v>32</v>
      </c>
      <c r="G579" s="62"/>
      <c r="H579" s="66"/>
      <c r="I579" s="67"/>
      <c r="J579" s="67"/>
      <c r="K579" s="31" t="s">
        <v>65</v>
      </c>
      <c r="L579" s="75">
        <v>579</v>
      </c>
      <c r="M579" s="75"/>
      <c r="N579" s="69"/>
      <c r="O579" s="77" t="s">
        <v>540</v>
      </c>
      <c r="P579" s="79">
        <v>45145.10144675926</v>
      </c>
      <c r="Q579" s="77" t="s">
        <v>643</v>
      </c>
      <c r="R579" s="77">
        <v>278</v>
      </c>
      <c r="S579" s="77">
        <v>3304</v>
      </c>
      <c r="T579" s="77">
        <v>207</v>
      </c>
      <c r="U579" s="77">
        <v>63</v>
      </c>
      <c r="V579" s="77">
        <v>224415</v>
      </c>
      <c r="W579" s="77"/>
      <c r="X579" s="77"/>
      <c r="Y579" s="77"/>
      <c r="Z579" s="77" t="s">
        <v>806</v>
      </c>
      <c r="AA579" s="77"/>
      <c r="AB579" s="77"/>
      <c r="AC579" s="81" t="s">
        <v>857</v>
      </c>
      <c r="AD579" s="77" t="s">
        <v>859</v>
      </c>
      <c r="AE579" s="83" t="str">
        <f>HYPERLINK("https://twitter.com/elonmusk/status/1688375931419729920")</f>
        <v>https://twitter.com/elonmusk/status/1688375931419729920</v>
      </c>
      <c r="AF579" s="79">
        <v>45145.10144675926</v>
      </c>
      <c r="AG579" s="85">
        <v>45145</v>
      </c>
      <c r="AH579" s="81" t="s">
        <v>971</v>
      </c>
      <c r="AI579" s="77"/>
      <c r="AJ579" s="77"/>
      <c r="AK579" s="77"/>
      <c r="AL579" s="77"/>
      <c r="AM579" s="77"/>
      <c r="AN579" s="77"/>
      <c r="AO579" s="77"/>
      <c r="AP579" s="77"/>
      <c r="AQ579" s="77"/>
      <c r="AR579" s="77"/>
      <c r="AS579" s="77"/>
      <c r="AT579" s="77"/>
      <c r="AU579" s="77"/>
      <c r="AV579" s="83" t="str">
        <f>HYPERLINK("https://pbs.twimg.com/profile_images/1683325380441128960/yRsRRjGO_normal.jpg")</f>
        <v>https://pbs.twimg.com/profile_images/1683325380441128960/yRsRRjGO_normal.jpg</v>
      </c>
      <c r="AW579" s="81" t="s">
        <v>1126</v>
      </c>
      <c r="AX579" s="81" t="s">
        <v>1166</v>
      </c>
      <c r="AY579" s="81" t="s">
        <v>1187</v>
      </c>
      <c r="AZ579" s="81" t="s">
        <v>1199</v>
      </c>
      <c r="BA579" s="81" t="s">
        <v>1190</v>
      </c>
      <c r="BB579" s="81" t="s">
        <v>1190</v>
      </c>
      <c r="BC579" s="81" t="s">
        <v>1199</v>
      </c>
      <c r="BD579" s="77">
        <v>44196397</v>
      </c>
      <c r="BE579" s="77"/>
      <c r="BF579" s="77"/>
      <c r="BG579" s="77"/>
      <c r="BH579" s="77"/>
      <c r="BI579" s="77"/>
      <c r="BJ579">
        <v>1</v>
      </c>
      <c r="BK579" s="76" t="str">
        <f>REPLACE(INDEX(GroupVertices[Group],MATCH(Edges[[#This Row],[Vertex 1]],GroupVertices[Vertex],0)),1,1,"")</f>
        <v>5</v>
      </c>
      <c r="BL579" s="76" t="str">
        <f>REPLACE(INDEX(GroupVertices[Group],MATCH(Edges[[#This Row],[Vertex 2]],GroupVertices[Vertex],0)),1,1,"")</f>
        <v>5</v>
      </c>
      <c r="BM579" s="45">
        <v>0</v>
      </c>
      <c r="BN579" s="46">
        <v>0</v>
      </c>
      <c r="BO579" s="45">
        <v>0</v>
      </c>
      <c r="BP579" s="46">
        <v>0</v>
      </c>
      <c r="BQ579" s="45">
        <v>0</v>
      </c>
      <c r="BR579" s="46">
        <v>0</v>
      </c>
      <c r="BS579" s="45">
        <v>11</v>
      </c>
      <c r="BT579" s="46">
        <v>45.833333333333336</v>
      </c>
      <c r="BU579" s="45">
        <v>24</v>
      </c>
    </row>
    <row r="580" spans="1:73" ht="15">
      <c r="A580" s="61" t="s">
        <v>256</v>
      </c>
      <c r="B580" s="61" t="s">
        <v>256</v>
      </c>
      <c r="C580" s="62" t="s">
        <v>11692</v>
      </c>
      <c r="D580" s="63">
        <v>3</v>
      </c>
      <c r="E580" s="64" t="s">
        <v>132</v>
      </c>
      <c r="F580" s="65">
        <v>32</v>
      </c>
      <c r="G580" s="62"/>
      <c r="H580" s="66"/>
      <c r="I580" s="67"/>
      <c r="J580" s="67"/>
      <c r="K580" s="31" t="s">
        <v>65</v>
      </c>
      <c r="L580" s="75">
        <v>580</v>
      </c>
      <c r="M580" s="75"/>
      <c r="N580" s="69"/>
      <c r="O580" s="77" t="s">
        <v>178</v>
      </c>
      <c r="P580" s="79">
        <v>45140.20359953704</v>
      </c>
      <c r="Q580" s="77" t="s">
        <v>644</v>
      </c>
      <c r="R580" s="77">
        <v>0</v>
      </c>
      <c r="S580" s="77">
        <v>1</v>
      </c>
      <c r="T580" s="77">
        <v>0</v>
      </c>
      <c r="U580" s="77">
        <v>1</v>
      </c>
      <c r="V580" s="77">
        <v>34</v>
      </c>
      <c r="W580" s="81" t="s">
        <v>712</v>
      </c>
      <c r="X580" s="77"/>
      <c r="Y580" s="77"/>
      <c r="Z580" s="77"/>
      <c r="AA580" s="77"/>
      <c r="AB580" s="77"/>
      <c r="AC580" s="81" t="s">
        <v>853</v>
      </c>
      <c r="AD580" s="77" t="s">
        <v>859</v>
      </c>
      <c r="AE580" s="83" t="str">
        <f>HYPERLINK("https://twitter.com/anningyeye/status/1686601010146574338")</f>
        <v>https://twitter.com/anningyeye/status/1686601010146574338</v>
      </c>
      <c r="AF580" s="79">
        <v>45140.20359953704</v>
      </c>
      <c r="AG580" s="85">
        <v>45140</v>
      </c>
      <c r="AH580" s="81" t="s">
        <v>972</v>
      </c>
      <c r="AI580" s="77"/>
      <c r="AJ580" s="77"/>
      <c r="AK580" s="77"/>
      <c r="AL580" s="77"/>
      <c r="AM580" s="77"/>
      <c r="AN580" s="77"/>
      <c r="AO580" s="77"/>
      <c r="AP580" s="77"/>
      <c r="AQ580" s="77"/>
      <c r="AR580" s="77"/>
      <c r="AS580" s="77"/>
      <c r="AT580" s="77"/>
      <c r="AU580" s="77"/>
      <c r="AV580" s="83" t="str">
        <f>HYPERLINK("https://pbs.twimg.com/profile_images/1681934377188757506/4cVj3Vsf_normal.jpg")</f>
        <v>https://pbs.twimg.com/profile_images/1681934377188757506/4cVj3Vsf_normal.jpg</v>
      </c>
      <c r="AW580" s="81" t="s">
        <v>1127</v>
      </c>
      <c r="AX580" s="81" t="s">
        <v>1127</v>
      </c>
      <c r="AY580" s="77"/>
      <c r="AZ580" s="81" t="s">
        <v>1190</v>
      </c>
      <c r="BA580" s="81" t="s">
        <v>1190</v>
      </c>
      <c r="BB580" s="81" t="s">
        <v>1190</v>
      </c>
      <c r="BC580" s="81" t="s">
        <v>1127</v>
      </c>
      <c r="BD580" s="81" t="s">
        <v>1212</v>
      </c>
      <c r="BE580" s="77"/>
      <c r="BF580" s="77"/>
      <c r="BG580" s="77"/>
      <c r="BH580" s="77"/>
      <c r="BI580" s="77"/>
      <c r="BJ580">
        <v>1</v>
      </c>
      <c r="BK580" s="76" t="str">
        <f>REPLACE(INDEX(GroupVertices[Group],MATCH(Edges[[#This Row],[Vertex 1]],GroupVertices[Vertex],0)),1,1,"")</f>
        <v>11</v>
      </c>
      <c r="BL580" s="76" t="str">
        <f>REPLACE(INDEX(GroupVertices[Group],MATCH(Edges[[#This Row],[Vertex 2]],GroupVertices[Vertex],0)),1,1,"")</f>
        <v>11</v>
      </c>
      <c r="BM580" s="45">
        <v>0</v>
      </c>
      <c r="BN580" s="46">
        <v>0</v>
      </c>
      <c r="BO580" s="45">
        <v>0</v>
      </c>
      <c r="BP580" s="46">
        <v>0</v>
      </c>
      <c r="BQ580" s="45">
        <v>0</v>
      </c>
      <c r="BR580" s="46">
        <v>0</v>
      </c>
      <c r="BS580" s="45">
        <v>27</v>
      </c>
      <c r="BT580" s="46">
        <v>84.375</v>
      </c>
      <c r="BU580" s="45">
        <v>32</v>
      </c>
    </row>
    <row r="581" spans="1:73" ht="15">
      <c r="A581" s="61" t="s">
        <v>257</v>
      </c>
      <c r="B581" s="61" t="s">
        <v>526</v>
      </c>
      <c r="C581" s="62" t="s">
        <v>11696</v>
      </c>
      <c r="D581" s="63">
        <v>8.6</v>
      </c>
      <c r="E581" s="64" t="s">
        <v>136</v>
      </c>
      <c r="F581" s="65">
        <v>14.399999999999999</v>
      </c>
      <c r="G581" s="62"/>
      <c r="H581" s="66"/>
      <c r="I581" s="67"/>
      <c r="J581" s="67"/>
      <c r="K581" s="31" t="s">
        <v>65</v>
      </c>
      <c r="L581" s="75">
        <v>581</v>
      </c>
      <c r="M581" s="75"/>
      <c r="N581" s="69"/>
      <c r="O581" s="77" t="s">
        <v>539</v>
      </c>
      <c r="P581" s="79">
        <v>45153.433587962965</v>
      </c>
      <c r="Q581" s="77" t="s">
        <v>645</v>
      </c>
      <c r="R581" s="77">
        <v>3</v>
      </c>
      <c r="S581" s="77">
        <v>3</v>
      </c>
      <c r="T581" s="77">
        <v>0</v>
      </c>
      <c r="U581" s="77">
        <v>0</v>
      </c>
      <c r="V581" s="77">
        <v>153</v>
      </c>
      <c r="W581" s="81" t="s">
        <v>713</v>
      </c>
      <c r="X581" s="77"/>
      <c r="Y581" s="77"/>
      <c r="Z581" s="77" t="s">
        <v>807</v>
      </c>
      <c r="AA581" s="77" t="s">
        <v>839</v>
      </c>
      <c r="AB581" s="77" t="s">
        <v>848</v>
      </c>
      <c r="AC581" s="81" t="s">
        <v>855</v>
      </c>
      <c r="AD581" s="77" t="s">
        <v>859</v>
      </c>
      <c r="AE581" s="83" t="str">
        <f>HYPERLINK("https://twitter.com/pinakilaskar/status/1691395399448461312")</f>
        <v>https://twitter.com/pinakilaskar/status/1691395399448461312</v>
      </c>
      <c r="AF581" s="79">
        <v>45153.433587962965</v>
      </c>
      <c r="AG581" s="85">
        <v>45153</v>
      </c>
      <c r="AH581" s="81" t="s">
        <v>973</v>
      </c>
      <c r="AI581" s="77" t="b">
        <v>0</v>
      </c>
      <c r="AJ581" s="77"/>
      <c r="AK581" s="77"/>
      <c r="AL581" s="77"/>
      <c r="AM581" s="77"/>
      <c r="AN581" s="77"/>
      <c r="AO581" s="77"/>
      <c r="AP581" s="77"/>
      <c r="AQ581" s="77" t="s">
        <v>1018</v>
      </c>
      <c r="AR581" s="77"/>
      <c r="AS581" s="77"/>
      <c r="AT581" s="77"/>
      <c r="AU581" s="77"/>
      <c r="AV581" s="83" t="str">
        <f>HYPERLINK("https://pbs.twimg.com/media/F3kLJt8a0AAs-I1.jpg")</f>
        <v>https://pbs.twimg.com/media/F3kLJt8a0AAs-I1.jpg</v>
      </c>
      <c r="AW581" s="81" t="s">
        <v>1128</v>
      </c>
      <c r="AX581" s="81" t="s">
        <v>1128</v>
      </c>
      <c r="AY581" s="77"/>
      <c r="AZ581" s="81" t="s">
        <v>1190</v>
      </c>
      <c r="BA581" s="81" t="s">
        <v>1190</v>
      </c>
      <c r="BB581" s="81" t="s">
        <v>1190</v>
      </c>
      <c r="BC581" s="81" t="s">
        <v>1128</v>
      </c>
      <c r="BD581" s="81" t="s">
        <v>1213</v>
      </c>
      <c r="BE581" s="77"/>
      <c r="BF581" s="77"/>
      <c r="BG581" s="77"/>
      <c r="BH581" s="77"/>
      <c r="BI581" s="77"/>
      <c r="BJ581">
        <v>5</v>
      </c>
      <c r="BK581" s="76" t="str">
        <f>REPLACE(INDEX(GroupVertices[Group],MATCH(Edges[[#This Row],[Vertex 1]],GroupVertices[Vertex],0)),1,1,"")</f>
        <v>7</v>
      </c>
      <c r="BL581" s="76" t="str">
        <f>REPLACE(INDEX(GroupVertices[Group],MATCH(Edges[[#This Row],[Vertex 2]],GroupVertices[Vertex],0)),1,1,"")</f>
        <v>7</v>
      </c>
      <c r="BM581" s="45"/>
      <c r="BN581" s="46"/>
      <c r="BO581" s="45"/>
      <c r="BP581" s="46"/>
      <c r="BQ581" s="45"/>
      <c r="BR581" s="46"/>
      <c r="BS581" s="45"/>
      <c r="BT581" s="46"/>
      <c r="BU581" s="45"/>
    </row>
    <row r="582" spans="1:73" ht="15">
      <c r="A582" s="61" t="s">
        <v>257</v>
      </c>
      <c r="B582" s="61" t="s">
        <v>527</v>
      </c>
      <c r="C582" s="62" t="s">
        <v>11695</v>
      </c>
      <c r="D582" s="63">
        <v>7.2</v>
      </c>
      <c r="E582" s="64" t="s">
        <v>132</v>
      </c>
      <c r="F582" s="65">
        <v>18.8</v>
      </c>
      <c r="G582" s="62"/>
      <c r="H582" s="66"/>
      <c r="I582" s="67"/>
      <c r="J582" s="67"/>
      <c r="K582" s="31" t="s">
        <v>65</v>
      </c>
      <c r="L582" s="75">
        <v>582</v>
      </c>
      <c r="M582" s="75"/>
      <c r="N582" s="69"/>
      <c r="O582" s="77" t="s">
        <v>539</v>
      </c>
      <c r="P582" s="79">
        <v>45153.433587962965</v>
      </c>
      <c r="Q582" s="77" t="s">
        <v>645</v>
      </c>
      <c r="R582" s="77">
        <v>3</v>
      </c>
      <c r="S582" s="77">
        <v>3</v>
      </c>
      <c r="T582" s="77">
        <v>0</v>
      </c>
      <c r="U582" s="77">
        <v>0</v>
      </c>
      <c r="V582" s="77">
        <v>153</v>
      </c>
      <c r="W582" s="81" t="s">
        <v>713</v>
      </c>
      <c r="X582" s="77"/>
      <c r="Y582" s="77"/>
      <c r="Z582" s="77" t="s">
        <v>807</v>
      </c>
      <c r="AA582" s="77" t="s">
        <v>839</v>
      </c>
      <c r="AB582" s="77" t="s">
        <v>848</v>
      </c>
      <c r="AC582" s="81" t="s">
        <v>855</v>
      </c>
      <c r="AD582" s="77" t="s">
        <v>859</v>
      </c>
      <c r="AE582" s="83" t="str">
        <f>HYPERLINK("https://twitter.com/pinakilaskar/status/1691395399448461312")</f>
        <v>https://twitter.com/pinakilaskar/status/1691395399448461312</v>
      </c>
      <c r="AF582" s="79">
        <v>45153.433587962965</v>
      </c>
      <c r="AG582" s="85">
        <v>45153</v>
      </c>
      <c r="AH582" s="81" t="s">
        <v>973</v>
      </c>
      <c r="AI582" s="77" t="b">
        <v>0</v>
      </c>
      <c r="AJ582" s="77"/>
      <c r="AK582" s="77"/>
      <c r="AL582" s="77"/>
      <c r="AM582" s="77"/>
      <c r="AN582" s="77"/>
      <c r="AO582" s="77"/>
      <c r="AP582" s="77"/>
      <c r="AQ582" s="77" t="s">
        <v>1018</v>
      </c>
      <c r="AR582" s="77"/>
      <c r="AS582" s="77"/>
      <c r="AT582" s="77"/>
      <c r="AU582" s="77"/>
      <c r="AV582" s="83" t="str">
        <f>HYPERLINK("https://pbs.twimg.com/media/F3kLJt8a0AAs-I1.jpg")</f>
        <v>https://pbs.twimg.com/media/F3kLJt8a0AAs-I1.jpg</v>
      </c>
      <c r="AW582" s="81" t="s">
        <v>1128</v>
      </c>
      <c r="AX582" s="81" t="s">
        <v>1128</v>
      </c>
      <c r="AY582" s="77"/>
      <c r="AZ582" s="81" t="s">
        <v>1190</v>
      </c>
      <c r="BA582" s="81" t="s">
        <v>1190</v>
      </c>
      <c r="BB582" s="81" t="s">
        <v>1190</v>
      </c>
      <c r="BC582" s="81" t="s">
        <v>1128</v>
      </c>
      <c r="BD582" s="81" t="s">
        <v>1213</v>
      </c>
      <c r="BE582" s="77"/>
      <c r="BF582" s="77"/>
      <c r="BG582" s="77"/>
      <c r="BH582" s="77"/>
      <c r="BI582" s="77"/>
      <c r="BJ582">
        <v>4</v>
      </c>
      <c r="BK582" s="76" t="str">
        <f>REPLACE(INDEX(GroupVertices[Group],MATCH(Edges[[#This Row],[Vertex 1]],GroupVertices[Vertex],0)),1,1,"")</f>
        <v>7</v>
      </c>
      <c r="BL582" s="76" t="str">
        <f>REPLACE(INDEX(GroupVertices[Group],MATCH(Edges[[#This Row],[Vertex 2]],GroupVertices[Vertex],0)),1,1,"")</f>
        <v>7</v>
      </c>
      <c r="BM582" s="45"/>
      <c r="BN582" s="46"/>
      <c r="BO582" s="45"/>
      <c r="BP582" s="46"/>
      <c r="BQ582" s="45"/>
      <c r="BR582" s="46"/>
      <c r="BS582" s="45"/>
      <c r="BT582" s="46"/>
      <c r="BU582" s="45"/>
    </row>
    <row r="583" spans="1:73" ht="15">
      <c r="A583" s="61" t="s">
        <v>257</v>
      </c>
      <c r="B583" s="61" t="s">
        <v>228</v>
      </c>
      <c r="C583" s="62" t="s">
        <v>11697</v>
      </c>
      <c r="D583" s="63">
        <v>10</v>
      </c>
      <c r="E583" s="64" t="s">
        <v>136</v>
      </c>
      <c r="F583" s="65">
        <v>10</v>
      </c>
      <c r="G583" s="62"/>
      <c r="H583" s="66"/>
      <c r="I583" s="67"/>
      <c r="J583" s="67"/>
      <c r="K583" s="31" t="s">
        <v>65</v>
      </c>
      <c r="L583" s="75">
        <v>583</v>
      </c>
      <c r="M583" s="75"/>
      <c r="N583" s="69"/>
      <c r="O583" s="77" t="s">
        <v>539</v>
      </c>
      <c r="P583" s="79">
        <v>45153.433587962965</v>
      </c>
      <c r="Q583" s="77" t="s">
        <v>645</v>
      </c>
      <c r="R583" s="77">
        <v>3</v>
      </c>
      <c r="S583" s="77">
        <v>3</v>
      </c>
      <c r="T583" s="77">
        <v>0</v>
      </c>
      <c r="U583" s="77">
        <v>0</v>
      </c>
      <c r="V583" s="77">
        <v>153</v>
      </c>
      <c r="W583" s="81" t="s">
        <v>713</v>
      </c>
      <c r="X583" s="77"/>
      <c r="Y583" s="77"/>
      <c r="Z583" s="77" t="s">
        <v>807</v>
      </c>
      <c r="AA583" s="77" t="s">
        <v>839</v>
      </c>
      <c r="AB583" s="77" t="s">
        <v>848</v>
      </c>
      <c r="AC583" s="81" t="s">
        <v>855</v>
      </c>
      <c r="AD583" s="77" t="s">
        <v>859</v>
      </c>
      <c r="AE583" s="83" t="str">
        <f>HYPERLINK("https://twitter.com/pinakilaskar/status/1691395399448461312")</f>
        <v>https://twitter.com/pinakilaskar/status/1691395399448461312</v>
      </c>
      <c r="AF583" s="79">
        <v>45153.433587962965</v>
      </c>
      <c r="AG583" s="85">
        <v>45153</v>
      </c>
      <c r="AH583" s="81" t="s">
        <v>973</v>
      </c>
      <c r="AI583" s="77" t="b">
        <v>0</v>
      </c>
      <c r="AJ583" s="77"/>
      <c r="AK583" s="77"/>
      <c r="AL583" s="77"/>
      <c r="AM583" s="77"/>
      <c r="AN583" s="77"/>
      <c r="AO583" s="77"/>
      <c r="AP583" s="77"/>
      <c r="AQ583" s="77" t="s">
        <v>1018</v>
      </c>
      <c r="AR583" s="77"/>
      <c r="AS583" s="77"/>
      <c r="AT583" s="77"/>
      <c r="AU583" s="77"/>
      <c r="AV583" s="83" t="str">
        <f>HYPERLINK("https://pbs.twimg.com/media/F3kLJt8a0AAs-I1.jpg")</f>
        <v>https://pbs.twimg.com/media/F3kLJt8a0AAs-I1.jpg</v>
      </c>
      <c r="AW583" s="81" t="s">
        <v>1128</v>
      </c>
      <c r="AX583" s="81" t="s">
        <v>1128</v>
      </c>
      <c r="AY583" s="77"/>
      <c r="AZ583" s="81" t="s">
        <v>1190</v>
      </c>
      <c r="BA583" s="81" t="s">
        <v>1190</v>
      </c>
      <c r="BB583" s="81" t="s">
        <v>1190</v>
      </c>
      <c r="BC583" s="81" t="s">
        <v>1128</v>
      </c>
      <c r="BD583" s="81" t="s">
        <v>1213</v>
      </c>
      <c r="BE583" s="77"/>
      <c r="BF583" s="77"/>
      <c r="BG583" s="77"/>
      <c r="BH583" s="77"/>
      <c r="BI583" s="77"/>
      <c r="BJ583">
        <v>13</v>
      </c>
      <c r="BK583" s="76" t="str">
        <f>REPLACE(INDEX(GroupVertices[Group],MATCH(Edges[[#This Row],[Vertex 1]],GroupVertices[Vertex],0)),1,1,"")</f>
        <v>7</v>
      </c>
      <c r="BL583" s="76" t="str">
        <f>REPLACE(INDEX(GroupVertices[Group],MATCH(Edges[[#This Row],[Vertex 2]],GroupVertices[Vertex],0)),1,1,"")</f>
        <v>2</v>
      </c>
      <c r="BM583" s="45"/>
      <c r="BN583" s="46"/>
      <c r="BO583" s="45"/>
      <c r="BP583" s="46"/>
      <c r="BQ583" s="45"/>
      <c r="BR583" s="46"/>
      <c r="BS583" s="45"/>
      <c r="BT583" s="46"/>
      <c r="BU583" s="45"/>
    </row>
    <row r="584" spans="1:73" ht="15">
      <c r="A584" s="61" t="s">
        <v>257</v>
      </c>
      <c r="B584" s="61" t="s">
        <v>528</v>
      </c>
      <c r="C584" s="62" t="s">
        <v>11697</v>
      </c>
      <c r="D584" s="63">
        <v>10</v>
      </c>
      <c r="E584" s="64" t="s">
        <v>136</v>
      </c>
      <c r="F584" s="65">
        <v>10</v>
      </c>
      <c r="G584" s="62"/>
      <c r="H584" s="66"/>
      <c r="I584" s="67"/>
      <c r="J584" s="67"/>
      <c r="K584" s="31" t="s">
        <v>65</v>
      </c>
      <c r="L584" s="75">
        <v>584</v>
      </c>
      <c r="M584" s="75"/>
      <c r="N584" s="69"/>
      <c r="O584" s="77" t="s">
        <v>539</v>
      </c>
      <c r="P584" s="79">
        <v>45153.433587962965</v>
      </c>
      <c r="Q584" s="77" t="s">
        <v>645</v>
      </c>
      <c r="R584" s="77">
        <v>3</v>
      </c>
      <c r="S584" s="77">
        <v>3</v>
      </c>
      <c r="T584" s="77">
        <v>0</v>
      </c>
      <c r="U584" s="77">
        <v>0</v>
      </c>
      <c r="V584" s="77">
        <v>153</v>
      </c>
      <c r="W584" s="81" t="s">
        <v>713</v>
      </c>
      <c r="X584" s="77"/>
      <c r="Y584" s="77"/>
      <c r="Z584" s="77" t="s">
        <v>807</v>
      </c>
      <c r="AA584" s="77" t="s">
        <v>839</v>
      </c>
      <c r="AB584" s="77" t="s">
        <v>848</v>
      </c>
      <c r="AC584" s="81" t="s">
        <v>855</v>
      </c>
      <c r="AD584" s="77" t="s">
        <v>859</v>
      </c>
      <c r="AE584" s="83" t="str">
        <f>HYPERLINK("https://twitter.com/pinakilaskar/status/1691395399448461312")</f>
        <v>https://twitter.com/pinakilaskar/status/1691395399448461312</v>
      </c>
      <c r="AF584" s="79">
        <v>45153.433587962965</v>
      </c>
      <c r="AG584" s="85">
        <v>45153</v>
      </c>
      <c r="AH584" s="81" t="s">
        <v>973</v>
      </c>
      <c r="AI584" s="77" t="b">
        <v>0</v>
      </c>
      <c r="AJ584" s="77"/>
      <c r="AK584" s="77"/>
      <c r="AL584" s="77"/>
      <c r="AM584" s="77"/>
      <c r="AN584" s="77"/>
      <c r="AO584" s="77"/>
      <c r="AP584" s="77"/>
      <c r="AQ584" s="77" t="s">
        <v>1018</v>
      </c>
      <c r="AR584" s="77"/>
      <c r="AS584" s="77"/>
      <c r="AT584" s="77"/>
      <c r="AU584" s="77"/>
      <c r="AV584" s="83" t="str">
        <f>HYPERLINK("https://pbs.twimg.com/media/F3kLJt8a0AAs-I1.jpg")</f>
        <v>https://pbs.twimg.com/media/F3kLJt8a0AAs-I1.jpg</v>
      </c>
      <c r="AW584" s="81" t="s">
        <v>1128</v>
      </c>
      <c r="AX584" s="81" t="s">
        <v>1128</v>
      </c>
      <c r="AY584" s="77"/>
      <c r="AZ584" s="81" t="s">
        <v>1190</v>
      </c>
      <c r="BA584" s="81" t="s">
        <v>1190</v>
      </c>
      <c r="BB584" s="81" t="s">
        <v>1190</v>
      </c>
      <c r="BC584" s="81" t="s">
        <v>1128</v>
      </c>
      <c r="BD584" s="81" t="s">
        <v>1213</v>
      </c>
      <c r="BE584" s="77"/>
      <c r="BF584" s="77"/>
      <c r="BG584" s="77"/>
      <c r="BH584" s="77"/>
      <c r="BI584" s="77"/>
      <c r="BJ584">
        <v>8</v>
      </c>
      <c r="BK584" s="76" t="str">
        <f>REPLACE(INDEX(GroupVertices[Group],MATCH(Edges[[#This Row],[Vertex 1]],GroupVertices[Vertex],0)),1,1,"")</f>
        <v>7</v>
      </c>
      <c r="BL584" s="76" t="str">
        <f>REPLACE(INDEX(GroupVertices[Group],MATCH(Edges[[#This Row],[Vertex 2]],GroupVertices[Vertex],0)),1,1,"")</f>
        <v>7</v>
      </c>
      <c r="BM584" s="45"/>
      <c r="BN584" s="46"/>
      <c r="BO584" s="45"/>
      <c r="BP584" s="46"/>
      <c r="BQ584" s="45"/>
      <c r="BR584" s="46"/>
      <c r="BS584" s="45"/>
      <c r="BT584" s="46"/>
      <c r="BU584" s="45"/>
    </row>
    <row r="585" spans="1:73" ht="15">
      <c r="A585" s="61" t="s">
        <v>257</v>
      </c>
      <c r="B585" s="61" t="s">
        <v>529</v>
      </c>
      <c r="C585" s="62" t="s">
        <v>11697</v>
      </c>
      <c r="D585" s="63">
        <v>10</v>
      </c>
      <c r="E585" s="64" t="s">
        <v>136</v>
      </c>
      <c r="F585" s="65">
        <v>10</v>
      </c>
      <c r="G585" s="62"/>
      <c r="H585" s="66"/>
      <c r="I585" s="67"/>
      <c r="J585" s="67"/>
      <c r="K585" s="31" t="s">
        <v>65</v>
      </c>
      <c r="L585" s="75">
        <v>585</v>
      </c>
      <c r="M585" s="75"/>
      <c r="N585" s="69"/>
      <c r="O585" s="77" t="s">
        <v>539</v>
      </c>
      <c r="P585" s="79">
        <v>45153.433587962965</v>
      </c>
      <c r="Q585" s="77" t="s">
        <v>645</v>
      </c>
      <c r="R585" s="77">
        <v>3</v>
      </c>
      <c r="S585" s="77">
        <v>3</v>
      </c>
      <c r="T585" s="77">
        <v>0</v>
      </c>
      <c r="U585" s="77">
        <v>0</v>
      </c>
      <c r="V585" s="77">
        <v>153</v>
      </c>
      <c r="W585" s="81" t="s">
        <v>713</v>
      </c>
      <c r="X585" s="77"/>
      <c r="Y585" s="77"/>
      <c r="Z585" s="77" t="s">
        <v>807</v>
      </c>
      <c r="AA585" s="77" t="s">
        <v>839</v>
      </c>
      <c r="AB585" s="77" t="s">
        <v>848</v>
      </c>
      <c r="AC585" s="81" t="s">
        <v>855</v>
      </c>
      <c r="AD585" s="77" t="s">
        <v>859</v>
      </c>
      <c r="AE585" s="83" t="str">
        <f>HYPERLINK("https://twitter.com/pinakilaskar/status/1691395399448461312")</f>
        <v>https://twitter.com/pinakilaskar/status/1691395399448461312</v>
      </c>
      <c r="AF585" s="79">
        <v>45153.433587962965</v>
      </c>
      <c r="AG585" s="85">
        <v>45153</v>
      </c>
      <c r="AH585" s="81" t="s">
        <v>973</v>
      </c>
      <c r="AI585" s="77" t="b">
        <v>0</v>
      </c>
      <c r="AJ585" s="77"/>
      <c r="AK585" s="77"/>
      <c r="AL585" s="77"/>
      <c r="AM585" s="77"/>
      <c r="AN585" s="77"/>
      <c r="AO585" s="77"/>
      <c r="AP585" s="77"/>
      <c r="AQ585" s="77" t="s">
        <v>1018</v>
      </c>
      <c r="AR585" s="77"/>
      <c r="AS585" s="77"/>
      <c r="AT585" s="77"/>
      <c r="AU585" s="77"/>
      <c r="AV585" s="83" t="str">
        <f>HYPERLINK("https://pbs.twimg.com/media/F3kLJt8a0AAs-I1.jpg")</f>
        <v>https://pbs.twimg.com/media/F3kLJt8a0AAs-I1.jpg</v>
      </c>
      <c r="AW585" s="81" t="s">
        <v>1128</v>
      </c>
      <c r="AX585" s="81" t="s">
        <v>1128</v>
      </c>
      <c r="AY585" s="77"/>
      <c r="AZ585" s="81" t="s">
        <v>1190</v>
      </c>
      <c r="BA585" s="81" t="s">
        <v>1190</v>
      </c>
      <c r="BB585" s="81" t="s">
        <v>1190</v>
      </c>
      <c r="BC585" s="81" t="s">
        <v>1128</v>
      </c>
      <c r="BD585" s="81" t="s">
        <v>1213</v>
      </c>
      <c r="BE585" s="77"/>
      <c r="BF585" s="77"/>
      <c r="BG585" s="77"/>
      <c r="BH585" s="77"/>
      <c r="BI585" s="77"/>
      <c r="BJ585">
        <v>13</v>
      </c>
      <c r="BK585" s="76" t="str">
        <f>REPLACE(INDEX(GroupVertices[Group],MATCH(Edges[[#This Row],[Vertex 1]],GroupVertices[Vertex],0)),1,1,"")</f>
        <v>7</v>
      </c>
      <c r="BL585" s="76" t="str">
        <f>REPLACE(INDEX(GroupVertices[Group],MATCH(Edges[[#This Row],[Vertex 2]],GroupVertices[Vertex],0)),1,1,"")</f>
        <v>7</v>
      </c>
      <c r="BM585" s="45"/>
      <c r="BN585" s="46"/>
      <c r="BO585" s="45"/>
      <c r="BP585" s="46"/>
      <c r="BQ585" s="45"/>
      <c r="BR585" s="46"/>
      <c r="BS585" s="45"/>
      <c r="BT585" s="46"/>
      <c r="BU585" s="45"/>
    </row>
    <row r="586" spans="1:73" ht="15">
      <c r="A586" s="61" t="s">
        <v>257</v>
      </c>
      <c r="B586" s="61" t="s">
        <v>530</v>
      </c>
      <c r="C586" s="62" t="s">
        <v>11697</v>
      </c>
      <c r="D586" s="63">
        <v>10</v>
      </c>
      <c r="E586" s="64" t="s">
        <v>136</v>
      </c>
      <c r="F586" s="65">
        <v>10</v>
      </c>
      <c r="G586" s="62"/>
      <c r="H586" s="66"/>
      <c r="I586" s="67"/>
      <c r="J586" s="67"/>
      <c r="K586" s="31" t="s">
        <v>65</v>
      </c>
      <c r="L586" s="75">
        <v>586</v>
      </c>
      <c r="M586" s="75"/>
      <c r="N586" s="69"/>
      <c r="O586" s="77" t="s">
        <v>539</v>
      </c>
      <c r="P586" s="79">
        <v>45153.433587962965</v>
      </c>
      <c r="Q586" s="77" t="s">
        <v>645</v>
      </c>
      <c r="R586" s="77">
        <v>3</v>
      </c>
      <c r="S586" s="77">
        <v>3</v>
      </c>
      <c r="T586" s="77">
        <v>0</v>
      </c>
      <c r="U586" s="77">
        <v>0</v>
      </c>
      <c r="V586" s="77">
        <v>153</v>
      </c>
      <c r="W586" s="81" t="s">
        <v>713</v>
      </c>
      <c r="X586" s="77"/>
      <c r="Y586" s="77"/>
      <c r="Z586" s="77" t="s">
        <v>807</v>
      </c>
      <c r="AA586" s="77" t="s">
        <v>839</v>
      </c>
      <c r="AB586" s="77" t="s">
        <v>848</v>
      </c>
      <c r="AC586" s="81" t="s">
        <v>855</v>
      </c>
      <c r="AD586" s="77" t="s">
        <v>859</v>
      </c>
      <c r="AE586" s="83" t="str">
        <f>HYPERLINK("https://twitter.com/pinakilaskar/status/1691395399448461312")</f>
        <v>https://twitter.com/pinakilaskar/status/1691395399448461312</v>
      </c>
      <c r="AF586" s="79">
        <v>45153.433587962965</v>
      </c>
      <c r="AG586" s="85">
        <v>45153</v>
      </c>
      <c r="AH586" s="81" t="s">
        <v>973</v>
      </c>
      <c r="AI586" s="77" t="b">
        <v>0</v>
      </c>
      <c r="AJ586" s="77"/>
      <c r="AK586" s="77"/>
      <c r="AL586" s="77"/>
      <c r="AM586" s="77"/>
      <c r="AN586" s="77"/>
      <c r="AO586" s="77"/>
      <c r="AP586" s="77"/>
      <c r="AQ586" s="77" t="s">
        <v>1018</v>
      </c>
      <c r="AR586" s="77"/>
      <c r="AS586" s="77"/>
      <c r="AT586" s="77"/>
      <c r="AU586" s="77"/>
      <c r="AV586" s="83" t="str">
        <f>HYPERLINK("https://pbs.twimg.com/media/F3kLJt8a0AAs-I1.jpg")</f>
        <v>https://pbs.twimg.com/media/F3kLJt8a0AAs-I1.jpg</v>
      </c>
      <c r="AW586" s="81" t="s">
        <v>1128</v>
      </c>
      <c r="AX586" s="81" t="s">
        <v>1128</v>
      </c>
      <c r="AY586" s="77"/>
      <c r="AZ586" s="81" t="s">
        <v>1190</v>
      </c>
      <c r="BA586" s="81" t="s">
        <v>1190</v>
      </c>
      <c r="BB586" s="81" t="s">
        <v>1190</v>
      </c>
      <c r="BC586" s="81" t="s">
        <v>1128</v>
      </c>
      <c r="BD586" s="81" t="s">
        <v>1213</v>
      </c>
      <c r="BE586" s="77"/>
      <c r="BF586" s="77"/>
      <c r="BG586" s="77"/>
      <c r="BH586" s="77"/>
      <c r="BI586" s="77"/>
      <c r="BJ586">
        <v>10</v>
      </c>
      <c r="BK586" s="76" t="str">
        <f>REPLACE(INDEX(GroupVertices[Group],MATCH(Edges[[#This Row],[Vertex 1]],GroupVertices[Vertex],0)),1,1,"")</f>
        <v>7</v>
      </c>
      <c r="BL586" s="76" t="str">
        <f>REPLACE(INDEX(GroupVertices[Group],MATCH(Edges[[#This Row],[Vertex 2]],GroupVertices[Vertex],0)),1,1,"")</f>
        <v>7</v>
      </c>
      <c r="BM586" s="45"/>
      <c r="BN586" s="46"/>
      <c r="BO586" s="45"/>
      <c r="BP586" s="46"/>
      <c r="BQ586" s="45"/>
      <c r="BR586" s="46"/>
      <c r="BS586" s="45"/>
      <c r="BT586" s="46"/>
      <c r="BU586" s="45"/>
    </row>
    <row r="587" spans="1:73" ht="15">
      <c r="A587" s="61" t="s">
        <v>257</v>
      </c>
      <c r="B587" s="61" t="s">
        <v>531</v>
      </c>
      <c r="C587" s="62" t="s">
        <v>11697</v>
      </c>
      <c r="D587" s="63">
        <v>10</v>
      </c>
      <c r="E587" s="64" t="s">
        <v>136</v>
      </c>
      <c r="F587" s="65">
        <v>10</v>
      </c>
      <c r="G587" s="62"/>
      <c r="H587" s="66"/>
      <c r="I587" s="67"/>
      <c r="J587" s="67"/>
      <c r="K587" s="31" t="s">
        <v>65</v>
      </c>
      <c r="L587" s="75">
        <v>587</v>
      </c>
      <c r="M587" s="75"/>
      <c r="N587" s="69"/>
      <c r="O587" s="77" t="s">
        <v>539</v>
      </c>
      <c r="P587" s="79">
        <v>45153.433587962965</v>
      </c>
      <c r="Q587" s="77" t="s">
        <v>645</v>
      </c>
      <c r="R587" s="77">
        <v>3</v>
      </c>
      <c r="S587" s="77">
        <v>3</v>
      </c>
      <c r="T587" s="77">
        <v>0</v>
      </c>
      <c r="U587" s="77">
        <v>0</v>
      </c>
      <c r="V587" s="77">
        <v>153</v>
      </c>
      <c r="W587" s="81" t="s">
        <v>713</v>
      </c>
      <c r="X587" s="77"/>
      <c r="Y587" s="77"/>
      <c r="Z587" s="77" t="s">
        <v>807</v>
      </c>
      <c r="AA587" s="77" t="s">
        <v>839</v>
      </c>
      <c r="AB587" s="77" t="s">
        <v>848</v>
      </c>
      <c r="AC587" s="81" t="s">
        <v>855</v>
      </c>
      <c r="AD587" s="77" t="s">
        <v>859</v>
      </c>
      <c r="AE587" s="83" t="str">
        <f>HYPERLINK("https://twitter.com/pinakilaskar/status/1691395399448461312")</f>
        <v>https://twitter.com/pinakilaskar/status/1691395399448461312</v>
      </c>
      <c r="AF587" s="79">
        <v>45153.433587962965</v>
      </c>
      <c r="AG587" s="85">
        <v>45153</v>
      </c>
      <c r="AH587" s="81" t="s">
        <v>973</v>
      </c>
      <c r="AI587" s="77" t="b">
        <v>0</v>
      </c>
      <c r="AJ587" s="77"/>
      <c r="AK587" s="77"/>
      <c r="AL587" s="77"/>
      <c r="AM587" s="77"/>
      <c r="AN587" s="77"/>
      <c r="AO587" s="77"/>
      <c r="AP587" s="77"/>
      <c r="AQ587" s="77" t="s">
        <v>1018</v>
      </c>
      <c r="AR587" s="77"/>
      <c r="AS587" s="77"/>
      <c r="AT587" s="77"/>
      <c r="AU587" s="77"/>
      <c r="AV587" s="83" t="str">
        <f>HYPERLINK("https://pbs.twimg.com/media/F3kLJt8a0AAs-I1.jpg")</f>
        <v>https://pbs.twimg.com/media/F3kLJt8a0AAs-I1.jpg</v>
      </c>
      <c r="AW587" s="81" t="s">
        <v>1128</v>
      </c>
      <c r="AX587" s="81" t="s">
        <v>1128</v>
      </c>
      <c r="AY587" s="77"/>
      <c r="AZ587" s="81" t="s">
        <v>1190</v>
      </c>
      <c r="BA587" s="81" t="s">
        <v>1190</v>
      </c>
      <c r="BB587" s="81" t="s">
        <v>1190</v>
      </c>
      <c r="BC587" s="81" t="s">
        <v>1128</v>
      </c>
      <c r="BD587" s="81" t="s">
        <v>1213</v>
      </c>
      <c r="BE587" s="77"/>
      <c r="BF587" s="77"/>
      <c r="BG587" s="77"/>
      <c r="BH587" s="77"/>
      <c r="BI587" s="77"/>
      <c r="BJ587">
        <v>9</v>
      </c>
      <c r="BK587" s="76" t="str">
        <f>REPLACE(INDEX(GroupVertices[Group],MATCH(Edges[[#This Row],[Vertex 1]],GroupVertices[Vertex],0)),1,1,"")</f>
        <v>7</v>
      </c>
      <c r="BL587" s="76" t="str">
        <f>REPLACE(INDEX(GroupVertices[Group],MATCH(Edges[[#This Row],[Vertex 2]],GroupVertices[Vertex],0)),1,1,"")</f>
        <v>7</v>
      </c>
      <c r="BM587" s="45"/>
      <c r="BN587" s="46"/>
      <c r="BO587" s="45"/>
      <c r="BP587" s="46"/>
      <c r="BQ587" s="45"/>
      <c r="BR587" s="46"/>
      <c r="BS587" s="45"/>
      <c r="BT587" s="46"/>
      <c r="BU587" s="45"/>
    </row>
    <row r="588" spans="1:73" ht="15">
      <c r="A588" s="61" t="s">
        <v>257</v>
      </c>
      <c r="B588" s="61" t="s">
        <v>532</v>
      </c>
      <c r="C588" s="62" t="s">
        <v>11697</v>
      </c>
      <c r="D588" s="63">
        <v>10</v>
      </c>
      <c r="E588" s="64" t="s">
        <v>136</v>
      </c>
      <c r="F588" s="65">
        <v>10</v>
      </c>
      <c r="G588" s="62"/>
      <c r="H588" s="66"/>
      <c r="I588" s="67"/>
      <c r="J588" s="67"/>
      <c r="K588" s="31" t="s">
        <v>65</v>
      </c>
      <c r="L588" s="75">
        <v>588</v>
      </c>
      <c r="M588" s="75"/>
      <c r="N588" s="69"/>
      <c r="O588" s="77" t="s">
        <v>539</v>
      </c>
      <c r="P588" s="79">
        <v>45153.433587962965</v>
      </c>
      <c r="Q588" s="77" t="s">
        <v>645</v>
      </c>
      <c r="R588" s="77">
        <v>3</v>
      </c>
      <c r="S588" s="77">
        <v>3</v>
      </c>
      <c r="T588" s="77">
        <v>0</v>
      </c>
      <c r="U588" s="77">
        <v>0</v>
      </c>
      <c r="V588" s="77">
        <v>153</v>
      </c>
      <c r="W588" s="81" t="s">
        <v>713</v>
      </c>
      <c r="X588" s="77"/>
      <c r="Y588" s="77"/>
      <c r="Z588" s="77" t="s">
        <v>807</v>
      </c>
      <c r="AA588" s="77" t="s">
        <v>839</v>
      </c>
      <c r="AB588" s="77" t="s">
        <v>848</v>
      </c>
      <c r="AC588" s="81" t="s">
        <v>855</v>
      </c>
      <c r="AD588" s="77" t="s">
        <v>859</v>
      </c>
      <c r="AE588" s="83" t="str">
        <f>HYPERLINK("https://twitter.com/pinakilaskar/status/1691395399448461312")</f>
        <v>https://twitter.com/pinakilaskar/status/1691395399448461312</v>
      </c>
      <c r="AF588" s="79">
        <v>45153.433587962965</v>
      </c>
      <c r="AG588" s="85">
        <v>45153</v>
      </c>
      <c r="AH588" s="81" t="s">
        <v>973</v>
      </c>
      <c r="AI588" s="77" t="b">
        <v>0</v>
      </c>
      <c r="AJ588" s="77"/>
      <c r="AK588" s="77"/>
      <c r="AL588" s="77"/>
      <c r="AM588" s="77"/>
      <c r="AN588" s="77"/>
      <c r="AO588" s="77"/>
      <c r="AP588" s="77"/>
      <c r="AQ588" s="77" t="s">
        <v>1018</v>
      </c>
      <c r="AR588" s="77"/>
      <c r="AS588" s="77"/>
      <c r="AT588" s="77"/>
      <c r="AU588" s="77"/>
      <c r="AV588" s="83" t="str">
        <f>HYPERLINK("https://pbs.twimg.com/media/F3kLJt8a0AAs-I1.jpg")</f>
        <v>https://pbs.twimg.com/media/F3kLJt8a0AAs-I1.jpg</v>
      </c>
      <c r="AW588" s="81" t="s">
        <v>1128</v>
      </c>
      <c r="AX588" s="81" t="s">
        <v>1128</v>
      </c>
      <c r="AY588" s="77"/>
      <c r="AZ588" s="81" t="s">
        <v>1190</v>
      </c>
      <c r="BA588" s="81" t="s">
        <v>1190</v>
      </c>
      <c r="BB588" s="81" t="s">
        <v>1190</v>
      </c>
      <c r="BC588" s="81" t="s">
        <v>1128</v>
      </c>
      <c r="BD588" s="81" t="s">
        <v>1213</v>
      </c>
      <c r="BE588" s="77"/>
      <c r="BF588" s="77"/>
      <c r="BG588" s="77"/>
      <c r="BH588" s="77"/>
      <c r="BI588" s="77"/>
      <c r="BJ588">
        <v>13</v>
      </c>
      <c r="BK588" s="76" t="str">
        <f>REPLACE(INDEX(GroupVertices[Group],MATCH(Edges[[#This Row],[Vertex 1]],GroupVertices[Vertex],0)),1,1,"")</f>
        <v>7</v>
      </c>
      <c r="BL588" s="76" t="str">
        <f>REPLACE(INDEX(GroupVertices[Group],MATCH(Edges[[#This Row],[Vertex 2]],GroupVertices[Vertex],0)),1,1,"")</f>
        <v>7</v>
      </c>
      <c r="BM588" s="45"/>
      <c r="BN588" s="46"/>
      <c r="BO588" s="45"/>
      <c r="BP588" s="46"/>
      <c r="BQ588" s="45"/>
      <c r="BR588" s="46"/>
      <c r="BS588" s="45"/>
      <c r="BT588" s="46"/>
      <c r="BU588" s="45"/>
    </row>
    <row r="589" spans="1:73" ht="15">
      <c r="A589" s="61" t="s">
        <v>257</v>
      </c>
      <c r="B589" s="61" t="s">
        <v>533</v>
      </c>
      <c r="C589" s="62" t="s">
        <v>11697</v>
      </c>
      <c r="D589" s="63">
        <v>10</v>
      </c>
      <c r="E589" s="64" t="s">
        <v>136</v>
      </c>
      <c r="F589" s="65">
        <v>10</v>
      </c>
      <c r="G589" s="62"/>
      <c r="H589" s="66"/>
      <c r="I589" s="67"/>
      <c r="J589" s="67"/>
      <c r="K589" s="31" t="s">
        <v>65</v>
      </c>
      <c r="L589" s="75">
        <v>589</v>
      </c>
      <c r="M589" s="75"/>
      <c r="N589" s="69"/>
      <c r="O589" s="77" t="s">
        <v>539</v>
      </c>
      <c r="P589" s="79">
        <v>45153.433587962965</v>
      </c>
      <c r="Q589" s="77" t="s">
        <v>645</v>
      </c>
      <c r="R589" s="77">
        <v>3</v>
      </c>
      <c r="S589" s="77">
        <v>3</v>
      </c>
      <c r="T589" s="77">
        <v>0</v>
      </c>
      <c r="U589" s="77">
        <v>0</v>
      </c>
      <c r="V589" s="77">
        <v>153</v>
      </c>
      <c r="W589" s="81" t="s">
        <v>713</v>
      </c>
      <c r="X589" s="77"/>
      <c r="Y589" s="77"/>
      <c r="Z589" s="77" t="s">
        <v>807</v>
      </c>
      <c r="AA589" s="77" t="s">
        <v>839</v>
      </c>
      <c r="AB589" s="77" t="s">
        <v>848</v>
      </c>
      <c r="AC589" s="81" t="s">
        <v>855</v>
      </c>
      <c r="AD589" s="77" t="s">
        <v>859</v>
      </c>
      <c r="AE589" s="83" t="str">
        <f>HYPERLINK("https://twitter.com/pinakilaskar/status/1691395399448461312")</f>
        <v>https://twitter.com/pinakilaskar/status/1691395399448461312</v>
      </c>
      <c r="AF589" s="79">
        <v>45153.433587962965</v>
      </c>
      <c r="AG589" s="85">
        <v>45153</v>
      </c>
      <c r="AH589" s="81" t="s">
        <v>973</v>
      </c>
      <c r="AI589" s="77" t="b">
        <v>0</v>
      </c>
      <c r="AJ589" s="77"/>
      <c r="AK589" s="77"/>
      <c r="AL589" s="77"/>
      <c r="AM589" s="77"/>
      <c r="AN589" s="77"/>
      <c r="AO589" s="77"/>
      <c r="AP589" s="77"/>
      <c r="AQ589" s="77" t="s">
        <v>1018</v>
      </c>
      <c r="AR589" s="77"/>
      <c r="AS589" s="77"/>
      <c r="AT589" s="77"/>
      <c r="AU589" s="77"/>
      <c r="AV589" s="83" t="str">
        <f>HYPERLINK("https://pbs.twimg.com/media/F3kLJt8a0AAs-I1.jpg")</f>
        <v>https://pbs.twimg.com/media/F3kLJt8a0AAs-I1.jpg</v>
      </c>
      <c r="AW589" s="81" t="s">
        <v>1128</v>
      </c>
      <c r="AX589" s="81" t="s">
        <v>1128</v>
      </c>
      <c r="AY589" s="77"/>
      <c r="AZ589" s="81" t="s">
        <v>1190</v>
      </c>
      <c r="BA589" s="81" t="s">
        <v>1190</v>
      </c>
      <c r="BB589" s="81" t="s">
        <v>1190</v>
      </c>
      <c r="BC589" s="81" t="s">
        <v>1128</v>
      </c>
      <c r="BD589" s="81" t="s">
        <v>1213</v>
      </c>
      <c r="BE589" s="77"/>
      <c r="BF589" s="77"/>
      <c r="BG589" s="77"/>
      <c r="BH589" s="77"/>
      <c r="BI589" s="77"/>
      <c r="BJ589">
        <v>13</v>
      </c>
      <c r="BK589" s="76" t="str">
        <f>REPLACE(INDEX(GroupVertices[Group],MATCH(Edges[[#This Row],[Vertex 1]],GroupVertices[Vertex],0)),1,1,"")</f>
        <v>7</v>
      </c>
      <c r="BL589" s="76" t="str">
        <f>REPLACE(INDEX(GroupVertices[Group],MATCH(Edges[[#This Row],[Vertex 2]],GroupVertices[Vertex],0)),1,1,"")</f>
        <v>7</v>
      </c>
      <c r="BM589" s="45"/>
      <c r="BN589" s="46"/>
      <c r="BO589" s="45"/>
      <c r="BP589" s="46"/>
      <c r="BQ589" s="45"/>
      <c r="BR589" s="46"/>
      <c r="BS589" s="45"/>
      <c r="BT589" s="46"/>
      <c r="BU589" s="45"/>
    </row>
    <row r="590" spans="1:73" ht="15">
      <c r="A590" s="61" t="s">
        <v>257</v>
      </c>
      <c r="B590" s="61" t="s">
        <v>534</v>
      </c>
      <c r="C590" s="62" t="s">
        <v>11697</v>
      </c>
      <c r="D590" s="63">
        <v>10</v>
      </c>
      <c r="E590" s="64" t="s">
        <v>136</v>
      </c>
      <c r="F590" s="65">
        <v>10</v>
      </c>
      <c r="G590" s="62"/>
      <c r="H590" s="66"/>
      <c r="I590" s="67"/>
      <c r="J590" s="67"/>
      <c r="K590" s="31" t="s">
        <v>65</v>
      </c>
      <c r="L590" s="75">
        <v>590</v>
      </c>
      <c r="M590" s="75"/>
      <c r="N590" s="69"/>
      <c r="O590" s="77" t="s">
        <v>539</v>
      </c>
      <c r="P590" s="79">
        <v>45153.433587962965</v>
      </c>
      <c r="Q590" s="77" t="s">
        <v>645</v>
      </c>
      <c r="R590" s="77">
        <v>3</v>
      </c>
      <c r="S590" s="77">
        <v>3</v>
      </c>
      <c r="T590" s="77">
        <v>0</v>
      </c>
      <c r="U590" s="77">
        <v>0</v>
      </c>
      <c r="V590" s="77">
        <v>153</v>
      </c>
      <c r="W590" s="81" t="s">
        <v>713</v>
      </c>
      <c r="X590" s="77"/>
      <c r="Y590" s="77"/>
      <c r="Z590" s="77" t="s">
        <v>807</v>
      </c>
      <c r="AA590" s="77" t="s">
        <v>839</v>
      </c>
      <c r="AB590" s="77" t="s">
        <v>848</v>
      </c>
      <c r="AC590" s="81" t="s">
        <v>855</v>
      </c>
      <c r="AD590" s="77" t="s">
        <v>859</v>
      </c>
      <c r="AE590" s="83" t="str">
        <f>HYPERLINK("https://twitter.com/pinakilaskar/status/1691395399448461312")</f>
        <v>https://twitter.com/pinakilaskar/status/1691395399448461312</v>
      </c>
      <c r="AF590" s="79">
        <v>45153.433587962965</v>
      </c>
      <c r="AG590" s="85">
        <v>45153</v>
      </c>
      <c r="AH590" s="81" t="s">
        <v>973</v>
      </c>
      <c r="AI590" s="77" t="b">
        <v>0</v>
      </c>
      <c r="AJ590" s="77"/>
      <c r="AK590" s="77"/>
      <c r="AL590" s="77"/>
      <c r="AM590" s="77"/>
      <c r="AN590" s="77"/>
      <c r="AO590" s="77"/>
      <c r="AP590" s="77"/>
      <c r="AQ590" s="77" t="s">
        <v>1018</v>
      </c>
      <c r="AR590" s="77"/>
      <c r="AS590" s="77"/>
      <c r="AT590" s="77"/>
      <c r="AU590" s="77"/>
      <c r="AV590" s="83" t="str">
        <f>HYPERLINK("https://pbs.twimg.com/media/F3kLJt8a0AAs-I1.jpg")</f>
        <v>https://pbs.twimg.com/media/F3kLJt8a0AAs-I1.jpg</v>
      </c>
      <c r="AW590" s="81" t="s">
        <v>1128</v>
      </c>
      <c r="AX590" s="81" t="s">
        <v>1128</v>
      </c>
      <c r="AY590" s="77"/>
      <c r="AZ590" s="81" t="s">
        <v>1190</v>
      </c>
      <c r="BA590" s="81" t="s">
        <v>1190</v>
      </c>
      <c r="BB590" s="81" t="s">
        <v>1190</v>
      </c>
      <c r="BC590" s="81" t="s">
        <v>1128</v>
      </c>
      <c r="BD590" s="81" t="s">
        <v>1213</v>
      </c>
      <c r="BE590" s="77"/>
      <c r="BF590" s="77"/>
      <c r="BG590" s="77"/>
      <c r="BH590" s="77"/>
      <c r="BI590" s="77"/>
      <c r="BJ590">
        <v>9</v>
      </c>
      <c r="BK590" s="76" t="str">
        <f>REPLACE(INDEX(GroupVertices[Group],MATCH(Edges[[#This Row],[Vertex 1]],GroupVertices[Vertex],0)),1,1,"")</f>
        <v>7</v>
      </c>
      <c r="BL590" s="76" t="str">
        <f>REPLACE(INDEX(GroupVertices[Group],MATCH(Edges[[#This Row],[Vertex 2]],GroupVertices[Vertex],0)),1,1,"")</f>
        <v>7</v>
      </c>
      <c r="BM590" s="45"/>
      <c r="BN590" s="46"/>
      <c r="BO590" s="45"/>
      <c r="BP590" s="46"/>
      <c r="BQ590" s="45"/>
      <c r="BR590" s="46"/>
      <c r="BS590" s="45"/>
      <c r="BT590" s="46"/>
      <c r="BU590" s="45"/>
    </row>
    <row r="591" spans="1:73" ht="15">
      <c r="A591" s="61" t="s">
        <v>257</v>
      </c>
      <c r="B591" s="61" t="s">
        <v>535</v>
      </c>
      <c r="C591" s="62" t="s">
        <v>11697</v>
      </c>
      <c r="D591" s="63">
        <v>10</v>
      </c>
      <c r="E591" s="64" t="s">
        <v>136</v>
      </c>
      <c r="F591" s="65">
        <v>10</v>
      </c>
      <c r="G591" s="62"/>
      <c r="H591" s="66"/>
      <c r="I591" s="67"/>
      <c r="J591" s="67"/>
      <c r="K591" s="31" t="s">
        <v>65</v>
      </c>
      <c r="L591" s="75">
        <v>591</v>
      </c>
      <c r="M591" s="75"/>
      <c r="N591" s="69"/>
      <c r="O591" s="77" t="s">
        <v>539</v>
      </c>
      <c r="P591" s="79">
        <v>45153.433587962965</v>
      </c>
      <c r="Q591" s="77" t="s">
        <v>645</v>
      </c>
      <c r="R591" s="77">
        <v>3</v>
      </c>
      <c r="S591" s="77">
        <v>3</v>
      </c>
      <c r="T591" s="77">
        <v>0</v>
      </c>
      <c r="U591" s="77">
        <v>0</v>
      </c>
      <c r="V591" s="77">
        <v>153</v>
      </c>
      <c r="W591" s="81" t="s">
        <v>713</v>
      </c>
      <c r="X591" s="77"/>
      <c r="Y591" s="77"/>
      <c r="Z591" s="77" t="s">
        <v>807</v>
      </c>
      <c r="AA591" s="77" t="s">
        <v>839</v>
      </c>
      <c r="AB591" s="77" t="s">
        <v>848</v>
      </c>
      <c r="AC591" s="81" t="s">
        <v>855</v>
      </c>
      <c r="AD591" s="77" t="s">
        <v>859</v>
      </c>
      <c r="AE591" s="83" t="str">
        <f>HYPERLINK("https://twitter.com/pinakilaskar/status/1691395399448461312")</f>
        <v>https://twitter.com/pinakilaskar/status/1691395399448461312</v>
      </c>
      <c r="AF591" s="79">
        <v>45153.433587962965</v>
      </c>
      <c r="AG591" s="85">
        <v>45153</v>
      </c>
      <c r="AH591" s="81" t="s">
        <v>973</v>
      </c>
      <c r="AI591" s="77" t="b">
        <v>0</v>
      </c>
      <c r="AJ591" s="77"/>
      <c r="AK591" s="77"/>
      <c r="AL591" s="77"/>
      <c r="AM591" s="77"/>
      <c r="AN591" s="77"/>
      <c r="AO591" s="77"/>
      <c r="AP591" s="77"/>
      <c r="AQ591" s="77" t="s">
        <v>1018</v>
      </c>
      <c r="AR591" s="77"/>
      <c r="AS591" s="77"/>
      <c r="AT591" s="77"/>
      <c r="AU591" s="77"/>
      <c r="AV591" s="83" t="str">
        <f>HYPERLINK("https://pbs.twimg.com/media/F3kLJt8a0AAs-I1.jpg")</f>
        <v>https://pbs.twimg.com/media/F3kLJt8a0AAs-I1.jpg</v>
      </c>
      <c r="AW591" s="81" t="s">
        <v>1128</v>
      </c>
      <c r="AX591" s="81" t="s">
        <v>1128</v>
      </c>
      <c r="AY591" s="77"/>
      <c r="AZ591" s="81" t="s">
        <v>1190</v>
      </c>
      <c r="BA591" s="81" t="s">
        <v>1190</v>
      </c>
      <c r="BB591" s="81" t="s">
        <v>1190</v>
      </c>
      <c r="BC591" s="81" t="s">
        <v>1128</v>
      </c>
      <c r="BD591" s="81" t="s">
        <v>1213</v>
      </c>
      <c r="BE591" s="77"/>
      <c r="BF591" s="77"/>
      <c r="BG591" s="77"/>
      <c r="BH591" s="77"/>
      <c r="BI591" s="77"/>
      <c r="BJ591">
        <v>13</v>
      </c>
      <c r="BK591" s="76" t="str">
        <f>REPLACE(INDEX(GroupVertices[Group],MATCH(Edges[[#This Row],[Vertex 1]],GroupVertices[Vertex],0)),1,1,"")</f>
        <v>7</v>
      </c>
      <c r="BL591" s="76" t="str">
        <f>REPLACE(INDEX(GroupVertices[Group],MATCH(Edges[[#This Row],[Vertex 2]],GroupVertices[Vertex],0)),1,1,"")</f>
        <v>7</v>
      </c>
      <c r="BM591" s="45"/>
      <c r="BN591" s="46"/>
      <c r="BO591" s="45"/>
      <c r="BP591" s="46"/>
      <c r="BQ591" s="45"/>
      <c r="BR591" s="46"/>
      <c r="BS591" s="45"/>
      <c r="BT591" s="46"/>
      <c r="BU591" s="45"/>
    </row>
    <row r="592" spans="1:73" ht="15">
      <c r="A592" s="61" t="s">
        <v>257</v>
      </c>
      <c r="B592" s="61" t="s">
        <v>536</v>
      </c>
      <c r="C592" s="62" t="s">
        <v>11696</v>
      </c>
      <c r="D592" s="63">
        <v>8.6</v>
      </c>
      <c r="E592" s="64" t="s">
        <v>136</v>
      </c>
      <c r="F592" s="65">
        <v>14.399999999999999</v>
      </c>
      <c r="G592" s="62"/>
      <c r="H592" s="66"/>
      <c r="I592" s="67"/>
      <c r="J592" s="67"/>
      <c r="K592" s="31" t="s">
        <v>65</v>
      </c>
      <c r="L592" s="75">
        <v>592</v>
      </c>
      <c r="M592" s="75"/>
      <c r="N592" s="69"/>
      <c r="O592" s="77" t="s">
        <v>539</v>
      </c>
      <c r="P592" s="79">
        <v>45153.433587962965</v>
      </c>
      <c r="Q592" s="77" t="s">
        <v>645</v>
      </c>
      <c r="R592" s="77">
        <v>3</v>
      </c>
      <c r="S592" s="77">
        <v>3</v>
      </c>
      <c r="T592" s="77">
        <v>0</v>
      </c>
      <c r="U592" s="77">
        <v>0</v>
      </c>
      <c r="V592" s="77">
        <v>153</v>
      </c>
      <c r="W592" s="81" t="s">
        <v>713</v>
      </c>
      <c r="X592" s="77"/>
      <c r="Y592" s="77"/>
      <c r="Z592" s="77" t="s">
        <v>807</v>
      </c>
      <c r="AA592" s="77" t="s">
        <v>839</v>
      </c>
      <c r="AB592" s="77" t="s">
        <v>848</v>
      </c>
      <c r="AC592" s="81" t="s">
        <v>855</v>
      </c>
      <c r="AD592" s="77" t="s">
        <v>859</v>
      </c>
      <c r="AE592" s="83" t="str">
        <f>HYPERLINK("https://twitter.com/pinakilaskar/status/1691395399448461312")</f>
        <v>https://twitter.com/pinakilaskar/status/1691395399448461312</v>
      </c>
      <c r="AF592" s="79">
        <v>45153.433587962965</v>
      </c>
      <c r="AG592" s="85">
        <v>45153</v>
      </c>
      <c r="AH592" s="81" t="s">
        <v>973</v>
      </c>
      <c r="AI592" s="77" t="b">
        <v>0</v>
      </c>
      <c r="AJ592" s="77"/>
      <c r="AK592" s="77"/>
      <c r="AL592" s="77"/>
      <c r="AM592" s="77"/>
      <c r="AN592" s="77"/>
      <c r="AO592" s="77"/>
      <c r="AP592" s="77"/>
      <c r="AQ592" s="77" t="s">
        <v>1018</v>
      </c>
      <c r="AR592" s="77"/>
      <c r="AS592" s="77"/>
      <c r="AT592" s="77"/>
      <c r="AU592" s="77"/>
      <c r="AV592" s="83" t="str">
        <f>HYPERLINK("https://pbs.twimg.com/media/F3kLJt8a0AAs-I1.jpg")</f>
        <v>https://pbs.twimg.com/media/F3kLJt8a0AAs-I1.jpg</v>
      </c>
      <c r="AW592" s="81" t="s">
        <v>1128</v>
      </c>
      <c r="AX592" s="81" t="s">
        <v>1128</v>
      </c>
      <c r="AY592" s="77"/>
      <c r="AZ592" s="81" t="s">
        <v>1190</v>
      </c>
      <c r="BA592" s="81" t="s">
        <v>1190</v>
      </c>
      <c r="BB592" s="81" t="s">
        <v>1190</v>
      </c>
      <c r="BC592" s="81" t="s">
        <v>1128</v>
      </c>
      <c r="BD592" s="81" t="s">
        <v>1213</v>
      </c>
      <c r="BE592" s="77"/>
      <c r="BF592" s="77"/>
      <c r="BG592" s="77"/>
      <c r="BH592" s="77"/>
      <c r="BI592" s="77"/>
      <c r="BJ592">
        <v>5</v>
      </c>
      <c r="BK592" s="76" t="str">
        <f>REPLACE(INDEX(GroupVertices[Group],MATCH(Edges[[#This Row],[Vertex 1]],GroupVertices[Vertex],0)),1,1,"")</f>
        <v>7</v>
      </c>
      <c r="BL592" s="76" t="str">
        <f>REPLACE(INDEX(GroupVertices[Group],MATCH(Edges[[#This Row],[Vertex 2]],GroupVertices[Vertex],0)),1,1,"")</f>
        <v>7</v>
      </c>
      <c r="BM592" s="45"/>
      <c r="BN592" s="46"/>
      <c r="BO592" s="45"/>
      <c r="BP592" s="46"/>
      <c r="BQ592" s="45"/>
      <c r="BR592" s="46"/>
      <c r="BS592" s="45"/>
      <c r="BT592" s="46"/>
      <c r="BU592" s="45"/>
    </row>
    <row r="593" spans="1:73" ht="15">
      <c r="A593" s="61" t="s">
        <v>257</v>
      </c>
      <c r="B593" s="61" t="s">
        <v>537</v>
      </c>
      <c r="C593" s="62" t="s">
        <v>11697</v>
      </c>
      <c r="D593" s="63">
        <v>10</v>
      </c>
      <c r="E593" s="64" t="s">
        <v>136</v>
      </c>
      <c r="F593" s="65">
        <v>10</v>
      </c>
      <c r="G593" s="62"/>
      <c r="H593" s="66"/>
      <c r="I593" s="67"/>
      <c r="J593" s="67"/>
      <c r="K593" s="31" t="s">
        <v>65</v>
      </c>
      <c r="L593" s="75">
        <v>593</v>
      </c>
      <c r="M593" s="75"/>
      <c r="N593" s="69"/>
      <c r="O593" s="77" t="s">
        <v>539</v>
      </c>
      <c r="P593" s="79">
        <v>45153.433587962965</v>
      </c>
      <c r="Q593" s="77" t="s">
        <v>645</v>
      </c>
      <c r="R593" s="77">
        <v>3</v>
      </c>
      <c r="S593" s="77">
        <v>3</v>
      </c>
      <c r="T593" s="77">
        <v>0</v>
      </c>
      <c r="U593" s="77">
        <v>0</v>
      </c>
      <c r="V593" s="77">
        <v>153</v>
      </c>
      <c r="W593" s="81" t="s">
        <v>713</v>
      </c>
      <c r="X593" s="77"/>
      <c r="Y593" s="77"/>
      <c r="Z593" s="77" t="s">
        <v>807</v>
      </c>
      <c r="AA593" s="77" t="s">
        <v>839</v>
      </c>
      <c r="AB593" s="77" t="s">
        <v>848</v>
      </c>
      <c r="AC593" s="81" t="s">
        <v>855</v>
      </c>
      <c r="AD593" s="77" t="s">
        <v>859</v>
      </c>
      <c r="AE593" s="83" t="str">
        <f>HYPERLINK("https://twitter.com/pinakilaskar/status/1691395399448461312")</f>
        <v>https://twitter.com/pinakilaskar/status/1691395399448461312</v>
      </c>
      <c r="AF593" s="79">
        <v>45153.433587962965</v>
      </c>
      <c r="AG593" s="85">
        <v>45153</v>
      </c>
      <c r="AH593" s="81" t="s">
        <v>973</v>
      </c>
      <c r="AI593" s="77" t="b">
        <v>0</v>
      </c>
      <c r="AJ593" s="77"/>
      <c r="AK593" s="77"/>
      <c r="AL593" s="77"/>
      <c r="AM593" s="77"/>
      <c r="AN593" s="77"/>
      <c r="AO593" s="77"/>
      <c r="AP593" s="77"/>
      <c r="AQ593" s="77" t="s">
        <v>1018</v>
      </c>
      <c r="AR593" s="77"/>
      <c r="AS593" s="77"/>
      <c r="AT593" s="77"/>
      <c r="AU593" s="77"/>
      <c r="AV593" s="83" t="str">
        <f>HYPERLINK("https://pbs.twimg.com/media/F3kLJt8a0AAs-I1.jpg")</f>
        <v>https://pbs.twimg.com/media/F3kLJt8a0AAs-I1.jpg</v>
      </c>
      <c r="AW593" s="81" t="s">
        <v>1128</v>
      </c>
      <c r="AX593" s="81" t="s">
        <v>1128</v>
      </c>
      <c r="AY593" s="77"/>
      <c r="AZ593" s="81" t="s">
        <v>1190</v>
      </c>
      <c r="BA593" s="81" t="s">
        <v>1190</v>
      </c>
      <c r="BB593" s="81" t="s">
        <v>1190</v>
      </c>
      <c r="BC593" s="81" t="s">
        <v>1128</v>
      </c>
      <c r="BD593" s="81" t="s">
        <v>1213</v>
      </c>
      <c r="BE593" s="77"/>
      <c r="BF593" s="77"/>
      <c r="BG593" s="77"/>
      <c r="BH593" s="77"/>
      <c r="BI593" s="77"/>
      <c r="BJ593">
        <v>10</v>
      </c>
      <c r="BK593" s="76" t="str">
        <f>REPLACE(INDEX(GroupVertices[Group],MATCH(Edges[[#This Row],[Vertex 1]],GroupVertices[Vertex],0)),1,1,"")</f>
        <v>7</v>
      </c>
      <c r="BL593" s="76" t="str">
        <f>REPLACE(INDEX(GroupVertices[Group],MATCH(Edges[[#This Row],[Vertex 2]],GroupVertices[Vertex],0)),1,1,"")</f>
        <v>7</v>
      </c>
      <c r="BM593" s="45"/>
      <c r="BN593" s="46"/>
      <c r="BO593" s="45"/>
      <c r="BP593" s="46"/>
      <c r="BQ593" s="45"/>
      <c r="BR593" s="46"/>
      <c r="BS593" s="45"/>
      <c r="BT593" s="46"/>
      <c r="BU593" s="45"/>
    </row>
    <row r="594" spans="1:73" ht="15">
      <c r="A594" s="61" t="s">
        <v>257</v>
      </c>
      <c r="B594" s="61" t="s">
        <v>538</v>
      </c>
      <c r="C594" s="62" t="s">
        <v>11697</v>
      </c>
      <c r="D594" s="63">
        <v>10</v>
      </c>
      <c r="E594" s="64" t="s">
        <v>136</v>
      </c>
      <c r="F594" s="65">
        <v>10</v>
      </c>
      <c r="G594" s="62"/>
      <c r="H594" s="66"/>
      <c r="I594" s="67"/>
      <c r="J594" s="67"/>
      <c r="K594" s="31" t="s">
        <v>65</v>
      </c>
      <c r="L594" s="75">
        <v>594</v>
      </c>
      <c r="M594" s="75"/>
      <c r="N594" s="69"/>
      <c r="O594" s="77" t="s">
        <v>539</v>
      </c>
      <c r="P594" s="79">
        <v>45153.433587962965</v>
      </c>
      <c r="Q594" s="77" t="s">
        <v>645</v>
      </c>
      <c r="R594" s="77">
        <v>3</v>
      </c>
      <c r="S594" s="77">
        <v>3</v>
      </c>
      <c r="T594" s="77">
        <v>0</v>
      </c>
      <c r="U594" s="77">
        <v>0</v>
      </c>
      <c r="V594" s="77">
        <v>153</v>
      </c>
      <c r="W594" s="81" t="s">
        <v>713</v>
      </c>
      <c r="X594" s="77"/>
      <c r="Y594" s="77"/>
      <c r="Z594" s="77" t="s">
        <v>807</v>
      </c>
      <c r="AA594" s="77" t="s">
        <v>839</v>
      </c>
      <c r="AB594" s="77" t="s">
        <v>848</v>
      </c>
      <c r="AC594" s="81" t="s">
        <v>855</v>
      </c>
      <c r="AD594" s="77" t="s">
        <v>859</v>
      </c>
      <c r="AE594" s="83" t="str">
        <f>HYPERLINK("https://twitter.com/pinakilaskar/status/1691395399448461312")</f>
        <v>https://twitter.com/pinakilaskar/status/1691395399448461312</v>
      </c>
      <c r="AF594" s="79">
        <v>45153.433587962965</v>
      </c>
      <c r="AG594" s="85">
        <v>45153</v>
      </c>
      <c r="AH594" s="81" t="s">
        <v>973</v>
      </c>
      <c r="AI594" s="77" t="b">
        <v>0</v>
      </c>
      <c r="AJ594" s="77"/>
      <c r="AK594" s="77"/>
      <c r="AL594" s="77"/>
      <c r="AM594" s="77"/>
      <c r="AN594" s="77"/>
      <c r="AO594" s="77"/>
      <c r="AP594" s="77"/>
      <c r="AQ594" s="77" t="s">
        <v>1018</v>
      </c>
      <c r="AR594" s="77"/>
      <c r="AS594" s="77"/>
      <c r="AT594" s="77"/>
      <c r="AU594" s="77"/>
      <c r="AV594" s="83" t="str">
        <f>HYPERLINK("https://pbs.twimg.com/media/F3kLJt8a0AAs-I1.jpg")</f>
        <v>https://pbs.twimg.com/media/F3kLJt8a0AAs-I1.jpg</v>
      </c>
      <c r="AW594" s="81" t="s">
        <v>1128</v>
      </c>
      <c r="AX594" s="81" t="s">
        <v>1128</v>
      </c>
      <c r="AY594" s="77"/>
      <c r="AZ594" s="81" t="s">
        <v>1190</v>
      </c>
      <c r="BA594" s="81" t="s">
        <v>1190</v>
      </c>
      <c r="BB594" s="81" t="s">
        <v>1190</v>
      </c>
      <c r="BC594" s="81" t="s">
        <v>1128</v>
      </c>
      <c r="BD594" s="81" t="s">
        <v>1213</v>
      </c>
      <c r="BE594" s="77"/>
      <c r="BF594" s="77"/>
      <c r="BG594" s="77"/>
      <c r="BH594" s="77"/>
      <c r="BI594" s="77"/>
      <c r="BJ594">
        <v>13</v>
      </c>
      <c r="BK594" s="76" t="str">
        <f>REPLACE(INDEX(GroupVertices[Group],MATCH(Edges[[#This Row],[Vertex 1]],GroupVertices[Vertex],0)),1,1,"")</f>
        <v>7</v>
      </c>
      <c r="BL594" s="76" t="str">
        <f>REPLACE(INDEX(GroupVertices[Group],MATCH(Edges[[#This Row],[Vertex 2]],GroupVertices[Vertex],0)),1,1,"")</f>
        <v>7</v>
      </c>
      <c r="BM594" s="45"/>
      <c r="BN594" s="46"/>
      <c r="BO594" s="45"/>
      <c r="BP594" s="46"/>
      <c r="BQ594" s="45"/>
      <c r="BR594" s="46"/>
      <c r="BS594" s="45"/>
      <c r="BT594" s="46"/>
      <c r="BU594" s="45"/>
    </row>
    <row r="595" spans="1:73" ht="15">
      <c r="A595" s="61" t="s">
        <v>257</v>
      </c>
      <c r="B595" s="61" t="s">
        <v>258</v>
      </c>
      <c r="C595" s="62" t="s">
        <v>11695</v>
      </c>
      <c r="D595" s="63">
        <v>7.2</v>
      </c>
      <c r="E595" s="64" t="s">
        <v>132</v>
      </c>
      <c r="F595" s="65">
        <v>18.8</v>
      </c>
      <c r="G595" s="62"/>
      <c r="H595" s="66"/>
      <c r="I595" s="67"/>
      <c r="J595" s="67"/>
      <c r="K595" s="31" t="s">
        <v>65</v>
      </c>
      <c r="L595" s="75">
        <v>595</v>
      </c>
      <c r="M595" s="75"/>
      <c r="N595" s="69"/>
      <c r="O595" s="77" t="s">
        <v>539</v>
      </c>
      <c r="P595" s="79">
        <v>45153.433587962965</v>
      </c>
      <c r="Q595" s="77" t="s">
        <v>645</v>
      </c>
      <c r="R595" s="77">
        <v>3</v>
      </c>
      <c r="S595" s="77">
        <v>3</v>
      </c>
      <c r="T595" s="77">
        <v>0</v>
      </c>
      <c r="U595" s="77">
        <v>0</v>
      </c>
      <c r="V595" s="77">
        <v>153</v>
      </c>
      <c r="W595" s="81" t="s">
        <v>713</v>
      </c>
      <c r="X595" s="77"/>
      <c r="Y595" s="77"/>
      <c r="Z595" s="77" t="s">
        <v>807</v>
      </c>
      <c r="AA595" s="77" t="s">
        <v>839</v>
      </c>
      <c r="AB595" s="77" t="s">
        <v>848</v>
      </c>
      <c r="AC595" s="81" t="s">
        <v>855</v>
      </c>
      <c r="AD595" s="77" t="s">
        <v>859</v>
      </c>
      <c r="AE595" s="83" t="str">
        <f>HYPERLINK("https://twitter.com/pinakilaskar/status/1691395399448461312")</f>
        <v>https://twitter.com/pinakilaskar/status/1691395399448461312</v>
      </c>
      <c r="AF595" s="79">
        <v>45153.433587962965</v>
      </c>
      <c r="AG595" s="85">
        <v>45153</v>
      </c>
      <c r="AH595" s="81" t="s">
        <v>973</v>
      </c>
      <c r="AI595" s="77" t="b">
        <v>0</v>
      </c>
      <c r="AJ595" s="77"/>
      <c r="AK595" s="77"/>
      <c r="AL595" s="77"/>
      <c r="AM595" s="77"/>
      <c r="AN595" s="77"/>
      <c r="AO595" s="77"/>
      <c r="AP595" s="77"/>
      <c r="AQ595" s="77" t="s">
        <v>1018</v>
      </c>
      <c r="AR595" s="77"/>
      <c r="AS595" s="77"/>
      <c r="AT595" s="77"/>
      <c r="AU595" s="77"/>
      <c r="AV595" s="83" t="str">
        <f>HYPERLINK("https://pbs.twimg.com/media/F3kLJt8a0AAs-I1.jpg")</f>
        <v>https://pbs.twimg.com/media/F3kLJt8a0AAs-I1.jpg</v>
      </c>
      <c r="AW595" s="81" t="s">
        <v>1128</v>
      </c>
      <c r="AX595" s="81" t="s">
        <v>1128</v>
      </c>
      <c r="AY595" s="77"/>
      <c r="AZ595" s="81" t="s">
        <v>1190</v>
      </c>
      <c r="BA595" s="81" t="s">
        <v>1190</v>
      </c>
      <c r="BB595" s="81" t="s">
        <v>1190</v>
      </c>
      <c r="BC595" s="81" t="s">
        <v>1128</v>
      </c>
      <c r="BD595" s="81" t="s">
        <v>1213</v>
      </c>
      <c r="BE595" s="77"/>
      <c r="BF595" s="77"/>
      <c r="BG595" s="77"/>
      <c r="BH595" s="77"/>
      <c r="BI595" s="77"/>
      <c r="BJ595">
        <v>4</v>
      </c>
      <c r="BK595" s="76" t="str">
        <f>REPLACE(INDEX(GroupVertices[Group],MATCH(Edges[[#This Row],[Vertex 1]],GroupVertices[Vertex],0)),1,1,"")</f>
        <v>7</v>
      </c>
      <c r="BL595" s="76" t="str">
        <f>REPLACE(INDEX(GroupVertices[Group],MATCH(Edges[[#This Row],[Vertex 2]],GroupVertices[Vertex],0)),1,1,"")</f>
        <v>7</v>
      </c>
      <c r="BM595" s="45">
        <v>1</v>
      </c>
      <c r="BN595" s="46">
        <v>4.3478260869565215</v>
      </c>
      <c r="BO595" s="45">
        <v>0</v>
      </c>
      <c r="BP595" s="46">
        <v>0</v>
      </c>
      <c r="BQ595" s="45">
        <v>0</v>
      </c>
      <c r="BR595" s="46">
        <v>0</v>
      </c>
      <c r="BS595" s="45">
        <v>22</v>
      </c>
      <c r="BT595" s="46">
        <v>95.65217391304348</v>
      </c>
      <c r="BU595" s="45">
        <v>23</v>
      </c>
    </row>
    <row r="596" spans="1:73" ht="15">
      <c r="A596" s="61" t="s">
        <v>257</v>
      </c>
      <c r="B596" s="61" t="s">
        <v>526</v>
      </c>
      <c r="C596" s="62" t="s">
        <v>11696</v>
      </c>
      <c r="D596" s="63">
        <v>8.6</v>
      </c>
      <c r="E596" s="64" t="s">
        <v>136</v>
      </c>
      <c r="F596" s="65">
        <v>14.399999999999999</v>
      </c>
      <c r="G596" s="62"/>
      <c r="H596" s="66"/>
      <c r="I596" s="67"/>
      <c r="J596" s="67"/>
      <c r="K596" s="31" t="s">
        <v>65</v>
      </c>
      <c r="L596" s="75">
        <v>596</v>
      </c>
      <c r="M596" s="75"/>
      <c r="N596" s="69"/>
      <c r="O596" s="77" t="s">
        <v>539</v>
      </c>
      <c r="P596" s="79">
        <v>45159.19427083333</v>
      </c>
      <c r="Q596" s="77" t="s">
        <v>646</v>
      </c>
      <c r="R596" s="77">
        <v>5</v>
      </c>
      <c r="S596" s="77">
        <v>5</v>
      </c>
      <c r="T596" s="77">
        <v>0</v>
      </c>
      <c r="U596" s="77">
        <v>0</v>
      </c>
      <c r="V596" s="77">
        <v>193</v>
      </c>
      <c r="W596" s="81" t="s">
        <v>714</v>
      </c>
      <c r="X596" s="83" t="str">
        <f>HYPERLINK("https://www.linkedin.com/posts/pinakilaskar_aichips-edgeai-machinelearning-activity-7099246539562192897-nYgL")</f>
        <v>https://www.linkedin.com/posts/pinakilaskar_aichips-edgeai-machinelearning-activity-7099246539562192897-nYgL</v>
      </c>
      <c r="Y596" s="77" t="s">
        <v>749</v>
      </c>
      <c r="Z596" s="77" t="s">
        <v>808</v>
      </c>
      <c r="AA596" s="77"/>
      <c r="AB596" s="77"/>
      <c r="AC596" s="81" t="s">
        <v>855</v>
      </c>
      <c r="AD596" s="77" t="s">
        <v>859</v>
      </c>
      <c r="AE596" s="83" t="str">
        <f>HYPERLINK("https://twitter.com/pinakilaskar/status/1693483002544914649")</f>
        <v>https://twitter.com/pinakilaskar/status/1693483002544914649</v>
      </c>
      <c r="AF596" s="79">
        <v>45159.19427083333</v>
      </c>
      <c r="AG596" s="85">
        <v>45159</v>
      </c>
      <c r="AH596" s="81" t="s">
        <v>974</v>
      </c>
      <c r="AI596" s="77" t="b">
        <v>0</v>
      </c>
      <c r="AJ596" s="77"/>
      <c r="AK596" s="77"/>
      <c r="AL596" s="77"/>
      <c r="AM596" s="77"/>
      <c r="AN596" s="77"/>
      <c r="AO596" s="77"/>
      <c r="AP596" s="77"/>
      <c r="AQ596" s="77"/>
      <c r="AR596" s="77"/>
      <c r="AS596" s="77"/>
      <c r="AT596" s="77"/>
      <c r="AU596" s="77"/>
      <c r="AV596" s="83" t="str">
        <f>HYPERLINK("https://pbs.twimg.com/profile_images/1277223966705192966/aIT6N-WJ_normal.jpg")</f>
        <v>https://pbs.twimg.com/profile_images/1277223966705192966/aIT6N-WJ_normal.jpg</v>
      </c>
      <c r="AW596" s="81" t="s">
        <v>1129</v>
      </c>
      <c r="AX596" s="81" t="s">
        <v>1129</v>
      </c>
      <c r="AY596" s="77"/>
      <c r="AZ596" s="81" t="s">
        <v>1190</v>
      </c>
      <c r="BA596" s="81" t="s">
        <v>1190</v>
      </c>
      <c r="BB596" s="81" t="s">
        <v>1190</v>
      </c>
      <c r="BC596" s="81" t="s">
        <v>1129</v>
      </c>
      <c r="BD596" s="81" t="s">
        <v>1213</v>
      </c>
      <c r="BE596" s="77"/>
      <c r="BF596" s="77"/>
      <c r="BG596" s="77"/>
      <c r="BH596" s="77"/>
      <c r="BI596" s="77"/>
      <c r="BJ596">
        <v>5</v>
      </c>
      <c r="BK596" s="76" t="str">
        <f>REPLACE(INDEX(GroupVertices[Group],MATCH(Edges[[#This Row],[Vertex 1]],GroupVertices[Vertex],0)),1,1,"")</f>
        <v>7</v>
      </c>
      <c r="BL596" s="76" t="str">
        <f>REPLACE(INDEX(GroupVertices[Group],MATCH(Edges[[#This Row],[Vertex 2]],GroupVertices[Vertex],0)),1,1,"")</f>
        <v>7</v>
      </c>
      <c r="BM596" s="45"/>
      <c r="BN596" s="46"/>
      <c r="BO596" s="45"/>
      <c r="BP596" s="46"/>
      <c r="BQ596" s="45"/>
      <c r="BR596" s="46"/>
      <c r="BS596" s="45"/>
      <c r="BT596" s="46"/>
      <c r="BU596" s="45"/>
    </row>
    <row r="597" spans="1:73" ht="15">
      <c r="A597" s="61" t="s">
        <v>257</v>
      </c>
      <c r="B597" s="61" t="s">
        <v>527</v>
      </c>
      <c r="C597" s="62" t="s">
        <v>11695</v>
      </c>
      <c r="D597" s="63">
        <v>7.2</v>
      </c>
      <c r="E597" s="64" t="s">
        <v>132</v>
      </c>
      <c r="F597" s="65">
        <v>18.8</v>
      </c>
      <c r="G597" s="62"/>
      <c r="H597" s="66"/>
      <c r="I597" s="67"/>
      <c r="J597" s="67"/>
      <c r="K597" s="31" t="s">
        <v>65</v>
      </c>
      <c r="L597" s="75">
        <v>597</v>
      </c>
      <c r="M597" s="75"/>
      <c r="N597" s="69"/>
      <c r="O597" s="77" t="s">
        <v>539</v>
      </c>
      <c r="P597" s="79">
        <v>45159.19427083333</v>
      </c>
      <c r="Q597" s="77" t="s">
        <v>646</v>
      </c>
      <c r="R597" s="77">
        <v>5</v>
      </c>
      <c r="S597" s="77">
        <v>5</v>
      </c>
      <c r="T597" s="77">
        <v>0</v>
      </c>
      <c r="U597" s="77">
        <v>0</v>
      </c>
      <c r="V597" s="77">
        <v>193</v>
      </c>
      <c r="W597" s="81" t="s">
        <v>714</v>
      </c>
      <c r="X597" s="83" t="str">
        <f>HYPERLINK("https://www.linkedin.com/posts/pinakilaskar_aichips-edgeai-machinelearning-activity-7099246539562192897-nYgL")</f>
        <v>https://www.linkedin.com/posts/pinakilaskar_aichips-edgeai-machinelearning-activity-7099246539562192897-nYgL</v>
      </c>
      <c r="Y597" s="77" t="s">
        <v>749</v>
      </c>
      <c r="Z597" s="77" t="s">
        <v>808</v>
      </c>
      <c r="AA597" s="77"/>
      <c r="AB597" s="77"/>
      <c r="AC597" s="81" t="s">
        <v>855</v>
      </c>
      <c r="AD597" s="77" t="s">
        <v>859</v>
      </c>
      <c r="AE597" s="83" t="str">
        <f>HYPERLINK("https://twitter.com/pinakilaskar/status/1693483002544914649")</f>
        <v>https://twitter.com/pinakilaskar/status/1693483002544914649</v>
      </c>
      <c r="AF597" s="79">
        <v>45159.19427083333</v>
      </c>
      <c r="AG597" s="85">
        <v>45159</v>
      </c>
      <c r="AH597" s="81" t="s">
        <v>974</v>
      </c>
      <c r="AI597" s="77" t="b">
        <v>0</v>
      </c>
      <c r="AJ597" s="77"/>
      <c r="AK597" s="77"/>
      <c r="AL597" s="77"/>
      <c r="AM597" s="77"/>
      <c r="AN597" s="77"/>
      <c r="AO597" s="77"/>
      <c r="AP597" s="77"/>
      <c r="AQ597" s="77"/>
      <c r="AR597" s="77"/>
      <c r="AS597" s="77"/>
      <c r="AT597" s="77"/>
      <c r="AU597" s="77"/>
      <c r="AV597" s="83" t="str">
        <f>HYPERLINK("https://pbs.twimg.com/profile_images/1277223966705192966/aIT6N-WJ_normal.jpg")</f>
        <v>https://pbs.twimg.com/profile_images/1277223966705192966/aIT6N-WJ_normal.jpg</v>
      </c>
      <c r="AW597" s="81" t="s">
        <v>1129</v>
      </c>
      <c r="AX597" s="81" t="s">
        <v>1129</v>
      </c>
      <c r="AY597" s="77"/>
      <c r="AZ597" s="81" t="s">
        <v>1190</v>
      </c>
      <c r="BA597" s="81" t="s">
        <v>1190</v>
      </c>
      <c r="BB597" s="81" t="s">
        <v>1190</v>
      </c>
      <c r="BC597" s="81" t="s">
        <v>1129</v>
      </c>
      <c r="BD597" s="81" t="s">
        <v>1213</v>
      </c>
      <c r="BE597" s="77"/>
      <c r="BF597" s="77"/>
      <c r="BG597" s="77"/>
      <c r="BH597" s="77"/>
      <c r="BI597" s="77"/>
      <c r="BJ597">
        <v>4</v>
      </c>
      <c r="BK597" s="76" t="str">
        <f>REPLACE(INDEX(GroupVertices[Group],MATCH(Edges[[#This Row],[Vertex 1]],GroupVertices[Vertex],0)),1,1,"")</f>
        <v>7</v>
      </c>
      <c r="BL597" s="76" t="str">
        <f>REPLACE(INDEX(GroupVertices[Group],MATCH(Edges[[#This Row],[Vertex 2]],GroupVertices[Vertex],0)),1,1,"")</f>
        <v>7</v>
      </c>
      <c r="BM597" s="45"/>
      <c r="BN597" s="46"/>
      <c r="BO597" s="45"/>
      <c r="BP597" s="46"/>
      <c r="BQ597" s="45"/>
      <c r="BR597" s="46"/>
      <c r="BS597" s="45"/>
      <c r="BT597" s="46"/>
      <c r="BU597" s="45"/>
    </row>
    <row r="598" spans="1:73" ht="15">
      <c r="A598" s="61" t="s">
        <v>257</v>
      </c>
      <c r="B598" s="61" t="s">
        <v>228</v>
      </c>
      <c r="C598" s="62" t="s">
        <v>11697</v>
      </c>
      <c r="D598" s="63">
        <v>10</v>
      </c>
      <c r="E598" s="64" t="s">
        <v>136</v>
      </c>
      <c r="F598" s="65">
        <v>10</v>
      </c>
      <c r="G598" s="62"/>
      <c r="H598" s="66"/>
      <c r="I598" s="67"/>
      <c r="J598" s="67"/>
      <c r="K598" s="31" t="s">
        <v>65</v>
      </c>
      <c r="L598" s="75">
        <v>598</v>
      </c>
      <c r="M598" s="75"/>
      <c r="N598" s="69"/>
      <c r="O598" s="77" t="s">
        <v>539</v>
      </c>
      <c r="P598" s="79">
        <v>45159.19427083333</v>
      </c>
      <c r="Q598" s="77" t="s">
        <v>646</v>
      </c>
      <c r="R598" s="77">
        <v>5</v>
      </c>
      <c r="S598" s="77">
        <v>5</v>
      </c>
      <c r="T598" s="77">
        <v>0</v>
      </c>
      <c r="U598" s="77">
        <v>0</v>
      </c>
      <c r="V598" s="77">
        <v>193</v>
      </c>
      <c r="W598" s="81" t="s">
        <v>714</v>
      </c>
      <c r="X598" s="83" t="str">
        <f>HYPERLINK("https://www.linkedin.com/posts/pinakilaskar_aichips-edgeai-machinelearning-activity-7099246539562192897-nYgL")</f>
        <v>https://www.linkedin.com/posts/pinakilaskar_aichips-edgeai-machinelearning-activity-7099246539562192897-nYgL</v>
      </c>
      <c r="Y598" s="77" t="s">
        <v>749</v>
      </c>
      <c r="Z598" s="77" t="s">
        <v>808</v>
      </c>
      <c r="AA598" s="77"/>
      <c r="AB598" s="77"/>
      <c r="AC598" s="81" t="s">
        <v>855</v>
      </c>
      <c r="AD598" s="77" t="s">
        <v>859</v>
      </c>
      <c r="AE598" s="83" t="str">
        <f>HYPERLINK("https://twitter.com/pinakilaskar/status/1693483002544914649")</f>
        <v>https://twitter.com/pinakilaskar/status/1693483002544914649</v>
      </c>
      <c r="AF598" s="79">
        <v>45159.19427083333</v>
      </c>
      <c r="AG598" s="85">
        <v>45159</v>
      </c>
      <c r="AH598" s="81" t="s">
        <v>974</v>
      </c>
      <c r="AI598" s="77" t="b">
        <v>0</v>
      </c>
      <c r="AJ598" s="77"/>
      <c r="AK598" s="77"/>
      <c r="AL598" s="77"/>
      <c r="AM598" s="77"/>
      <c r="AN598" s="77"/>
      <c r="AO598" s="77"/>
      <c r="AP598" s="77"/>
      <c r="AQ598" s="77"/>
      <c r="AR598" s="77"/>
      <c r="AS598" s="77"/>
      <c r="AT598" s="77"/>
      <c r="AU598" s="77"/>
      <c r="AV598" s="83" t="str">
        <f>HYPERLINK("https://pbs.twimg.com/profile_images/1277223966705192966/aIT6N-WJ_normal.jpg")</f>
        <v>https://pbs.twimg.com/profile_images/1277223966705192966/aIT6N-WJ_normal.jpg</v>
      </c>
      <c r="AW598" s="81" t="s">
        <v>1129</v>
      </c>
      <c r="AX598" s="81" t="s">
        <v>1129</v>
      </c>
      <c r="AY598" s="77"/>
      <c r="AZ598" s="81" t="s">
        <v>1190</v>
      </c>
      <c r="BA598" s="81" t="s">
        <v>1190</v>
      </c>
      <c r="BB598" s="81" t="s">
        <v>1190</v>
      </c>
      <c r="BC598" s="81" t="s">
        <v>1129</v>
      </c>
      <c r="BD598" s="81" t="s">
        <v>1213</v>
      </c>
      <c r="BE598" s="77"/>
      <c r="BF598" s="77"/>
      <c r="BG598" s="77"/>
      <c r="BH598" s="77"/>
      <c r="BI598" s="77"/>
      <c r="BJ598">
        <v>13</v>
      </c>
      <c r="BK598" s="76" t="str">
        <f>REPLACE(INDEX(GroupVertices[Group],MATCH(Edges[[#This Row],[Vertex 1]],GroupVertices[Vertex],0)),1,1,"")</f>
        <v>7</v>
      </c>
      <c r="BL598" s="76" t="str">
        <f>REPLACE(INDEX(GroupVertices[Group],MATCH(Edges[[#This Row],[Vertex 2]],GroupVertices[Vertex],0)),1,1,"")</f>
        <v>2</v>
      </c>
      <c r="BM598" s="45"/>
      <c r="BN598" s="46"/>
      <c r="BO598" s="45"/>
      <c r="BP598" s="46"/>
      <c r="BQ598" s="45"/>
      <c r="BR598" s="46"/>
      <c r="BS598" s="45"/>
      <c r="BT598" s="46"/>
      <c r="BU598" s="45"/>
    </row>
    <row r="599" spans="1:73" ht="15">
      <c r="A599" s="61" t="s">
        <v>257</v>
      </c>
      <c r="B599" s="61" t="s">
        <v>528</v>
      </c>
      <c r="C599" s="62" t="s">
        <v>11697</v>
      </c>
      <c r="D599" s="63">
        <v>10</v>
      </c>
      <c r="E599" s="64" t="s">
        <v>136</v>
      </c>
      <c r="F599" s="65">
        <v>10</v>
      </c>
      <c r="G599" s="62"/>
      <c r="H599" s="66"/>
      <c r="I599" s="67"/>
      <c r="J599" s="67"/>
      <c r="K599" s="31" t="s">
        <v>65</v>
      </c>
      <c r="L599" s="75">
        <v>599</v>
      </c>
      <c r="M599" s="75"/>
      <c r="N599" s="69"/>
      <c r="O599" s="77" t="s">
        <v>539</v>
      </c>
      <c r="P599" s="79">
        <v>45159.19427083333</v>
      </c>
      <c r="Q599" s="77" t="s">
        <v>646</v>
      </c>
      <c r="R599" s="77">
        <v>5</v>
      </c>
      <c r="S599" s="77">
        <v>5</v>
      </c>
      <c r="T599" s="77">
        <v>0</v>
      </c>
      <c r="U599" s="77">
        <v>0</v>
      </c>
      <c r="V599" s="77">
        <v>193</v>
      </c>
      <c r="W599" s="81" t="s">
        <v>714</v>
      </c>
      <c r="X599" s="83" t="str">
        <f>HYPERLINK("https://www.linkedin.com/posts/pinakilaskar_aichips-edgeai-machinelearning-activity-7099246539562192897-nYgL")</f>
        <v>https://www.linkedin.com/posts/pinakilaskar_aichips-edgeai-machinelearning-activity-7099246539562192897-nYgL</v>
      </c>
      <c r="Y599" s="77" t="s">
        <v>749</v>
      </c>
      <c r="Z599" s="77" t="s">
        <v>808</v>
      </c>
      <c r="AA599" s="77"/>
      <c r="AB599" s="77"/>
      <c r="AC599" s="81" t="s">
        <v>855</v>
      </c>
      <c r="AD599" s="77" t="s">
        <v>859</v>
      </c>
      <c r="AE599" s="83" t="str">
        <f>HYPERLINK("https://twitter.com/pinakilaskar/status/1693483002544914649")</f>
        <v>https://twitter.com/pinakilaskar/status/1693483002544914649</v>
      </c>
      <c r="AF599" s="79">
        <v>45159.19427083333</v>
      </c>
      <c r="AG599" s="85">
        <v>45159</v>
      </c>
      <c r="AH599" s="81" t="s">
        <v>974</v>
      </c>
      <c r="AI599" s="77" t="b">
        <v>0</v>
      </c>
      <c r="AJ599" s="77"/>
      <c r="AK599" s="77"/>
      <c r="AL599" s="77"/>
      <c r="AM599" s="77"/>
      <c r="AN599" s="77"/>
      <c r="AO599" s="77"/>
      <c r="AP599" s="77"/>
      <c r="AQ599" s="77"/>
      <c r="AR599" s="77"/>
      <c r="AS599" s="77"/>
      <c r="AT599" s="77"/>
      <c r="AU599" s="77"/>
      <c r="AV599" s="83" t="str">
        <f>HYPERLINK("https://pbs.twimg.com/profile_images/1277223966705192966/aIT6N-WJ_normal.jpg")</f>
        <v>https://pbs.twimg.com/profile_images/1277223966705192966/aIT6N-WJ_normal.jpg</v>
      </c>
      <c r="AW599" s="81" t="s">
        <v>1129</v>
      </c>
      <c r="AX599" s="81" t="s">
        <v>1129</v>
      </c>
      <c r="AY599" s="77"/>
      <c r="AZ599" s="81" t="s">
        <v>1190</v>
      </c>
      <c r="BA599" s="81" t="s">
        <v>1190</v>
      </c>
      <c r="BB599" s="81" t="s">
        <v>1190</v>
      </c>
      <c r="BC599" s="81" t="s">
        <v>1129</v>
      </c>
      <c r="BD599" s="81" t="s">
        <v>1213</v>
      </c>
      <c r="BE599" s="77"/>
      <c r="BF599" s="77"/>
      <c r="BG599" s="77"/>
      <c r="BH599" s="77"/>
      <c r="BI599" s="77"/>
      <c r="BJ599">
        <v>8</v>
      </c>
      <c r="BK599" s="76" t="str">
        <f>REPLACE(INDEX(GroupVertices[Group],MATCH(Edges[[#This Row],[Vertex 1]],GroupVertices[Vertex],0)),1,1,"")</f>
        <v>7</v>
      </c>
      <c r="BL599" s="76" t="str">
        <f>REPLACE(INDEX(GroupVertices[Group],MATCH(Edges[[#This Row],[Vertex 2]],GroupVertices[Vertex],0)),1,1,"")</f>
        <v>7</v>
      </c>
      <c r="BM599" s="45"/>
      <c r="BN599" s="46"/>
      <c r="BO599" s="45"/>
      <c r="BP599" s="46"/>
      <c r="BQ599" s="45"/>
      <c r="BR599" s="46"/>
      <c r="BS599" s="45"/>
      <c r="BT599" s="46"/>
      <c r="BU599" s="45"/>
    </row>
    <row r="600" spans="1:73" ht="15">
      <c r="A600" s="61" t="s">
        <v>257</v>
      </c>
      <c r="B600" s="61" t="s">
        <v>529</v>
      </c>
      <c r="C600" s="62" t="s">
        <v>11697</v>
      </c>
      <c r="D600" s="63">
        <v>10</v>
      </c>
      <c r="E600" s="64" t="s">
        <v>136</v>
      </c>
      <c r="F600" s="65">
        <v>10</v>
      </c>
      <c r="G600" s="62"/>
      <c r="H600" s="66"/>
      <c r="I600" s="67"/>
      <c r="J600" s="67"/>
      <c r="K600" s="31" t="s">
        <v>65</v>
      </c>
      <c r="L600" s="75">
        <v>600</v>
      </c>
      <c r="M600" s="75"/>
      <c r="N600" s="69"/>
      <c r="O600" s="77" t="s">
        <v>539</v>
      </c>
      <c r="P600" s="79">
        <v>45159.19427083333</v>
      </c>
      <c r="Q600" s="77" t="s">
        <v>646</v>
      </c>
      <c r="R600" s="77">
        <v>5</v>
      </c>
      <c r="S600" s="77">
        <v>5</v>
      </c>
      <c r="T600" s="77">
        <v>0</v>
      </c>
      <c r="U600" s="77">
        <v>0</v>
      </c>
      <c r="V600" s="77">
        <v>193</v>
      </c>
      <c r="W600" s="81" t="s">
        <v>714</v>
      </c>
      <c r="X600" s="83" t="str">
        <f>HYPERLINK("https://www.linkedin.com/posts/pinakilaskar_aichips-edgeai-machinelearning-activity-7099246539562192897-nYgL")</f>
        <v>https://www.linkedin.com/posts/pinakilaskar_aichips-edgeai-machinelearning-activity-7099246539562192897-nYgL</v>
      </c>
      <c r="Y600" s="77" t="s">
        <v>749</v>
      </c>
      <c r="Z600" s="77" t="s">
        <v>808</v>
      </c>
      <c r="AA600" s="77"/>
      <c r="AB600" s="77"/>
      <c r="AC600" s="81" t="s">
        <v>855</v>
      </c>
      <c r="AD600" s="77" t="s">
        <v>859</v>
      </c>
      <c r="AE600" s="83" t="str">
        <f>HYPERLINK("https://twitter.com/pinakilaskar/status/1693483002544914649")</f>
        <v>https://twitter.com/pinakilaskar/status/1693483002544914649</v>
      </c>
      <c r="AF600" s="79">
        <v>45159.19427083333</v>
      </c>
      <c r="AG600" s="85">
        <v>45159</v>
      </c>
      <c r="AH600" s="81" t="s">
        <v>974</v>
      </c>
      <c r="AI600" s="77" t="b">
        <v>0</v>
      </c>
      <c r="AJ600" s="77"/>
      <c r="AK600" s="77"/>
      <c r="AL600" s="77"/>
      <c r="AM600" s="77"/>
      <c r="AN600" s="77"/>
      <c r="AO600" s="77"/>
      <c r="AP600" s="77"/>
      <c r="AQ600" s="77"/>
      <c r="AR600" s="77"/>
      <c r="AS600" s="77"/>
      <c r="AT600" s="77"/>
      <c r="AU600" s="77"/>
      <c r="AV600" s="83" t="str">
        <f>HYPERLINK("https://pbs.twimg.com/profile_images/1277223966705192966/aIT6N-WJ_normal.jpg")</f>
        <v>https://pbs.twimg.com/profile_images/1277223966705192966/aIT6N-WJ_normal.jpg</v>
      </c>
      <c r="AW600" s="81" t="s">
        <v>1129</v>
      </c>
      <c r="AX600" s="81" t="s">
        <v>1129</v>
      </c>
      <c r="AY600" s="77"/>
      <c r="AZ600" s="81" t="s">
        <v>1190</v>
      </c>
      <c r="BA600" s="81" t="s">
        <v>1190</v>
      </c>
      <c r="BB600" s="81" t="s">
        <v>1190</v>
      </c>
      <c r="BC600" s="81" t="s">
        <v>1129</v>
      </c>
      <c r="BD600" s="81" t="s">
        <v>1213</v>
      </c>
      <c r="BE600" s="77"/>
      <c r="BF600" s="77"/>
      <c r="BG600" s="77"/>
      <c r="BH600" s="77"/>
      <c r="BI600" s="77"/>
      <c r="BJ600">
        <v>13</v>
      </c>
      <c r="BK600" s="76" t="str">
        <f>REPLACE(INDEX(GroupVertices[Group],MATCH(Edges[[#This Row],[Vertex 1]],GroupVertices[Vertex],0)),1,1,"")</f>
        <v>7</v>
      </c>
      <c r="BL600" s="76" t="str">
        <f>REPLACE(INDEX(GroupVertices[Group],MATCH(Edges[[#This Row],[Vertex 2]],GroupVertices[Vertex],0)),1,1,"")</f>
        <v>7</v>
      </c>
      <c r="BM600" s="45"/>
      <c r="BN600" s="46"/>
      <c r="BO600" s="45"/>
      <c r="BP600" s="46"/>
      <c r="BQ600" s="45"/>
      <c r="BR600" s="46"/>
      <c r="BS600" s="45"/>
      <c r="BT600" s="46"/>
      <c r="BU600" s="45"/>
    </row>
    <row r="601" spans="1:73" ht="15">
      <c r="A601" s="61" t="s">
        <v>257</v>
      </c>
      <c r="B601" s="61" t="s">
        <v>530</v>
      </c>
      <c r="C601" s="62" t="s">
        <v>11697</v>
      </c>
      <c r="D601" s="63">
        <v>10</v>
      </c>
      <c r="E601" s="64" t="s">
        <v>136</v>
      </c>
      <c r="F601" s="65">
        <v>10</v>
      </c>
      <c r="G601" s="62"/>
      <c r="H601" s="66"/>
      <c r="I601" s="67"/>
      <c r="J601" s="67"/>
      <c r="K601" s="31" t="s">
        <v>65</v>
      </c>
      <c r="L601" s="75">
        <v>601</v>
      </c>
      <c r="M601" s="75"/>
      <c r="N601" s="69"/>
      <c r="O601" s="77" t="s">
        <v>539</v>
      </c>
      <c r="P601" s="79">
        <v>45159.19427083333</v>
      </c>
      <c r="Q601" s="77" t="s">
        <v>646</v>
      </c>
      <c r="R601" s="77">
        <v>5</v>
      </c>
      <c r="S601" s="77">
        <v>5</v>
      </c>
      <c r="T601" s="77">
        <v>0</v>
      </c>
      <c r="U601" s="77">
        <v>0</v>
      </c>
      <c r="V601" s="77">
        <v>193</v>
      </c>
      <c r="W601" s="81" t="s">
        <v>714</v>
      </c>
      <c r="X601" s="83" t="str">
        <f>HYPERLINK("https://www.linkedin.com/posts/pinakilaskar_aichips-edgeai-machinelearning-activity-7099246539562192897-nYgL")</f>
        <v>https://www.linkedin.com/posts/pinakilaskar_aichips-edgeai-machinelearning-activity-7099246539562192897-nYgL</v>
      </c>
      <c r="Y601" s="77" t="s">
        <v>749</v>
      </c>
      <c r="Z601" s="77" t="s">
        <v>808</v>
      </c>
      <c r="AA601" s="77"/>
      <c r="AB601" s="77"/>
      <c r="AC601" s="81" t="s">
        <v>855</v>
      </c>
      <c r="AD601" s="77" t="s">
        <v>859</v>
      </c>
      <c r="AE601" s="83" t="str">
        <f>HYPERLINK("https://twitter.com/pinakilaskar/status/1693483002544914649")</f>
        <v>https://twitter.com/pinakilaskar/status/1693483002544914649</v>
      </c>
      <c r="AF601" s="79">
        <v>45159.19427083333</v>
      </c>
      <c r="AG601" s="85">
        <v>45159</v>
      </c>
      <c r="AH601" s="81" t="s">
        <v>974</v>
      </c>
      <c r="AI601" s="77" t="b">
        <v>0</v>
      </c>
      <c r="AJ601" s="77"/>
      <c r="AK601" s="77"/>
      <c r="AL601" s="77"/>
      <c r="AM601" s="77"/>
      <c r="AN601" s="77"/>
      <c r="AO601" s="77"/>
      <c r="AP601" s="77"/>
      <c r="AQ601" s="77"/>
      <c r="AR601" s="77"/>
      <c r="AS601" s="77"/>
      <c r="AT601" s="77"/>
      <c r="AU601" s="77"/>
      <c r="AV601" s="83" t="str">
        <f>HYPERLINK("https://pbs.twimg.com/profile_images/1277223966705192966/aIT6N-WJ_normal.jpg")</f>
        <v>https://pbs.twimg.com/profile_images/1277223966705192966/aIT6N-WJ_normal.jpg</v>
      </c>
      <c r="AW601" s="81" t="s">
        <v>1129</v>
      </c>
      <c r="AX601" s="81" t="s">
        <v>1129</v>
      </c>
      <c r="AY601" s="77"/>
      <c r="AZ601" s="81" t="s">
        <v>1190</v>
      </c>
      <c r="BA601" s="81" t="s">
        <v>1190</v>
      </c>
      <c r="BB601" s="81" t="s">
        <v>1190</v>
      </c>
      <c r="BC601" s="81" t="s">
        <v>1129</v>
      </c>
      <c r="BD601" s="81" t="s">
        <v>1213</v>
      </c>
      <c r="BE601" s="77"/>
      <c r="BF601" s="77"/>
      <c r="BG601" s="77"/>
      <c r="BH601" s="77"/>
      <c r="BI601" s="77"/>
      <c r="BJ601">
        <v>10</v>
      </c>
      <c r="BK601" s="76" t="str">
        <f>REPLACE(INDEX(GroupVertices[Group],MATCH(Edges[[#This Row],[Vertex 1]],GroupVertices[Vertex],0)),1,1,"")</f>
        <v>7</v>
      </c>
      <c r="BL601" s="76" t="str">
        <f>REPLACE(INDEX(GroupVertices[Group],MATCH(Edges[[#This Row],[Vertex 2]],GroupVertices[Vertex],0)),1,1,"")</f>
        <v>7</v>
      </c>
      <c r="BM601" s="45"/>
      <c r="BN601" s="46"/>
      <c r="BO601" s="45"/>
      <c r="BP601" s="46"/>
      <c r="BQ601" s="45"/>
      <c r="BR601" s="46"/>
      <c r="BS601" s="45"/>
      <c r="BT601" s="46"/>
      <c r="BU601" s="45"/>
    </row>
    <row r="602" spans="1:73" ht="15">
      <c r="A602" s="61" t="s">
        <v>257</v>
      </c>
      <c r="B602" s="61" t="s">
        <v>531</v>
      </c>
      <c r="C602" s="62" t="s">
        <v>11697</v>
      </c>
      <c r="D602" s="63">
        <v>10</v>
      </c>
      <c r="E602" s="64" t="s">
        <v>136</v>
      </c>
      <c r="F602" s="65">
        <v>10</v>
      </c>
      <c r="G602" s="62"/>
      <c r="H602" s="66"/>
      <c r="I602" s="67"/>
      <c r="J602" s="67"/>
      <c r="K602" s="31" t="s">
        <v>65</v>
      </c>
      <c r="L602" s="75">
        <v>602</v>
      </c>
      <c r="M602" s="75"/>
      <c r="N602" s="69"/>
      <c r="O602" s="77" t="s">
        <v>539</v>
      </c>
      <c r="P602" s="79">
        <v>45159.19427083333</v>
      </c>
      <c r="Q602" s="77" t="s">
        <v>646</v>
      </c>
      <c r="R602" s="77">
        <v>5</v>
      </c>
      <c r="S602" s="77">
        <v>5</v>
      </c>
      <c r="T602" s="77">
        <v>0</v>
      </c>
      <c r="U602" s="77">
        <v>0</v>
      </c>
      <c r="V602" s="77">
        <v>193</v>
      </c>
      <c r="W602" s="81" t="s">
        <v>714</v>
      </c>
      <c r="X602" s="83" t="str">
        <f>HYPERLINK("https://www.linkedin.com/posts/pinakilaskar_aichips-edgeai-machinelearning-activity-7099246539562192897-nYgL")</f>
        <v>https://www.linkedin.com/posts/pinakilaskar_aichips-edgeai-machinelearning-activity-7099246539562192897-nYgL</v>
      </c>
      <c r="Y602" s="77" t="s">
        <v>749</v>
      </c>
      <c r="Z602" s="77" t="s">
        <v>808</v>
      </c>
      <c r="AA602" s="77"/>
      <c r="AB602" s="77"/>
      <c r="AC602" s="81" t="s">
        <v>855</v>
      </c>
      <c r="AD602" s="77" t="s">
        <v>859</v>
      </c>
      <c r="AE602" s="83" t="str">
        <f>HYPERLINK("https://twitter.com/pinakilaskar/status/1693483002544914649")</f>
        <v>https://twitter.com/pinakilaskar/status/1693483002544914649</v>
      </c>
      <c r="AF602" s="79">
        <v>45159.19427083333</v>
      </c>
      <c r="AG602" s="85">
        <v>45159</v>
      </c>
      <c r="AH602" s="81" t="s">
        <v>974</v>
      </c>
      <c r="AI602" s="77" t="b">
        <v>0</v>
      </c>
      <c r="AJ602" s="77"/>
      <c r="AK602" s="77"/>
      <c r="AL602" s="77"/>
      <c r="AM602" s="77"/>
      <c r="AN602" s="77"/>
      <c r="AO602" s="77"/>
      <c r="AP602" s="77"/>
      <c r="AQ602" s="77"/>
      <c r="AR602" s="77"/>
      <c r="AS602" s="77"/>
      <c r="AT602" s="77"/>
      <c r="AU602" s="77"/>
      <c r="AV602" s="83" t="str">
        <f>HYPERLINK("https://pbs.twimg.com/profile_images/1277223966705192966/aIT6N-WJ_normal.jpg")</f>
        <v>https://pbs.twimg.com/profile_images/1277223966705192966/aIT6N-WJ_normal.jpg</v>
      </c>
      <c r="AW602" s="81" t="s">
        <v>1129</v>
      </c>
      <c r="AX602" s="81" t="s">
        <v>1129</v>
      </c>
      <c r="AY602" s="77"/>
      <c r="AZ602" s="81" t="s">
        <v>1190</v>
      </c>
      <c r="BA602" s="81" t="s">
        <v>1190</v>
      </c>
      <c r="BB602" s="81" t="s">
        <v>1190</v>
      </c>
      <c r="BC602" s="81" t="s">
        <v>1129</v>
      </c>
      <c r="BD602" s="81" t="s">
        <v>1213</v>
      </c>
      <c r="BE602" s="77"/>
      <c r="BF602" s="77"/>
      <c r="BG602" s="77"/>
      <c r="BH602" s="77"/>
      <c r="BI602" s="77"/>
      <c r="BJ602">
        <v>9</v>
      </c>
      <c r="BK602" s="76" t="str">
        <f>REPLACE(INDEX(GroupVertices[Group],MATCH(Edges[[#This Row],[Vertex 1]],GroupVertices[Vertex],0)),1,1,"")</f>
        <v>7</v>
      </c>
      <c r="BL602" s="76" t="str">
        <f>REPLACE(INDEX(GroupVertices[Group],MATCH(Edges[[#This Row],[Vertex 2]],GroupVertices[Vertex],0)),1,1,"")</f>
        <v>7</v>
      </c>
      <c r="BM602" s="45"/>
      <c r="BN602" s="46"/>
      <c r="BO602" s="45"/>
      <c r="BP602" s="46"/>
      <c r="BQ602" s="45"/>
      <c r="BR602" s="46"/>
      <c r="BS602" s="45"/>
      <c r="BT602" s="46"/>
      <c r="BU602" s="45"/>
    </row>
    <row r="603" spans="1:73" ht="15">
      <c r="A603" s="61" t="s">
        <v>257</v>
      </c>
      <c r="B603" s="61" t="s">
        <v>532</v>
      </c>
      <c r="C603" s="62" t="s">
        <v>11697</v>
      </c>
      <c r="D603" s="63">
        <v>10</v>
      </c>
      <c r="E603" s="64" t="s">
        <v>136</v>
      </c>
      <c r="F603" s="65">
        <v>10</v>
      </c>
      <c r="G603" s="62"/>
      <c r="H603" s="66"/>
      <c r="I603" s="67"/>
      <c r="J603" s="67"/>
      <c r="K603" s="31" t="s">
        <v>65</v>
      </c>
      <c r="L603" s="75">
        <v>603</v>
      </c>
      <c r="M603" s="75"/>
      <c r="N603" s="69"/>
      <c r="O603" s="77" t="s">
        <v>539</v>
      </c>
      <c r="P603" s="79">
        <v>45159.19427083333</v>
      </c>
      <c r="Q603" s="77" t="s">
        <v>646</v>
      </c>
      <c r="R603" s="77">
        <v>5</v>
      </c>
      <c r="S603" s="77">
        <v>5</v>
      </c>
      <c r="T603" s="77">
        <v>0</v>
      </c>
      <c r="U603" s="77">
        <v>0</v>
      </c>
      <c r="V603" s="77">
        <v>193</v>
      </c>
      <c r="W603" s="81" t="s">
        <v>714</v>
      </c>
      <c r="X603" s="83" t="str">
        <f>HYPERLINK("https://www.linkedin.com/posts/pinakilaskar_aichips-edgeai-machinelearning-activity-7099246539562192897-nYgL")</f>
        <v>https://www.linkedin.com/posts/pinakilaskar_aichips-edgeai-machinelearning-activity-7099246539562192897-nYgL</v>
      </c>
      <c r="Y603" s="77" t="s">
        <v>749</v>
      </c>
      <c r="Z603" s="77" t="s">
        <v>808</v>
      </c>
      <c r="AA603" s="77"/>
      <c r="AB603" s="77"/>
      <c r="AC603" s="81" t="s">
        <v>855</v>
      </c>
      <c r="AD603" s="77" t="s">
        <v>859</v>
      </c>
      <c r="AE603" s="83" t="str">
        <f>HYPERLINK("https://twitter.com/pinakilaskar/status/1693483002544914649")</f>
        <v>https://twitter.com/pinakilaskar/status/1693483002544914649</v>
      </c>
      <c r="AF603" s="79">
        <v>45159.19427083333</v>
      </c>
      <c r="AG603" s="85">
        <v>45159</v>
      </c>
      <c r="AH603" s="81" t="s">
        <v>974</v>
      </c>
      <c r="AI603" s="77" t="b">
        <v>0</v>
      </c>
      <c r="AJ603" s="77"/>
      <c r="AK603" s="77"/>
      <c r="AL603" s="77"/>
      <c r="AM603" s="77"/>
      <c r="AN603" s="77"/>
      <c r="AO603" s="77"/>
      <c r="AP603" s="77"/>
      <c r="AQ603" s="77"/>
      <c r="AR603" s="77"/>
      <c r="AS603" s="77"/>
      <c r="AT603" s="77"/>
      <c r="AU603" s="77"/>
      <c r="AV603" s="83" t="str">
        <f>HYPERLINK("https://pbs.twimg.com/profile_images/1277223966705192966/aIT6N-WJ_normal.jpg")</f>
        <v>https://pbs.twimg.com/profile_images/1277223966705192966/aIT6N-WJ_normal.jpg</v>
      </c>
      <c r="AW603" s="81" t="s">
        <v>1129</v>
      </c>
      <c r="AX603" s="81" t="s">
        <v>1129</v>
      </c>
      <c r="AY603" s="77"/>
      <c r="AZ603" s="81" t="s">
        <v>1190</v>
      </c>
      <c r="BA603" s="81" t="s">
        <v>1190</v>
      </c>
      <c r="BB603" s="81" t="s">
        <v>1190</v>
      </c>
      <c r="BC603" s="81" t="s">
        <v>1129</v>
      </c>
      <c r="BD603" s="81" t="s">
        <v>1213</v>
      </c>
      <c r="BE603" s="77"/>
      <c r="BF603" s="77"/>
      <c r="BG603" s="77"/>
      <c r="BH603" s="77"/>
      <c r="BI603" s="77"/>
      <c r="BJ603">
        <v>13</v>
      </c>
      <c r="BK603" s="76" t="str">
        <f>REPLACE(INDEX(GroupVertices[Group],MATCH(Edges[[#This Row],[Vertex 1]],GroupVertices[Vertex],0)),1,1,"")</f>
        <v>7</v>
      </c>
      <c r="BL603" s="76" t="str">
        <f>REPLACE(INDEX(GroupVertices[Group],MATCH(Edges[[#This Row],[Vertex 2]],GroupVertices[Vertex],0)),1,1,"")</f>
        <v>7</v>
      </c>
      <c r="BM603" s="45"/>
      <c r="BN603" s="46"/>
      <c r="BO603" s="45"/>
      <c r="BP603" s="46"/>
      <c r="BQ603" s="45"/>
      <c r="BR603" s="46"/>
      <c r="BS603" s="45"/>
      <c r="BT603" s="46"/>
      <c r="BU603" s="45"/>
    </row>
    <row r="604" spans="1:73" ht="15">
      <c r="A604" s="61" t="s">
        <v>257</v>
      </c>
      <c r="B604" s="61" t="s">
        <v>533</v>
      </c>
      <c r="C604" s="62" t="s">
        <v>11697</v>
      </c>
      <c r="D604" s="63">
        <v>10</v>
      </c>
      <c r="E604" s="64" t="s">
        <v>136</v>
      </c>
      <c r="F604" s="65">
        <v>10</v>
      </c>
      <c r="G604" s="62"/>
      <c r="H604" s="66"/>
      <c r="I604" s="67"/>
      <c r="J604" s="67"/>
      <c r="K604" s="31" t="s">
        <v>65</v>
      </c>
      <c r="L604" s="75">
        <v>604</v>
      </c>
      <c r="M604" s="75"/>
      <c r="N604" s="69"/>
      <c r="O604" s="77" t="s">
        <v>539</v>
      </c>
      <c r="P604" s="79">
        <v>45159.19427083333</v>
      </c>
      <c r="Q604" s="77" t="s">
        <v>646</v>
      </c>
      <c r="R604" s="77">
        <v>5</v>
      </c>
      <c r="S604" s="77">
        <v>5</v>
      </c>
      <c r="T604" s="77">
        <v>0</v>
      </c>
      <c r="U604" s="77">
        <v>0</v>
      </c>
      <c r="V604" s="77">
        <v>193</v>
      </c>
      <c r="W604" s="81" t="s">
        <v>714</v>
      </c>
      <c r="X604" s="83" t="str">
        <f>HYPERLINK("https://www.linkedin.com/posts/pinakilaskar_aichips-edgeai-machinelearning-activity-7099246539562192897-nYgL")</f>
        <v>https://www.linkedin.com/posts/pinakilaskar_aichips-edgeai-machinelearning-activity-7099246539562192897-nYgL</v>
      </c>
      <c r="Y604" s="77" t="s">
        <v>749</v>
      </c>
      <c r="Z604" s="77" t="s">
        <v>808</v>
      </c>
      <c r="AA604" s="77"/>
      <c r="AB604" s="77"/>
      <c r="AC604" s="81" t="s">
        <v>855</v>
      </c>
      <c r="AD604" s="77" t="s">
        <v>859</v>
      </c>
      <c r="AE604" s="83" t="str">
        <f>HYPERLINK("https://twitter.com/pinakilaskar/status/1693483002544914649")</f>
        <v>https://twitter.com/pinakilaskar/status/1693483002544914649</v>
      </c>
      <c r="AF604" s="79">
        <v>45159.19427083333</v>
      </c>
      <c r="AG604" s="85">
        <v>45159</v>
      </c>
      <c r="AH604" s="81" t="s">
        <v>974</v>
      </c>
      <c r="AI604" s="77" t="b">
        <v>0</v>
      </c>
      <c r="AJ604" s="77"/>
      <c r="AK604" s="77"/>
      <c r="AL604" s="77"/>
      <c r="AM604" s="77"/>
      <c r="AN604" s="77"/>
      <c r="AO604" s="77"/>
      <c r="AP604" s="77"/>
      <c r="AQ604" s="77"/>
      <c r="AR604" s="77"/>
      <c r="AS604" s="77"/>
      <c r="AT604" s="77"/>
      <c r="AU604" s="77"/>
      <c r="AV604" s="83" t="str">
        <f>HYPERLINK("https://pbs.twimg.com/profile_images/1277223966705192966/aIT6N-WJ_normal.jpg")</f>
        <v>https://pbs.twimg.com/profile_images/1277223966705192966/aIT6N-WJ_normal.jpg</v>
      </c>
      <c r="AW604" s="81" t="s">
        <v>1129</v>
      </c>
      <c r="AX604" s="81" t="s">
        <v>1129</v>
      </c>
      <c r="AY604" s="77"/>
      <c r="AZ604" s="81" t="s">
        <v>1190</v>
      </c>
      <c r="BA604" s="81" t="s">
        <v>1190</v>
      </c>
      <c r="BB604" s="81" t="s">
        <v>1190</v>
      </c>
      <c r="BC604" s="81" t="s">
        <v>1129</v>
      </c>
      <c r="BD604" s="81" t="s">
        <v>1213</v>
      </c>
      <c r="BE604" s="77"/>
      <c r="BF604" s="77"/>
      <c r="BG604" s="77"/>
      <c r="BH604" s="77"/>
      <c r="BI604" s="77"/>
      <c r="BJ604">
        <v>13</v>
      </c>
      <c r="BK604" s="76" t="str">
        <f>REPLACE(INDEX(GroupVertices[Group],MATCH(Edges[[#This Row],[Vertex 1]],GroupVertices[Vertex],0)),1,1,"")</f>
        <v>7</v>
      </c>
      <c r="BL604" s="76" t="str">
        <f>REPLACE(INDEX(GroupVertices[Group],MATCH(Edges[[#This Row],[Vertex 2]],GroupVertices[Vertex],0)),1,1,"")</f>
        <v>7</v>
      </c>
      <c r="BM604" s="45"/>
      <c r="BN604" s="46"/>
      <c r="BO604" s="45"/>
      <c r="BP604" s="46"/>
      <c r="BQ604" s="45"/>
      <c r="BR604" s="46"/>
      <c r="BS604" s="45"/>
      <c r="BT604" s="46"/>
      <c r="BU604" s="45"/>
    </row>
    <row r="605" spans="1:73" ht="15">
      <c r="A605" s="61" t="s">
        <v>257</v>
      </c>
      <c r="B605" s="61" t="s">
        <v>534</v>
      </c>
      <c r="C605" s="62" t="s">
        <v>11697</v>
      </c>
      <c r="D605" s="63">
        <v>10</v>
      </c>
      <c r="E605" s="64" t="s">
        <v>136</v>
      </c>
      <c r="F605" s="65">
        <v>10</v>
      </c>
      <c r="G605" s="62"/>
      <c r="H605" s="66"/>
      <c r="I605" s="67"/>
      <c r="J605" s="67"/>
      <c r="K605" s="31" t="s">
        <v>65</v>
      </c>
      <c r="L605" s="75">
        <v>605</v>
      </c>
      <c r="M605" s="75"/>
      <c r="N605" s="69"/>
      <c r="O605" s="77" t="s">
        <v>539</v>
      </c>
      <c r="P605" s="79">
        <v>45159.19427083333</v>
      </c>
      <c r="Q605" s="77" t="s">
        <v>646</v>
      </c>
      <c r="R605" s="77">
        <v>5</v>
      </c>
      <c r="S605" s="77">
        <v>5</v>
      </c>
      <c r="T605" s="77">
        <v>0</v>
      </c>
      <c r="U605" s="77">
        <v>0</v>
      </c>
      <c r="V605" s="77">
        <v>193</v>
      </c>
      <c r="W605" s="81" t="s">
        <v>714</v>
      </c>
      <c r="X605" s="83" t="str">
        <f>HYPERLINK("https://www.linkedin.com/posts/pinakilaskar_aichips-edgeai-machinelearning-activity-7099246539562192897-nYgL")</f>
        <v>https://www.linkedin.com/posts/pinakilaskar_aichips-edgeai-machinelearning-activity-7099246539562192897-nYgL</v>
      </c>
      <c r="Y605" s="77" t="s">
        <v>749</v>
      </c>
      <c r="Z605" s="77" t="s">
        <v>808</v>
      </c>
      <c r="AA605" s="77"/>
      <c r="AB605" s="77"/>
      <c r="AC605" s="81" t="s">
        <v>855</v>
      </c>
      <c r="AD605" s="77" t="s">
        <v>859</v>
      </c>
      <c r="AE605" s="83" t="str">
        <f>HYPERLINK("https://twitter.com/pinakilaskar/status/1693483002544914649")</f>
        <v>https://twitter.com/pinakilaskar/status/1693483002544914649</v>
      </c>
      <c r="AF605" s="79">
        <v>45159.19427083333</v>
      </c>
      <c r="AG605" s="85">
        <v>45159</v>
      </c>
      <c r="AH605" s="81" t="s">
        <v>974</v>
      </c>
      <c r="AI605" s="77" t="b">
        <v>0</v>
      </c>
      <c r="AJ605" s="77"/>
      <c r="AK605" s="77"/>
      <c r="AL605" s="77"/>
      <c r="AM605" s="77"/>
      <c r="AN605" s="77"/>
      <c r="AO605" s="77"/>
      <c r="AP605" s="77"/>
      <c r="AQ605" s="77"/>
      <c r="AR605" s="77"/>
      <c r="AS605" s="77"/>
      <c r="AT605" s="77"/>
      <c r="AU605" s="77"/>
      <c r="AV605" s="83" t="str">
        <f>HYPERLINK("https://pbs.twimg.com/profile_images/1277223966705192966/aIT6N-WJ_normal.jpg")</f>
        <v>https://pbs.twimg.com/profile_images/1277223966705192966/aIT6N-WJ_normal.jpg</v>
      </c>
      <c r="AW605" s="81" t="s">
        <v>1129</v>
      </c>
      <c r="AX605" s="81" t="s">
        <v>1129</v>
      </c>
      <c r="AY605" s="77"/>
      <c r="AZ605" s="81" t="s">
        <v>1190</v>
      </c>
      <c r="BA605" s="81" t="s">
        <v>1190</v>
      </c>
      <c r="BB605" s="81" t="s">
        <v>1190</v>
      </c>
      <c r="BC605" s="81" t="s">
        <v>1129</v>
      </c>
      <c r="BD605" s="81" t="s">
        <v>1213</v>
      </c>
      <c r="BE605" s="77"/>
      <c r="BF605" s="77"/>
      <c r="BG605" s="77"/>
      <c r="BH605" s="77"/>
      <c r="BI605" s="77"/>
      <c r="BJ605">
        <v>9</v>
      </c>
      <c r="BK605" s="76" t="str">
        <f>REPLACE(INDEX(GroupVertices[Group],MATCH(Edges[[#This Row],[Vertex 1]],GroupVertices[Vertex],0)),1,1,"")</f>
        <v>7</v>
      </c>
      <c r="BL605" s="76" t="str">
        <f>REPLACE(INDEX(GroupVertices[Group],MATCH(Edges[[#This Row],[Vertex 2]],GroupVertices[Vertex],0)),1,1,"")</f>
        <v>7</v>
      </c>
      <c r="BM605" s="45"/>
      <c r="BN605" s="46"/>
      <c r="BO605" s="45"/>
      <c r="BP605" s="46"/>
      <c r="BQ605" s="45"/>
      <c r="BR605" s="46"/>
      <c r="BS605" s="45"/>
      <c r="BT605" s="46"/>
      <c r="BU605" s="45"/>
    </row>
    <row r="606" spans="1:73" ht="15">
      <c r="A606" s="61" t="s">
        <v>257</v>
      </c>
      <c r="B606" s="61" t="s">
        <v>535</v>
      </c>
      <c r="C606" s="62" t="s">
        <v>11697</v>
      </c>
      <c r="D606" s="63">
        <v>10</v>
      </c>
      <c r="E606" s="64" t="s">
        <v>136</v>
      </c>
      <c r="F606" s="65">
        <v>10</v>
      </c>
      <c r="G606" s="62"/>
      <c r="H606" s="66"/>
      <c r="I606" s="67"/>
      <c r="J606" s="67"/>
      <c r="K606" s="31" t="s">
        <v>65</v>
      </c>
      <c r="L606" s="75">
        <v>606</v>
      </c>
      <c r="M606" s="75"/>
      <c r="N606" s="69"/>
      <c r="O606" s="77" t="s">
        <v>539</v>
      </c>
      <c r="P606" s="79">
        <v>45159.19427083333</v>
      </c>
      <c r="Q606" s="77" t="s">
        <v>646</v>
      </c>
      <c r="R606" s="77">
        <v>5</v>
      </c>
      <c r="S606" s="77">
        <v>5</v>
      </c>
      <c r="T606" s="77">
        <v>0</v>
      </c>
      <c r="U606" s="77">
        <v>0</v>
      </c>
      <c r="V606" s="77">
        <v>193</v>
      </c>
      <c r="W606" s="81" t="s">
        <v>714</v>
      </c>
      <c r="X606" s="83" t="str">
        <f>HYPERLINK("https://www.linkedin.com/posts/pinakilaskar_aichips-edgeai-machinelearning-activity-7099246539562192897-nYgL")</f>
        <v>https://www.linkedin.com/posts/pinakilaskar_aichips-edgeai-machinelearning-activity-7099246539562192897-nYgL</v>
      </c>
      <c r="Y606" s="77" t="s">
        <v>749</v>
      </c>
      <c r="Z606" s="77" t="s">
        <v>808</v>
      </c>
      <c r="AA606" s="77"/>
      <c r="AB606" s="77"/>
      <c r="AC606" s="81" t="s">
        <v>855</v>
      </c>
      <c r="AD606" s="77" t="s">
        <v>859</v>
      </c>
      <c r="AE606" s="83" t="str">
        <f>HYPERLINK("https://twitter.com/pinakilaskar/status/1693483002544914649")</f>
        <v>https://twitter.com/pinakilaskar/status/1693483002544914649</v>
      </c>
      <c r="AF606" s="79">
        <v>45159.19427083333</v>
      </c>
      <c r="AG606" s="85">
        <v>45159</v>
      </c>
      <c r="AH606" s="81" t="s">
        <v>974</v>
      </c>
      <c r="AI606" s="77" t="b">
        <v>0</v>
      </c>
      <c r="AJ606" s="77"/>
      <c r="AK606" s="77"/>
      <c r="AL606" s="77"/>
      <c r="AM606" s="77"/>
      <c r="AN606" s="77"/>
      <c r="AO606" s="77"/>
      <c r="AP606" s="77"/>
      <c r="AQ606" s="77"/>
      <c r="AR606" s="77"/>
      <c r="AS606" s="77"/>
      <c r="AT606" s="77"/>
      <c r="AU606" s="77"/>
      <c r="AV606" s="83" t="str">
        <f>HYPERLINK("https://pbs.twimg.com/profile_images/1277223966705192966/aIT6N-WJ_normal.jpg")</f>
        <v>https://pbs.twimg.com/profile_images/1277223966705192966/aIT6N-WJ_normal.jpg</v>
      </c>
      <c r="AW606" s="81" t="s">
        <v>1129</v>
      </c>
      <c r="AX606" s="81" t="s">
        <v>1129</v>
      </c>
      <c r="AY606" s="77"/>
      <c r="AZ606" s="81" t="s">
        <v>1190</v>
      </c>
      <c r="BA606" s="81" t="s">
        <v>1190</v>
      </c>
      <c r="BB606" s="81" t="s">
        <v>1190</v>
      </c>
      <c r="BC606" s="81" t="s">
        <v>1129</v>
      </c>
      <c r="BD606" s="81" t="s">
        <v>1213</v>
      </c>
      <c r="BE606" s="77"/>
      <c r="BF606" s="77"/>
      <c r="BG606" s="77"/>
      <c r="BH606" s="77"/>
      <c r="BI606" s="77"/>
      <c r="BJ606">
        <v>13</v>
      </c>
      <c r="BK606" s="76" t="str">
        <f>REPLACE(INDEX(GroupVertices[Group],MATCH(Edges[[#This Row],[Vertex 1]],GroupVertices[Vertex],0)),1,1,"")</f>
        <v>7</v>
      </c>
      <c r="BL606" s="76" t="str">
        <f>REPLACE(INDEX(GroupVertices[Group],MATCH(Edges[[#This Row],[Vertex 2]],GroupVertices[Vertex],0)),1,1,"")</f>
        <v>7</v>
      </c>
      <c r="BM606" s="45"/>
      <c r="BN606" s="46"/>
      <c r="BO606" s="45"/>
      <c r="BP606" s="46"/>
      <c r="BQ606" s="45"/>
      <c r="BR606" s="46"/>
      <c r="BS606" s="45"/>
      <c r="BT606" s="46"/>
      <c r="BU606" s="45"/>
    </row>
    <row r="607" spans="1:73" ht="15">
      <c r="A607" s="61" t="s">
        <v>257</v>
      </c>
      <c r="B607" s="61" t="s">
        <v>536</v>
      </c>
      <c r="C607" s="62" t="s">
        <v>11696</v>
      </c>
      <c r="D607" s="63">
        <v>8.6</v>
      </c>
      <c r="E607" s="64" t="s">
        <v>136</v>
      </c>
      <c r="F607" s="65">
        <v>14.399999999999999</v>
      </c>
      <c r="G607" s="62"/>
      <c r="H607" s="66"/>
      <c r="I607" s="67"/>
      <c r="J607" s="67"/>
      <c r="K607" s="31" t="s">
        <v>65</v>
      </c>
      <c r="L607" s="75">
        <v>607</v>
      </c>
      <c r="M607" s="75"/>
      <c r="N607" s="69"/>
      <c r="O607" s="77" t="s">
        <v>539</v>
      </c>
      <c r="P607" s="79">
        <v>45159.19427083333</v>
      </c>
      <c r="Q607" s="77" t="s">
        <v>646</v>
      </c>
      <c r="R607" s="77">
        <v>5</v>
      </c>
      <c r="S607" s="77">
        <v>5</v>
      </c>
      <c r="T607" s="77">
        <v>0</v>
      </c>
      <c r="U607" s="77">
        <v>0</v>
      </c>
      <c r="V607" s="77">
        <v>193</v>
      </c>
      <c r="W607" s="81" t="s">
        <v>714</v>
      </c>
      <c r="X607" s="83" t="str">
        <f>HYPERLINK("https://www.linkedin.com/posts/pinakilaskar_aichips-edgeai-machinelearning-activity-7099246539562192897-nYgL")</f>
        <v>https://www.linkedin.com/posts/pinakilaskar_aichips-edgeai-machinelearning-activity-7099246539562192897-nYgL</v>
      </c>
      <c r="Y607" s="77" t="s">
        <v>749</v>
      </c>
      <c r="Z607" s="77" t="s">
        <v>808</v>
      </c>
      <c r="AA607" s="77"/>
      <c r="AB607" s="77"/>
      <c r="AC607" s="81" t="s">
        <v>855</v>
      </c>
      <c r="AD607" s="77" t="s">
        <v>859</v>
      </c>
      <c r="AE607" s="83" t="str">
        <f>HYPERLINK("https://twitter.com/pinakilaskar/status/1693483002544914649")</f>
        <v>https://twitter.com/pinakilaskar/status/1693483002544914649</v>
      </c>
      <c r="AF607" s="79">
        <v>45159.19427083333</v>
      </c>
      <c r="AG607" s="85">
        <v>45159</v>
      </c>
      <c r="AH607" s="81" t="s">
        <v>974</v>
      </c>
      <c r="AI607" s="77" t="b">
        <v>0</v>
      </c>
      <c r="AJ607" s="77"/>
      <c r="AK607" s="77"/>
      <c r="AL607" s="77"/>
      <c r="AM607" s="77"/>
      <c r="AN607" s="77"/>
      <c r="AO607" s="77"/>
      <c r="AP607" s="77"/>
      <c r="AQ607" s="77"/>
      <c r="AR607" s="77"/>
      <c r="AS607" s="77"/>
      <c r="AT607" s="77"/>
      <c r="AU607" s="77"/>
      <c r="AV607" s="83" t="str">
        <f>HYPERLINK("https://pbs.twimg.com/profile_images/1277223966705192966/aIT6N-WJ_normal.jpg")</f>
        <v>https://pbs.twimg.com/profile_images/1277223966705192966/aIT6N-WJ_normal.jpg</v>
      </c>
      <c r="AW607" s="81" t="s">
        <v>1129</v>
      </c>
      <c r="AX607" s="81" t="s">
        <v>1129</v>
      </c>
      <c r="AY607" s="77"/>
      <c r="AZ607" s="81" t="s">
        <v>1190</v>
      </c>
      <c r="BA607" s="81" t="s">
        <v>1190</v>
      </c>
      <c r="BB607" s="81" t="s">
        <v>1190</v>
      </c>
      <c r="BC607" s="81" t="s">
        <v>1129</v>
      </c>
      <c r="BD607" s="81" t="s">
        <v>1213</v>
      </c>
      <c r="BE607" s="77"/>
      <c r="BF607" s="77"/>
      <c r="BG607" s="77"/>
      <c r="BH607" s="77"/>
      <c r="BI607" s="77"/>
      <c r="BJ607">
        <v>5</v>
      </c>
      <c r="BK607" s="76" t="str">
        <f>REPLACE(INDEX(GroupVertices[Group],MATCH(Edges[[#This Row],[Vertex 1]],GroupVertices[Vertex],0)),1,1,"")</f>
        <v>7</v>
      </c>
      <c r="BL607" s="76" t="str">
        <f>REPLACE(INDEX(GroupVertices[Group],MATCH(Edges[[#This Row],[Vertex 2]],GroupVertices[Vertex],0)),1,1,"")</f>
        <v>7</v>
      </c>
      <c r="BM607" s="45"/>
      <c r="BN607" s="46"/>
      <c r="BO607" s="45"/>
      <c r="BP607" s="46"/>
      <c r="BQ607" s="45"/>
      <c r="BR607" s="46"/>
      <c r="BS607" s="45"/>
      <c r="BT607" s="46"/>
      <c r="BU607" s="45"/>
    </row>
    <row r="608" spans="1:73" ht="15">
      <c r="A608" s="61" t="s">
        <v>257</v>
      </c>
      <c r="B608" s="61" t="s">
        <v>537</v>
      </c>
      <c r="C608" s="62" t="s">
        <v>11697</v>
      </c>
      <c r="D608" s="63">
        <v>10</v>
      </c>
      <c r="E608" s="64" t="s">
        <v>136</v>
      </c>
      <c r="F608" s="65">
        <v>10</v>
      </c>
      <c r="G608" s="62"/>
      <c r="H608" s="66"/>
      <c r="I608" s="67"/>
      <c r="J608" s="67"/>
      <c r="K608" s="31" t="s">
        <v>65</v>
      </c>
      <c r="L608" s="75">
        <v>608</v>
      </c>
      <c r="M608" s="75"/>
      <c r="N608" s="69"/>
      <c r="O608" s="77" t="s">
        <v>539</v>
      </c>
      <c r="P608" s="79">
        <v>45159.19427083333</v>
      </c>
      <c r="Q608" s="77" t="s">
        <v>646</v>
      </c>
      <c r="R608" s="77">
        <v>5</v>
      </c>
      <c r="S608" s="77">
        <v>5</v>
      </c>
      <c r="T608" s="77">
        <v>0</v>
      </c>
      <c r="U608" s="77">
        <v>0</v>
      </c>
      <c r="V608" s="77">
        <v>193</v>
      </c>
      <c r="W608" s="81" t="s">
        <v>714</v>
      </c>
      <c r="X608" s="83" t="str">
        <f>HYPERLINK("https://www.linkedin.com/posts/pinakilaskar_aichips-edgeai-machinelearning-activity-7099246539562192897-nYgL")</f>
        <v>https://www.linkedin.com/posts/pinakilaskar_aichips-edgeai-machinelearning-activity-7099246539562192897-nYgL</v>
      </c>
      <c r="Y608" s="77" t="s">
        <v>749</v>
      </c>
      <c r="Z608" s="77" t="s">
        <v>808</v>
      </c>
      <c r="AA608" s="77"/>
      <c r="AB608" s="77"/>
      <c r="AC608" s="81" t="s">
        <v>855</v>
      </c>
      <c r="AD608" s="77" t="s">
        <v>859</v>
      </c>
      <c r="AE608" s="83" t="str">
        <f>HYPERLINK("https://twitter.com/pinakilaskar/status/1693483002544914649")</f>
        <v>https://twitter.com/pinakilaskar/status/1693483002544914649</v>
      </c>
      <c r="AF608" s="79">
        <v>45159.19427083333</v>
      </c>
      <c r="AG608" s="85">
        <v>45159</v>
      </c>
      <c r="AH608" s="81" t="s">
        <v>974</v>
      </c>
      <c r="AI608" s="77" t="b">
        <v>0</v>
      </c>
      <c r="AJ608" s="77"/>
      <c r="AK608" s="77"/>
      <c r="AL608" s="77"/>
      <c r="AM608" s="77"/>
      <c r="AN608" s="77"/>
      <c r="AO608" s="77"/>
      <c r="AP608" s="77"/>
      <c r="AQ608" s="77"/>
      <c r="AR608" s="77"/>
      <c r="AS608" s="77"/>
      <c r="AT608" s="77"/>
      <c r="AU608" s="77"/>
      <c r="AV608" s="83" t="str">
        <f>HYPERLINK("https://pbs.twimg.com/profile_images/1277223966705192966/aIT6N-WJ_normal.jpg")</f>
        <v>https://pbs.twimg.com/profile_images/1277223966705192966/aIT6N-WJ_normal.jpg</v>
      </c>
      <c r="AW608" s="81" t="s">
        <v>1129</v>
      </c>
      <c r="AX608" s="81" t="s">
        <v>1129</v>
      </c>
      <c r="AY608" s="77"/>
      <c r="AZ608" s="81" t="s">
        <v>1190</v>
      </c>
      <c r="BA608" s="81" t="s">
        <v>1190</v>
      </c>
      <c r="BB608" s="81" t="s">
        <v>1190</v>
      </c>
      <c r="BC608" s="81" t="s">
        <v>1129</v>
      </c>
      <c r="BD608" s="81" t="s">
        <v>1213</v>
      </c>
      <c r="BE608" s="77"/>
      <c r="BF608" s="77"/>
      <c r="BG608" s="77"/>
      <c r="BH608" s="77"/>
      <c r="BI608" s="77"/>
      <c r="BJ608">
        <v>10</v>
      </c>
      <c r="BK608" s="76" t="str">
        <f>REPLACE(INDEX(GroupVertices[Group],MATCH(Edges[[#This Row],[Vertex 1]],GroupVertices[Vertex],0)),1,1,"")</f>
        <v>7</v>
      </c>
      <c r="BL608" s="76" t="str">
        <f>REPLACE(INDEX(GroupVertices[Group],MATCH(Edges[[#This Row],[Vertex 2]],GroupVertices[Vertex],0)),1,1,"")</f>
        <v>7</v>
      </c>
      <c r="BM608" s="45"/>
      <c r="BN608" s="46"/>
      <c r="BO608" s="45"/>
      <c r="BP608" s="46"/>
      <c r="BQ608" s="45"/>
      <c r="BR608" s="46"/>
      <c r="BS608" s="45"/>
      <c r="BT608" s="46"/>
      <c r="BU608" s="45"/>
    </row>
    <row r="609" spans="1:73" ht="15">
      <c r="A609" s="61" t="s">
        <v>257</v>
      </c>
      <c r="B609" s="61" t="s">
        <v>538</v>
      </c>
      <c r="C609" s="62" t="s">
        <v>11697</v>
      </c>
      <c r="D609" s="63">
        <v>10</v>
      </c>
      <c r="E609" s="64" t="s">
        <v>136</v>
      </c>
      <c r="F609" s="65">
        <v>10</v>
      </c>
      <c r="G609" s="62"/>
      <c r="H609" s="66"/>
      <c r="I609" s="67"/>
      <c r="J609" s="67"/>
      <c r="K609" s="31" t="s">
        <v>65</v>
      </c>
      <c r="L609" s="75">
        <v>609</v>
      </c>
      <c r="M609" s="75"/>
      <c r="N609" s="69"/>
      <c r="O609" s="77" t="s">
        <v>539</v>
      </c>
      <c r="P609" s="79">
        <v>45159.19427083333</v>
      </c>
      <c r="Q609" s="77" t="s">
        <v>646</v>
      </c>
      <c r="R609" s="77">
        <v>5</v>
      </c>
      <c r="S609" s="77">
        <v>5</v>
      </c>
      <c r="T609" s="77">
        <v>0</v>
      </c>
      <c r="U609" s="77">
        <v>0</v>
      </c>
      <c r="V609" s="77">
        <v>193</v>
      </c>
      <c r="W609" s="81" t="s">
        <v>714</v>
      </c>
      <c r="X609" s="83" t="str">
        <f>HYPERLINK("https://www.linkedin.com/posts/pinakilaskar_aichips-edgeai-machinelearning-activity-7099246539562192897-nYgL")</f>
        <v>https://www.linkedin.com/posts/pinakilaskar_aichips-edgeai-machinelearning-activity-7099246539562192897-nYgL</v>
      </c>
      <c r="Y609" s="77" t="s">
        <v>749</v>
      </c>
      <c r="Z609" s="77" t="s">
        <v>808</v>
      </c>
      <c r="AA609" s="77"/>
      <c r="AB609" s="77"/>
      <c r="AC609" s="81" t="s">
        <v>855</v>
      </c>
      <c r="AD609" s="77" t="s">
        <v>859</v>
      </c>
      <c r="AE609" s="83" t="str">
        <f>HYPERLINK("https://twitter.com/pinakilaskar/status/1693483002544914649")</f>
        <v>https://twitter.com/pinakilaskar/status/1693483002544914649</v>
      </c>
      <c r="AF609" s="79">
        <v>45159.19427083333</v>
      </c>
      <c r="AG609" s="85">
        <v>45159</v>
      </c>
      <c r="AH609" s="81" t="s">
        <v>974</v>
      </c>
      <c r="AI609" s="77" t="b">
        <v>0</v>
      </c>
      <c r="AJ609" s="77"/>
      <c r="AK609" s="77"/>
      <c r="AL609" s="77"/>
      <c r="AM609" s="77"/>
      <c r="AN609" s="77"/>
      <c r="AO609" s="77"/>
      <c r="AP609" s="77"/>
      <c r="AQ609" s="77"/>
      <c r="AR609" s="77"/>
      <c r="AS609" s="77"/>
      <c r="AT609" s="77"/>
      <c r="AU609" s="77"/>
      <c r="AV609" s="83" t="str">
        <f>HYPERLINK("https://pbs.twimg.com/profile_images/1277223966705192966/aIT6N-WJ_normal.jpg")</f>
        <v>https://pbs.twimg.com/profile_images/1277223966705192966/aIT6N-WJ_normal.jpg</v>
      </c>
      <c r="AW609" s="81" t="s">
        <v>1129</v>
      </c>
      <c r="AX609" s="81" t="s">
        <v>1129</v>
      </c>
      <c r="AY609" s="77"/>
      <c r="AZ609" s="81" t="s">
        <v>1190</v>
      </c>
      <c r="BA609" s="81" t="s">
        <v>1190</v>
      </c>
      <c r="BB609" s="81" t="s">
        <v>1190</v>
      </c>
      <c r="BC609" s="81" t="s">
        <v>1129</v>
      </c>
      <c r="BD609" s="81" t="s">
        <v>1213</v>
      </c>
      <c r="BE609" s="77"/>
      <c r="BF609" s="77"/>
      <c r="BG609" s="77"/>
      <c r="BH609" s="77"/>
      <c r="BI609" s="77"/>
      <c r="BJ609">
        <v>13</v>
      </c>
      <c r="BK609" s="76" t="str">
        <f>REPLACE(INDEX(GroupVertices[Group],MATCH(Edges[[#This Row],[Vertex 1]],GroupVertices[Vertex],0)),1,1,"")</f>
        <v>7</v>
      </c>
      <c r="BL609" s="76" t="str">
        <f>REPLACE(INDEX(GroupVertices[Group],MATCH(Edges[[#This Row],[Vertex 2]],GroupVertices[Vertex],0)),1,1,"")</f>
        <v>7</v>
      </c>
      <c r="BM609" s="45">
        <v>0</v>
      </c>
      <c r="BN609" s="46">
        <v>0</v>
      </c>
      <c r="BO609" s="45">
        <v>0</v>
      </c>
      <c r="BP609" s="46">
        <v>0</v>
      </c>
      <c r="BQ609" s="45">
        <v>0</v>
      </c>
      <c r="BR609" s="46">
        <v>0</v>
      </c>
      <c r="BS609" s="45">
        <v>20</v>
      </c>
      <c r="BT609" s="46">
        <v>76.92307692307692</v>
      </c>
      <c r="BU609" s="45">
        <v>26</v>
      </c>
    </row>
    <row r="610" spans="1:73" ht="15">
      <c r="A610" s="61" t="s">
        <v>257</v>
      </c>
      <c r="B610" s="61" t="s">
        <v>228</v>
      </c>
      <c r="C610" s="62" t="s">
        <v>11697</v>
      </c>
      <c r="D610" s="63">
        <v>10</v>
      </c>
      <c r="E610" s="64" t="s">
        <v>136</v>
      </c>
      <c r="F610" s="65">
        <v>10</v>
      </c>
      <c r="G610" s="62"/>
      <c r="H610" s="66"/>
      <c r="I610" s="67"/>
      <c r="J610" s="67"/>
      <c r="K610" s="31" t="s">
        <v>65</v>
      </c>
      <c r="L610" s="75">
        <v>610</v>
      </c>
      <c r="M610" s="75"/>
      <c r="N610" s="69"/>
      <c r="O610" s="77" t="s">
        <v>539</v>
      </c>
      <c r="P610" s="79">
        <v>45164.29017361111</v>
      </c>
      <c r="Q610" s="77" t="s">
        <v>647</v>
      </c>
      <c r="R610" s="77">
        <v>3</v>
      </c>
      <c r="S610" s="77">
        <v>4</v>
      </c>
      <c r="T610" s="77">
        <v>0</v>
      </c>
      <c r="U610" s="77">
        <v>0</v>
      </c>
      <c r="V610" s="77">
        <v>90</v>
      </c>
      <c r="W610" s="81" t="s">
        <v>715</v>
      </c>
      <c r="X610" s="83" t="str">
        <f>HYPERLINK("https://www.linkedin.com/pulse/what-you-need-machine-intelligence-metaphysics-pinaki-laskar")</f>
        <v>https://www.linkedin.com/pulse/what-you-need-machine-intelligence-metaphysics-pinaki-laskar</v>
      </c>
      <c r="Y610" s="77" t="s">
        <v>749</v>
      </c>
      <c r="Z610" s="77" t="s">
        <v>809</v>
      </c>
      <c r="AA610" s="77"/>
      <c r="AB610" s="77"/>
      <c r="AC610" s="81" t="s">
        <v>855</v>
      </c>
      <c r="AD610" s="77" t="s">
        <v>859</v>
      </c>
      <c r="AE610" s="83" t="str">
        <f>HYPERLINK("https://twitter.com/pinakilaskar/status/1695329696039498043")</f>
        <v>https://twitter.com/pinakilaskar/status/1695329696039498043</v>
      </c>
      <c r="AF610" s="79">
        <v>45164.29017361111</v>
      </c>
      <c r="AG610" s="85">
        <v>45164</v>
      </c>
      <c r="AH610" s="81" t="s">
        <v>975</v>
      </c>
      <c r="AI610" s="77" t="b">
        <v>0</v>
      </c>
      <c r="AJ610" s="77"/>
      <c r="AK610" s="77"/>
      <c r="AL610" s="77"/>
      <c r="AM610" s="77"/>
      <c r="AN610" s="77"/>
      <c r="AO610" s="77"/>
      <c r="AP610" s="77"/>
      <c r="AQ610" s="77"/>
      <c r="AR610" s="77"/>
      <c r="AS610" s="77"/>
      <c r="AT610" s="77"/>
      <c r="AU610" s="77"/>
      <c r="AV610" s="83" t="str">
        <f>HYPERLINK("https://pbs.twimg.com/profile_images/1277223966705192966/aIT6N-WJ_normal.jpg")</f>
        <v>https://pbs.twimg.com/profile_images/1277223966705192966/aIT6N-WJ_normal.jpg</v>
      </c>
      <c r="AW610" s="81" t="s">
        <v>1130</v>
      </c>
      <c r="AX610" s="81" t="s">
        <v>1130</v>
      </c>
      <c r="AY610" s="77"/>
      <c r="AZ610" s="81" t="s">
        <v>1190</v>
      </c>
      <c r="BA610" s="81" t="s">
        <v>1190</v>
      </c>
      <c r="BB610" s="81" t="s">
        <v>1190</v>
      </c>
      <c r="BC610" s="81" t="s">
        <v>1130</v>
      </c>
      <c r="BD610" s="81" t="s">
        <v>1213</v>
      </c>
      <c r="BE610" s="77"/>
      <c r="BF610" s="77"/>
      <c r="BG610" s="77"/>
      <c r="BH610" s="77"/>
      <c r="BI610" s="77"/>
      <c r="BJ610">
        <v>13</v>
      </c>
      <c r="BK610" s="76" t="str">
        <f>REPLACE(INDEX(GroupVertices[Group],MATCH(Edges[[#This Row],[Vertex 1]],GroupVertices[Vertex],0)),1,1,"")</f>
        <v>7</v>
      </c>
      <c r="BL610" s="76" t="str">
        <f>REPLACE(INDEX(GroupVertices[Group],MATCH(Edges[[#This Row],[Vertex 2]],GroupVertices[Vertex],0)),1,1,"")</f>
        <v>2</v>
      </c>
      <c r="BM610" s="45"/>
      <c r="BN610" s="46"/>
      <c r="BO610" s="45"/>
      <c r="BP610" s="46"/>
      <c r="BQ610" s="45"/>
      <c r="BR610" s="46"/>
      <c r="BS610" s="45"/>
      <c r="BT610" s="46"/>
      <c r="BU610" s="45"/>
    </row>
    <row r="611" spans="1:73" ht="15">
      <c r="A611" s="61" t="s">
        <v>257</v>
      </c>
      <c r="B611" s="61" t="s">
        <v>529</v>
      </c>
      <c r="C611" s="62" t="s">
        <v>11697</v>
      </c>
      <c r="D611" s="63">
        <v>10</v>
      </c>
      <c r="E611" s="64" t="s">
        <v>136</v>
      </c>
      <c r="F611" s="65">
        <v>10</v>
      </c>
      <c r="G611" s="62"/>
      <c r="H611" s="66"/>
      <c r="I611" s="67"/>
      <c r="J611" s="67"/>
      <c r="K611" s="31" t="s">
        <v>65</v>
      </c>
      <c r="L611" s="75">
        <v>611</v>
      </c>
      <c r="M611" s="75"/>
      <c r="N611" s="69"/>
      <c r="O611" s="77" t="s">
        <v>539</v>
      </c>
      <c r="P611" s="79">
        <v>45164.29017361111</v>
      </c>
      <c r="Q611" s="77" t="s">
        <v>647</v>
      </c>
      <c r="R611" s="77">
        <v>3</v>
      </c>
      <c r="S611" s="77">
        <v>4</v>
      </c>
      <c r="T611" s="77">
        <v>0</v>
      </c>
      <c r="U611" s="77">
        <v>0</v>
      </c>
      <c r="V611" s="77">
        <v>90</v>
      </c>
      <c r="W611" s="81" t="s">
        <v>715</v>
      </c>
      <c r="X611" s="83" t="str">
        <f>HYPERLINK("https://www.linkedin.com/pulse/what-you-need-machine-intelligence-metaphysics-pinaki-laskar")</f>
        <v>https://www.linkedin.com/pulse/what-you-need-machine-intelligence-metaphysics-pinaki-laskar</v>
      </c>
      <c r="Y611" s="77" t="s">
        <v>749</v>
      </c>
      <c r="Z611" s="77" t="s">
        <v>809</v>
      </c>
      <c r="AA611" s="77"/>
      <c r="AB611" s="77"/>
      <c r="AC611" s="81" t="s">
        <v>855</v>
      </c>
      <c r="AD611" s="77" t="s">
        <v>859</v>
      </c>
      <c r="AE611" s="83" t="str">
        <f>HYPERLINK("https://twitter.com/pinakilaskar/status/1695329696039498043")</f>
        <v>https://twitter.com/pinakilaskar/status/1695329696039498043</v>
      </c>
      <c r="AF611" s="79">
        <v>45164.29017361111</v>
      </c>
      <c r="AG611" s="85">
        <v>45164</v>
      </c>
      <c r="AH611" s="81" t="s">
        <v>975</v>
      </c>
      <c r="AI611" s="77" t="b">
        <v>0</v>
      </c>
      <c r="AJ611" s="77"/>
      <c r="AK611" s="77"/>
      <c r="AL611" s="77"/>
      <c r="AM611" s="77"/>
      <c r="AN611" s="77"/>
      <c r="AO611" s="77"/>
      <c r="AP611" s="77"/>
      <c r="AQ611" s="77"/>
      <c r="AR611" s="77"/>
      <c r="AS611" s="77"/>
      <c r="AT611" s="77"/>
      <c r="AU611" s="77"/>
      <c r="AV611" s="83" t="str">
        <f>HYPERLINK("https://pbs.twimg.com/profile_images/1277223966705192966/aIT6N-WJ_normal.jpg")</f>
        <v>https://pbs.twimg.com/profile_images/1277223966705192966/aIT6N-WJ_normal.jpg</v>
      </c>
      <c r="AW611" s="81" t="s">
        <v>1130</v>
      </c>
      <c r="AX611" s="81" t="s">
        <v>1130</v>
      </c>
      <c r="AY611" s="77"/>
      <c r="AZ611" s="81" t="s">
        <v>1190</v>
      </c>
      <c r="BA611" s="81" t="s">
        <v>1190</v>
      </c>
      <c r="BB611" s="81" t="s">
        <v>1190</v>
      </c>
      <c r="BC611" s="81" t="s">
        <v>1130</v>
      </c>
      <c r="BD611" s="81" t="s">
        <v>1213</v>
      </c>
      <c r="BE611" s="77"/>
      <c r="BF611" s="77"/>
      <c r="BG611" s="77"/>
      <c r="BH611" s="77"/>
      <c r="BI611" s="77"/>
      <c r="BJ611">
        <v>13</v>
      </c>
      <c r="BK611" s="76" t="str">
        <f>REPLACE(INDEX(GroupVertices[Group],MATCH(Edges[[#This Row],[Vertex 1]],GroupVertices[Vertex],0)),1,1,"")</f>
        <v>7</v>
      </c>
      <c r="BL611" s="76" t="str">
        <f>REPLACE(INDEX(GroupVertices[Group],MATCH(Edges[[#This Row],[Vertex 2]],GroupVertices[Vertex],0)),1,1,"")</f>
        <v>7</v>
      </c>
      <c r="BM611" s="45"/>
      <c r="BN611" s="46"/>
      <c r="BO611" s="45"/>
      <c r="BP611" s="46"/>
      <c r="BQ611" s="45"/>
      <c r="BR611" s="46"/>
      <c r="BS611" s="45"/>
      <c r="BT611" s="46"/>
      <c r="BU611" s="45"/>
    </row>
    <row r="612" spans="1:73" ht="15">
      <c r="A612" s="61" t="s">
        <v>257</v>
      </c>
      <c r="B612" s="61" t="s">
        <v>534</v>
      </c>
      <c r="C612" s="62" t="s">
        <v>11697</v>
      </c>
      <c r="D612" s="63">
        <v>10</v>
      </c>
      <c r="E612" s="64" t="s">
        <v>136</v>
      </c>
      <c r="F612" s="65">
        <v>10</v>
      </c>
      <c r="G612" s="62"/>
      <c r="H612" s="66"/>
      <c r="I612" s="67"/>
      <c r="J612" s="67"/>
      <c r="K612" s="31" t="s">
        <v>65</v>
      </c>
      <c r="L612" s="75">
        <v>612</v>
      </c>
      <c r="M612" s="75"/>
      <c r="N612" s="69"/>
      <c r="O612" s="77" t="s">
        <v>539</v>
      </c>
      <c r="P612" s="79">
        <v>45164.29017361111</v>
      </c>
      <c r="Q612" s="77" t="s">
        <v>647</v>
      </c>
      <c r="R612" s="77">
        <v>3</v>
      </c>
      <c r="S612" s="77">
        <v>4</v>
      </c>
      <c r="T612" s="77">
        <v>0</v>
      </c>
      <c r="U612" s="77">
        <v>0</v>
      </c>
      <c r="V612" s="77">
        <v>90</v>
      </c>
      <c r="W612" s="81" t="s">
        <v>715</v>
      </c>
      <c r="X612" s="83" t="str">
        <f>HYPERLINK("https://www.linkedin.com/pulse/what-you-need-machine-intelligence-metaphysics-pinaki-laskar")</f>
        <v>https://www.linkedin.com/pulse/what-you-need-machine-intelligence-metaphysics-pinaki-laskar</v>
      </c>
      <c r="Y612" s="77" t="s">
        <v>749</v>
      </c>
      <c r="Z612" s="77" t="s">
        <v>809</v>
      </c>
      <c r="AA612" s="77"/>
      <c r="AB612" s="77"/>
      <c r="AC612" s="81" t="s">
        <v>855</v>
      </c>
      <c r="AD612" s="77" t="s">
        <v>859</v>
      </c>
      <c r="AE612" s="83" t="str">
        <f>HYPERLINK("https://twitter.com/pinakilaskar/status/1695329696039498043")</f>
        <v>https://twitter.com/pinakilaskar/status/1695329696039498043</v>
      </c>
      <c r="AF612" s="79">
        <v>45164.29017361111</v>
      </c>
      <c r="AG612" s="85">
        <v>45164</v>
      </c>
      <c r="AH612" s="81" t="s">
        <v>975</v>
      </c>
      <c r="AI612" s="77" t="b">
        <v>0</v>
      </c>
      <c r="AJ612" s="77"/>
      <c r="AK612" s="77"/>
      <c r="AL612" s="77"/>
      <c r="AM612" s="77"/>
      <c r="AN612" s="77"/>
      <c r="AO612" s="77"/>
      <c r="AP612" s="77"/>
      <c r="AQ612" s="77"/>
      <c r="AR612" s="77"/>
      <c r="AS612" s="77"/>
      <c r="AT612" s="77"/>
      <c r="AU612" s="77"/>
      <c r="AV612" s="83" t="str">
        <f>HYPERLINK("https://pbs.twimg.com/profile_images/1277223966705192966/aIT6N-WJ_normal.jpg")</f>
        <v>https://pbs.twimg.com/profile_images/1277223966705192966/aIT6N-WJ_normal.jpg</v>
      </c>
      <c r="AW612" s="81" t="s">
        <v>1130</v>
      </c>
      <c r="AX612" s="81" t="s">
        <v>1130</v>
      </c>
      <c r="AY612" s="77"/>
      <c r="AZ612" s="81" t="s">
        <v>1190</v>
      </c>
      <c r="BA612" s="81" t="s">
        <v>1190</v>
      </c>
      <c r="BB612" s="81" t="s">
        <v>1190</v>
      </c>
      <c r="BC612" s="81" t="s">
        <v>1130</v>
      </c>
      <c r="BD612" s="81" t="s">
        <v>1213</v>
      </c>
      <c r="BE612" s="77"/>
      <c r="BF612" s="77"/>
      <c r="BG612" s="77"/>
      <c r="BH612" s="77"/>
      <c r="BI612" s="77"/>
      <c r="BJ612">
        <v>9</v>
      </c>
      <c r="BK612" s="76" t="str">
        <f>REPLACE(INDEX(GroupVertices[Group],MATCH(Edges[[#This Row],[Vertex 1]],GroupVertices[Vertex],0)),1,1,"")</f>
        <v>7</v>
      </c>
      <c r="BL612" s="76" t="str">
        <f>REPLACE(INDEX(GroupVertices[Group],MATCH(Edges[[#This Row],[Vertex 2]],GroupVertices[Vertex],0)),1,1,"")</f>
        <v>7</v>
      </c>
      <c r="BM612" s="45"/>
      <c r="BN612" s="46"/>
      <c r="BO612" s="45"/>
      <c r="BP612" s="46"/>
      <c r="BQ612" s="45"/>
      <c r="BR612" s="46"/>
      <c r="BS612" s="45"/>
      <c r="BT612" s="46"/>
      <c r="BU612" s="45"/>
    </row>
    <row r="613" spans="1:73" ht="15">
      <c r="A613" s="61" t="s">
        <v>257</v>
      </c>
      <c r="B613" s="61" t="s">
        <v>531</v>
      </c>
      <c r="C613" s="62" t="s">
        <v>11697</v>
      </c>
      <c r="D613" s="63">
        <v>10</v>
      </c>
      <c r="E613" s="64" t="s">
        <v>136</v>
      </c>
      <c r="F613" s="65">
        <v>10</v>
      </c>
      <c r="G613" s="62"/>
      <c r="H613" s="66"/>
      <c r="I613" s="67"/>
      <c r="J613" s="67"/>
      <c r="K613" s="31" t="s">
        <v>65</v>
      </c>
      <c r="L613" s="75">
        <v>613</v>
      </c>
      <c r="M613" s="75"/>
      <c r="N613" s="69"/>
      <c r="O613" s="77" t="s">
        <v>539</v>
      </c>
      <c r="P613" s="79">
        <v>45164.29017361111</v>
      </c>
      <c r="Q613" s="77" t="s">
        <v>647</v>
      </c>
      <c r="R613" s="77">
        <v>3</v>
      </c>
      <c r="S613" s="77">
        <v>4</v>
      </c>
      <c r="T613" s="77">
        <v>0</v>
      </c>
      <c r="U613" s="77">
        <v>0</v>
      </c>
      <c r="V613" s="77">
        <v>90</v>
      </c>
      <c r="W613" s="81" t="s">
        <v>715</v>
      </c>
      <c r="X613" s="83" t="str">
        <f>HYPERLINK("https://www.linkedin.com/pulse/what-you-need-machine-intelligence-metaphysics-pinaki-laskar")</f>
        <v>https://www.linkedin.com/pulse/what-you-need-machine-intelligence-metaphysics-pinaki-laskar</v>
      </c>
      <c r="Y613" s="77" t="s">
        <v>749</v>
      </c>
      <c r="Z613" s="77" t="s">
        <v>809</v>
      </c>
      <c r="AA613" s="77"/>
      <c r="AB613" s="77"/>
      <c r="AC613" s="81" t="s">
        <v>855</v>
      </c>
      <c r="AD613" s="77" t="s">
        <v>859</v>
      </c>
      <c r="AE613" s="83" t="str">
        <f>HYPERLINK("https://twitter.com/pinakilaskar/status/1695329696039498043")</f>
        <v>https://twitter.com/pinakilaskar/status/1695329696039498043</v>
      </c>
      <c r="AF613" s="79">
        <v>45164.29017361111</v>
      </c>
      <c r="AG613" s="85">
        <v>45164</v>
      </c>
      <c r="AH613" s="81" t="s">
        <v>975</v>
      </c>
      <c r="AI613" s="77" t="b">
        <v>0</v>
      </c>
      <c r="AJ613" s="77"/>
      <c r="AK613" s="77"/>
      <c r="AL613" s="77"/>
      <c r="AM613" s="77"/>
      <c r="AN613" s="77"/>
      <c r="AO613" s="77"/>
      <c r="AP613" s="77"/>
      <c r="AQ613" s="77"/>
      <c r="AR613" s="77"/>
      <c r="AS613" s="77"/>
      <c r="AT613" s="77"/>
      <c r="AU613" s="77"/>
      <c r="AV613" s="83" t="str">
        <f>HYPERLINK("https://pbs.twimg.com/profile_images/1277223966705192966/aIT6N-WJ_normal.jpg")</f>
        <v>https://pbs.twimg.com/profile_images/1277223966705192966/aIT6N-WJ_normal.jpg</v>
      </c>
      <c r="AW613" s="81" t="s">
        <v>1130</v>
      </c>
      <c r="AX613" s="81" t="s">
        <v>1130</v>
      </c>
      <c r="AY613" s="77"/>
      <c r="AZ613" s="81" t="s">
        <v>1190</v>
      </c>
      <c r="BA613" s="81" t="s">
        <v>1190</v>
      </c>
      <c r="BB613" s="81" t="s">
        <v>1190</v>
      </c>
      <c r="BC613" s="81" t="s">
        <v>1130</v>
      </c>
      <c r="BD613" s="81" t="s">
        <v>1213</v>
      </c>
      <c r="BE613" s="77"/>
      <c r="BF613" s="77"/>
      <c r="BG613" s="77"/>
      <c r="BH613" s="77"/>
      <c r="BI613" s="77"/>
      <c r="BJ613">
        <v>9</v>
      </c>
      <c r="BK613" s="76" t="str">
        <f>REPLACE(INDEX(GroupVertices[Group],MATCH(Edges[[#This Row],[Vertex 1]],GroupVertices[Vertex],0)),1,1,"")</f>
        <v>7</v>
      </c>
      <c r="BL613" s="76" t="str">
        <f>REPLACE(INDEX(GroupVertices[Group],MATCH(Edges[[#This Row],[Vertex 2]],GroupVertices[Vertex],0)),1,1,"")</f>
        <v>7</v>
      </c>
      <c r="BM613" s="45"/>
      <c r="BN613" s="46"/>
      <c r="BO613" s="45"/>
      <c r="BP613" s="46"/>
      <c r="BQ613" s="45"/>
      <c r="BR613" s="46"/>
      <c r="BS613" s="45"/>
      <c r="BT613" s="46"/>
      <c r="BU613" s="45"/>
    </row>
    <row r="614" spans="1:73" ht="15">
      <c r="A614" s="61" t="s">
        <v>257</v>
      </c>
      <c r="B614" s="61" t="s">
        <v>532</v>
      </c>
      <c r="C614" s="62" t="s">
        <v>11697</v>
      </c>
      <c r="D614" s="63">
        <v>10</v>
      </c>
      <c r="E614" s="64" t="s">
        <v>136</v>
      </c>
      <c r="F614" s="65">
        <v>10</v>
      </c>
      <c r="G614" s="62"/>
      <c r="H614" s="66"/>
      <c r="I614" s="67"/>
      <c r="J614" s="67"/>
      <c r="K614" s="31" t="s">
        <v>65</v>
      </c>
      <c r="L614" s="75">
        <v>614</v>
      </c>
      <c r="M614" s="75"/>
      <c r="N614" s="69"/>
      <c r="O614" s="77" t="s">
        <v>539</v>
      </c>
      <c r="P614" s="79">
        <v>45164.29017361111</v>
      </c>
      <c r="Q614" s="77" t="s">
        <v>647</v>
      </c>
      <c r="R614" s="77">
        <v>3</v>
      </c>
      <c r="S614" s="77">
        <v>4</v>
      </c>
      <c r="T614" s="77">
        <v>0</v>
      </c>
      <c r="U614" s="77">
        <v>0</v>
      </c>
      <c r="V614" s="77">
        <v>90</v>
      </c>
      <c r="W614" s="81" t="s">
        <v>715</v>
      </c>
      <c r="X614" s="83" t="str">
        <f>HYPERLINK("https://www.linkedin.com/pulse/what-you-need-machine-intelligence-metaphysics-pinaki-laskar")</f>
        <v>https://www.linkedin.com/pulse/what-you-need-machine-intelligence-metaphysics-pinaki-laskar</v>
      </c>
      <c r="Y614" s="77" t="s">
        <v>749</v>
      </c>
      <c r="Z614" s="77" t="s">
        <v>809</v>
      </c>
      <c r="AA614" s="77"/>
      <c r="AB614" s="77"/>
      <c r="AC614" s="81" t="s">
        <v>855</v>
      </c>
      <c r="AD614" s="77" t="s">
        <v>859</v>
      </c>
      <c r="AE614" s="83" t="str">
        <f>HYPERLINK("https://twitter.com/pinakilaskar/status/1695329696039498043")</f>
        <v>https://twitter.com/pinakilaskar/status/1695329696039498043</v>
      </c>
      <c r="AF614" s="79">
        <v>45164.29017361111</v>
      </c>
      <c r="AG614" s="85">
        <v>45164</v>
      </c>
      <c r="AH614" s="81" t="s">
        <v>975</v>
      </c>
      <c r="AI614" s="77" t="b">
        <v>0</v>
      </c>
      <c r="AJ614" s="77"/>
      <c r="AK614" s="77"/>
      <c r="AL614" s="77"/>
      <c r="AM614" s="77"/>
      <c r="AN614" s="77"/>
      <c r="AO614" s="77"/>
      <c r="AP614" s="77"/>
      <c r="AQ614" s="77"/>
      <c r="AR614" s="77"/>
      <c r="AS614" s="77"/>
      <c r="AT614" s="77"/>
      <c r="AU614" s="77"/>
      <c r="AV614" s="83" t="str">
        <f>HYPERLINK("https://pbs.twimg.com/profile_images/1277223966705192966/aIT6N-WJ_normal.jpg")</f>
        <v>https://pbs.twimg.com/profile_images/1277223966705192966/aIT6N-WJ_normal.jpg</v>
      </c>
      <c r="AW614" s="81" t="s">
        <v>1130</v>
      </c>
      <c r="AX614" s="81" t="s">
        <v>1130</v>
      </c>
      <c r="AY614" s="77"/>
      <c r="AZ614" s="81" t="s">
        <v>1190</v>
      </c>
      <c r="BA614" s="81" t="s">
        <v>1190</v>
      </c>
      <c r="BB614" s="81" t="s">
        <v>1190</v>
      </c>
      <c r="BC614" s="81" t="s">
        <v>1130</v>
      </c>
      <c r="BD614" s="81" t="s">
        <v>1213</v>
      </c>
      <c r="BE614" s="77"/>
      <c r="BF614" s="77"/>
      <c r="BG614" s="77"/>
      <c r="BH614" s="77"/>
      <c r="BI614" s="77"/>
      <c r="BJ614">
        <v>13</v>
      </c>
      <c r="BK614" s="76" t="str">
        <f>REPLACE(INDEX(GroupVertices[Group],MATCH(Edges[[#This Row],[Vertex 1]],GroupVertices[Vertex],0)),1,1,"")</f>
        <v>7</v>
      </c>
      <c r="BL614" s="76" t="str">
        <f>REPLACE(INDEX(GroupVertices[Group],MATCH(Edges[[#This Row],[Vertex 2]],GroupVertices[Vertex],0)),1,1,"")</f>
        <v>7</v>
      </c>
      <c r="BM614" s="45"/>
      <c r="BN614" s="46"/>
      <c r="BO614" s="45"/>
      <c r="BP614" s="46"/>
      <c r="BQ614" s="45"/>
      <c r="BR614" s="46"/>
      <c r="BS614" s="45"/>
      <c r="BT614" s="46"/>
      <c r="BU614" s="45"/>
    </row>
    <row r="615" spans="1:73" ht="15">
      <c r="A615" s="61" t="s">
        <v>257</v>
      </c>
      <c r="B615" s="61" t="s">
        <v>533</v>
      </c>
      <c r="C615" s="62" t="s">
        <v>11697</v>
      </c>
      <c r="D615" s="63">
        <v>10</v>
      </c>
      <c r="E615" s="64" t="s">
        <v>136</v>
      </c>
      <c r="F615" s="65">
        <v>10</v>
      </c>
      <c r="G615" s="62"/>
      <c r="H615" s="66"/>
      <c r="I615" s="67"/>
      <c r="J615" s="67"/>
      <c r="K615" s="31" t="s">
        <v>65</v>
      </c>
      <c r="L615" s="75">
        <v>615</v>
      </c>
      <c r="M615" s="75"/>
      <c r="N615" s="69"/>
      <c r="O615" s="77" t="s">
        <v>539</v>
      </c>
      <c r="P615" s="79">
        <v>45164.29017361111</v>
      </c>
      <c r="Q615" s="77" t="s">
        <v>647</v>
      </c>
      <c r="R615" s="77">
        <v>3</v>
      </c>
      <c r="S615" s="77">
        <v>4</v>
      </c>
      <c r="T615" s="77">
        <v>0</v>
      </c>
      <c r="U615" s="77">
        <v>0</v>
      </c>
      <c r="V615" s="77">
        <v>90</v>
      </c>
      <c r="W615" s="81" t="s">
        <v>715</v>
      </c>
      <c r="X615" s="83" t="str">
        <f>HYPERLINK("https://www.linkedin.com/pulse/what-you-need-machine-intelligence-metaphysics-pinaki-laskar")</f>
        <v>https://www.linkedin.com/pulse/what-you-need-machine-intelligence-metaphysics-pinaki-laskar</v>
      </c>
      <c r="Y615" s="77" t="s">
        <v>749</v>
      </c>
      <c r="Z615" s="77" t="s">
        <v>809</v>
      </c>
      <c r="AA615" s="77"/>
      <c r="AB615" s="77"/>
      <c r="AC615" s="81" t="s">
        <v>855</v>
      </c>
      <c r="AD615" s="77" t="s">
        <v>859</v>
      </c>
      <c r="AE615" s="83" t="str">
        <f>HYPERLINK("https://twitter.com/pinakilaskar/status/1695329696039498043")</f>
        <v>https://twitter.com/pinakilaskar/status/1695329696039498043</v>
      </c>
      <c r="AF615" s="79">
        <v>45164.29017361111</v>
      </c>
      <c r="AG615" s="85">
        <v>45164</v>
      </c>
      <c r="AH615" s="81" t="s">
        <v>975</v>
      </c>
      <c r="AI615" s="77" t="b">
        <v>0</v>
      </c>
      <c r="AJ615" s="77"/>
      <c r="AK615" s="77"/>
      <c r="AL615" s="77"/>
      <c r="AM615" s="77"/>
      <c r="AN615" s="77"/>
      <c r="AO615" s="77"/>
      <c r="AP615" s="77"/>
      <c r="AQ615" s="77"/>
      <c r="AR615" s="77"/>
      <c r="AS615" s="77"/>
      <c r="AT615" s="77"/>
      <c r="AU615" s="77"/>
      <c r="AV615" s="83" t="str">
        <f>HYPERLINK("https://pbs.twimg.com/profile_images/1277223966705192966/aIT6N-WJ_normal.jpg")</f>
        <v>https://pbs.twimg.com/profile_images/1277223966705192966/aIT6N-WJ_normal.jpg</v>
      </c>
      <c r="AW615" s="81" t="s">
        <v>1130</v>
      </c>
      <c r="AX615" s="81" t="s">
        <v>1130</v>
      </c>
      <c r="AY615" s="77"/>
      <c r="AZ615" s="81" t="s">
        <v>1190</v>
      </c>
      <c r="BA615" s="81" t="s">
        <v>1190</v>
      </c>
      <c r="BB615" s="81" t="s">
        <v>1190</v>
      </c>
      <c r="BC615" s="81" t="s">
        <v>1130</v>
      </c>
      <c r="BD615" s="81" t="s">
        <v>1213</v>
      </c>
      <c r="BE615" s="77"/>
      <c r="BF615" s="77"/>
      <c r="BG615" s="77"/>
      <c r="BH615" s="77"/>
      <c r="BI615" s="77"/>
      <c r="BJ615">
        <v>13</v>
      </c>
      <c r="BK615" s="76" t="str">
        <f>REPLACE(INDEX(GroupVertices[Group],MATCH(Edges[[#This Row],[Vertex 1]],GroupVertices[Vertex],0)),1,1,"")</f>
        <v>7</v>
      </c>
      <c r="BL615" s="76" t="str">
        <f>REPLACE(INDEX(GroupVertices[Group],MATCH(Edges[[#This Row],[Vertex 2]],GroupVertices[Vertex],0)),1,1,"")</f>
        <v>7</v>
      </c>
      <c r="BM615" s="45"/>
      <c r="BN615" s="46"/>
      <c r="BO615" s="45"/>
      <c r="BP615" s="46"/>
      <c r="BQ615" s="45"/>
      <c r="BR615" s="46"/>
      <c r="BS615" s="45"/>
      <c r="BT615" s="46"/>
      <c r="BU615" s="45"/>
    </row>
    <row r="616" spans="1:73" ht="15">
      <c r="A616" s="61" t="s">
        <v>257</v>
      </c>
      <c r="B616" s="61" t="s">
        <v>535</v>
      </c>
      <c r="C616" s="62" t="s">
        <v>11697</v>
      </c>
      <c r="D616" s="63">
        <v>10</v>
      </c>
      <c r="E616" s="64" t="s">
        <v>136</v>
      </c>
      <c r="F616" s="65">
        <v>10</v>
      </c>
      <c r="G616" s="62"/>
      <c r="H616" s="66"/>
      <c r="I616" s="67"/>
      <c r="J616" s="67"/>
      <c r="K616" s="31" t="s">
        <v>65</v>
      </c>
      <c r="L616" s="75">
        <v>616</v>
      </c>
      <c r="M616" s="75"/>
      <c r="N616" s="69"/>
      <c r="O616" s="77" t="s">
        <v>539</v>
      </c>
      <c r="P616" s="79">
        <v>45164.29017361111</v>
      </c>
      <c r="Q616" s="77" t="s">
        <v>647</v>
      </c>
      <c r="R616" s="77">
        <v>3</v>
      </c>
      <c r="S616" s="77">
        <v>4</v>
      </c>
      <c r="T616" s="77">
        <v>0</v>
      </c>
      <c r="U616" s="77">
        <v>0</v>
      </c>
      <c r="V616" s="77">
        <v>90</v>
      </c>
      <c r="W616" s="81" t="s">
        <v>715</v>
      </c>
      <c r="X616" s="83" t="str">
        <f>HYPERLINK("https://www.linkedin.com/pulse/what-you-need-machine-intelligence-metaphysics-pinaki-laskar")</f>
        <v>https://www.linkedin.com/pulse/what-you-need-machine-intelligence-metaphysics-pinaki-laskar</v>
      </c>
      <c r="Y616" s="77" t="s">
        <v>749</v>
      </c>
      <c r="Z616" s="77" t="s">
        <v>809</v>
      </c>
      <c r="AA616" s="77"/>
      <c r="AB616" s="77"/>
      <c r="AC616" s="81" t="s">
        <v>855</v>
      </c>
      <c r="AD616" s="77" t="s">
        <v>859</v>
      </c>
      <c r="AE616" s="83" t="str">
        <f>HYPERLINK("https://twitter.com/pinakilaskar/status/1695329696039498043")</f>
        <v>https://twitter.com/pinakilaskar/status/1695329696039498043</v>
      </c>
      <c r="AF616" s="79">
        <v>45164.29017361111</v>
      </c>
      <c r="AG616" s="85">
        <v>45164</v>
      </c>
      <c r="AH616" s="81" t="s">
        <v>975</v>
      </c>
      <c r="AI616" s="77" t="b">
        <v>0</v>
      </c>
      <c r="AJ616" s="77"/>
      <c r="AK616" s="77"/>
      <c r="AL616" s="77"/>
      <c r="AM616" s="77"/>
      <c r="AN616" s="77"/>
      <c r="AO616" s="77"/>
      <c r="AP616" s="77"/>
      <c r="AQ616" s="77"/>
      <c r="AR616" s="77"/>
      <c r="AS616" s="77"/>
      <c r="AT616" s="77"/>
      <c r="AU616" s="77"/>
      <c r="AV616" s="83" t="str">
        <f>HYPERLINK("https://pbs.twimg.com/profile_images/1277223966705192966/aIT6N-WJ_normal.jpg")</f>
        <v>https://pbs.twimg.com/profile_images/1277223966705192966/aIT6N-WJ_normal.jpg</v>
      </c>
      <c r="AW616" s="81" t="s">
        <v>1130</v>
      </c>
      <c r="AX616" s="81" t="s">
        <v>1130</v>
      </c>
      <c r="AY616" s="77"/>
      <c r="AZ616" s="81" t="s">
        <v>1190</v>
      </c>
      <c r="BA616" s="81" t="s">
        <v>1190</v>
      </c>
      <c r="BB616" s="81" t="s">
        <v>1190</v>
      </c>
      <c r="BC616" s="81" t="s">
        <v>1130</v>
      </c>
      <c r="BD616" s="81" t="s">
        <v>1213</v>
      </c>
      <c r="BE616" s="77"/>
      <c r="BF616" s="77"/>
      <c r="BG616" s="77"/>
      <c r="BH616" s="77"/>
      <c r="BI616" s="77"/>
      <c r="BJ616">
        <v>13</v>
      </c>
      <c r="BK616" s="76" t="str">
        <f>REPLACE(INDEX(GroupVertices[Group],MATCH(Edges[[#This Row],[Vertex 1]],GroupVertices[Vertex],0)),1,1,"")</f>
        <v>7</v>
      </c>
      <c r="BL616" s="76" t="str">
        <f>REPLACE(INDEX(GroupVertices[Group],MATCH(Edges[[#This Row],[Vertex 2]],GroupVertices[Vertex],0)),1,1,"")</f>
        <v>7</v>
      </c>
      <c r="BM616" s="45"/>
      <c r="BN616" s="46"/>
      <c r="BO616" s="45"/>
      <c r="BP616" s="46"/>
      <c r="BQ616" s="45"/>
      <c r="BR616" s="46"/>
      <c r="BS616" s="45"/>
      <c r="BT616" s="46"/>
      <c r="BU616" s="45"/>
    </row>
    <row r="617" spans="1:73" ht="15">
      <c r="A617" s="61" t="s">
        <v>257</v>
      </c>
      <c r="B617" s="61" t="s">
        <v>538</v>
      </c>
      <c r="C617" s="62" t="s">
        <v>11697</v>
      </c>
      <c r="D617" s="63">
        <v>10</v>
      </c>
      <c r="E617" s="64" t="s">
        <v>136</v>
      </c>
      <c r="F617" s="65">
        <v>10</v>
      </c>
      <c r="G617" s="62"/>
      <c r="H617" s="66"/>
      <c r="I617" s="67"/>
      <c r="J617" s="67"/>
      <c r="K617" s="31" t="s">
        <v>65</v>
      </c>
      <c r="L617" s="75">
        <v>617</v>
      </c>
      <c r="M617" s="75"/>
      <c r="N617" s="69"/>
      <c r="O617" s="77" t="s">
        <v>539</v>
      </c>
      <c r="P617" s="79">
        <v>45164.29017361111</v>
      </c>
      <c r="Q617" s="77" t="s">
        <v>647</v>
      </c>
      <c r="R617" s="77">
        <v>3</v>
      </c>
      <c r="S617" s="77">
        <v>4</v>
      </c>
      <c r="T617" s="77">
        <v>0</v>
      </c>
      <c r="U617" s="77">
        <v>0</v>
      </c>
      <c r="V617" s="77">
        <v>90</v>
      </c>
      <c r="W617" s="81" t="s">
        <v>715</v>
      </c>
      <c r="X617" s="83" t="str">
        <f>HYPERLINK("https://www.linkedin.com/pulse/what-you-need-machine-intelligence-metaphysics-pinaki-laskar")</f>
        <v>https://www.linkedin.com/pulse/what-you-need-machine-intelligence-metaphysics-pinaki-laskar</v>
      </c>
      <c r="Y617" s="77" t="s">
        <v>749</v>
      </c>
      <c r="Z617" s="77" t="s">
        <v>809</v>
      </c>
      <c r="AA617" s="77"/>
      <c r="AB617" s="77"/>
      <c r="AC617" s="81" t="s">
        <v>855</v>
      </c>
      <c r="AD617" s="77" t="s">
        <v>859</v>
      </c>
      <c r="AE617" s="83" t="str">
        <f>HYPERLINK("https://twitter.com/pinakilaskar/status/1695329696039498043")</f>
        <v>https://twitter.com/pinakilaskar/status/1695329696039498043</v>
      </c>
      <c r="AF617" s="79">
        <v>45164.29017361111</v>
      </c>
      <c r="AG617" s="85">
        <v>45164</v>
      </c>
      <c r="AH617" s="81" t="s">
        <v>975</v>
      </c>
      <c r="AI617" s="77" t="b">
        <v>0</v>
      </c>
      <c r="AJ617" s="77"/>
      <c r="AK617" s="77"/>
      <c r="AL617" s="77"/>
      <c r="AM617" s="77"/>
      <c r="AN617" s="77"/>
      <c r="AO617" s="77"/>
      <c r="AP617" s="77"/>
      <c r="AQ617" s="77"/>
      <c r="AR617" s="77"/>
      <c r="AS617" s="77"/>
      <c r="AT617" s="77"/>
      <c r="AU617" s="77"/>
      <c r="AV617" s="83" t="str">
        <f>HYPERLINK("https://pbs.twimg.com/profile_images/1277223966705192966/aIT6N-WJ_normal.jpg")</f>
        <v>https://pbs.twimg.com/profile_images/1277223966705192966/aIT6N-WJ_normal.jpg</v>
      </c>
      <c r="AW617" s="81" t="s">
        <v>1130</v>
      </c>
      <c r="AX617" s="81" t="s">
        <v>1130</v>
      </c>
      <c r="AY617" s="77"/>
      <c r="AZ617" s="81" t="s">
        <v>1190</v>
      </c>
      <c r="BA617" s="81" t="s">
        <v>1190</v>
      </c>
      <c r="BB617" s="81" t="s">
        <v>1190</v>
      </c>
      <c r="BC617" s="81" t="s">
        <v>1130</v>
      </c>
      <c r="BD617" s="81" t="s">
        <v>1213</v>
      </c>
      <c r="BE617" s="77"/>
      <c r="BF617" s="77"/>
      <c r="BG617" s="77"/>
      <c r="BH617" s="77"/>
      <c r="BI617" s="77"/>
      <c r="BJ617">
        <v>13</v>
      </c>
      <c r="BK617" s="76" t="str">
        <f>REPLACE(INDEX(GroupVertices[Group],MATCH(Edges[[#This Row],[Vertex 1]],GroupVertices[Vertex],0)),1,1,"")</f>
        <v>7</v>
      </c>
      <c r="BL617" s="76" t="str">
        <f>REPLACE(INDEX(GroupVertices[Group],MATCH(Edges[[#This Row],[Vertex 2]],GroupVertices[Vertex],0)),1,1,"")</f>
        <v>7</v>
      </c>
      <c r="BM617" s="45">
        <v>1</v>
      </c>
      <c r="BN617" s="46">
        <v>4.545454545454546</v>
      </c>
      <c r="BO617" s="45">
        <v>0</v>
      </c>
      <c r="BP617" s="46">
        <v>0</v>
      </c>
      <c r="BQ617" s="45">
        <v>0</v>
      </c>
      <c r="BR617" s="46">
        <v>0</v>
      </c>
      <c r="BS617" s="45">
        <v>17</v>
      </c>
      <c r="BT617" s="46">
        <v>77.27272727272727</v>
      </c>
      <c r="BU617" s="45">
        <v>22</v>
      </c>
    </row>
    <row r="618" spans="1:73" ht="15">
      <c r="A618" s="61" t="s">
        <v>257</v>
      </c>
      <c r="B618" s="61" t="s">
        <v>258</v>
      </c>
      <c r="C618" s="62" t="s">
        <v>11695</v>
      </c>
      <c r="D618" s="63">
        <v>7.2</v>
      </c>
      <c r="E618" s="64" t="s">
        <v>132</v>
      </c>
      <c r="F618" s="65">
        <v>18.8</v>
      </c>
      <c r="G618" s="62"/>
      <c r="H618" s="66"/>
      <c r="I618" s="67"/>
      <c r="J618" s="67"/>
      <c r="K618" s="31" t="s">
        <v>65</v>
      </c>
      <c r="L618" s="75">
        <v>618</v>
      </c>
      <c r="M618" s="75"/>
      <c r="N618" s="69"/>
      <c r="O618" s="77" t="s">
        <v>539</v>
      </c>
      <c r="P618" s="79">
        <v>45150.492997685185</v>
      </c>
      <c r="Q618" s="77" t="s">
        <v>648</v>
      </c>
      <c r="R618" s="77">
        <v>3</v>
      </c>
      <c r="S618" s="77">
        <v>3</v>
      </c>
      <c r="T618" s="77">
        <v>0</v>
      </c>
      <c r="U618" s="77">
        <v>0</v>
      </c>
      <c r="V618" s="77">
        <v>106</v>
      </c>
      <c r="W618" s="77"/>
      <c r="X618" s="77"/>
      <c r="Y618" s="77"/>
      <c r="Z618" s="77" t="s">
        <v>810</v>
      </c>
      <c r="AA618" s="77" t="s">
        <v>840</v>
      </c>
      <c r="AB618" s="77" t="s">
        <v>851</v>
      </c>
      <c r="AC618" s="81" t="s">
        <v>855</v>
      </c>
      <c r="AD618" s="77" t="s">
        <v>859</v>
      </c>
      <c r="AE618" s="83" t="str">
        <f>HYPERLINK("https://twitter.com/pinakilaskar/status/1690329764257828864")</f>
        <v>https://twitter.com/pinakilaskar/status/1690329764257828864</v>
      </c>
      <c r="AF618" s="79">
        <v>45150.492997685185</v>
      </c>
      <c r="AG618" s="85">
        <v>45150</v>
      </c>
      <c r="AH618" s="81" t="s">
        <v>976</v>
      </c>
      <c r="AI618" s="77" t="b">
        <v>0</v>
      </c>
      <c r="AJ618" s="77"/>
      <c r="AK618" s="77"/>
      <c r="AL618" s="77"/>
      <c r="AM618" s="77"/>
      <c r="AN618" s="77"/>
      <c r="AO618" s="77"/>
      <c r="AP618" s="77"/>
      <c r="AQ618" s="77" t="s">
        <v>1019</v>
      </c>
      <c r="AR618" s="77"/>
      <c r="AS618" s="77"/>
      <c r="AT618" s="77"/>
      <c r="AU618" s="77"/>
      <c r="AV618" s="83" t="str">
        <f>HYPERLINK("https://pbs.twimg.com/tweet_video_thumb/F3VB8UubAAE2han.jpg")</f>
        <v>https://pbs.twimg.com/tweet_video_thumb/F3VB8UubAAE2han.jpg</v>
      </c>
      <c r="AW618" s="81" t="s">
        <v>1131</v>
      </c>
      <c r="AX618" s="81" t="s">
        <v>1131</v>
      </c>
      <c r="AY618" s="77"/>
      <c r="AZ618" s="81" t="s">
        <v>1190</v>
      </c>
      <c r="BA618" s="81" t="s">
        <v>1190</v>
      </c>
      <c r="BB618" s="81" t="s">
        <v>1190</v>
      </c>
      <c r="BC618" s="81" t="s">
        <v>1131</v>
      </c>
      <c r="BD618" s="81" t="s">
        <v>1213</v>
      </c>
      <c r="BE618" s="77"/>
      <c r="BF618" s="77"/>
      <c r="BG618" s="77"/>
      <c r="BH618" s="77"/>
      <c r="BI618" s="77"/>
      <c r="BJ618">
        <v>4</v>
      </c>
      <c r="BK618" s="76" t="str">
        <f>REPLACE(INDEX(GroupVertices[Group],MATCH(Edges[[#This Row],[Vertex 1]],GroupVertices[Vertex],0)),1,1,"")</f>
        <v>7</v>
      </c>
      <c r="BL618" s="76" t="str">
        <f>REPLACE(INDEX(GroupVertices[Group],MATCH(Edges[[#This Row],[Vertex 2]],GroupVertices[Vertex],0)),1,1,"")</f>
        <v>7</v>
      </c>
      <c r="BM618" s="45">
        <v>0</v>
      </c>
      <c r="BN618" s="46">
        <v>0</v>
      </c>
      <c r="BO618" s="45">
        <v>2</v>
      </c>
      <c r="BP618" s="46">
        <v>9.523809523809524</v>
      </c>
      <c r="BQ618" s="45">
        <v>0</v>
      </c>
      <c r="BR618" s="46">
        <v>0</v>
      </c>
      <c r="BS618" s="45">
        <v>17</v>
      </c>
      <c r="BT618" s="46">
        <v>80.95238095238095</v>
      </c>
      <c r="BU618" s="45">
        <v>21</v>
      </c>
    </row>
    <row r="619" spans="1:73" ht="15">
      <c r="A619" s="61" t="s">
        <v>257</v>
      </c>
      <c r="B619" s="61" t="s">
        <v>526</v>
      </c>
      <c r="C619" s="62" t="s">
        <v>11696</v>
      </c>
      <c r="D619" s="63">
        <v>8.6</v>
      </c>
      <c r="E619" s="64" t="s">
        <v>136</v>
      </c>
      <c r="F619" s="65">
        <v>14.399999999999999</v>
      </c>
      <c r="G619" s="62"/>
      <c r="H619" s="66"/>
      <c r="I619" s="67"/>
      <c r="J619" s="67"/>
      <c r="K619" s="31" t="s">
        <v>65</v>
      </c>
      <c r="L619" s="75">
        <v>619</v>
      </c>
      <c r="M619" s="75"/>
      <c r="N619" s="69"/>
      <c r="O619" s="77" t="s">
        <v>539</v>
      </c>
      <c r="P619" s="79">
        <v>45150.492997685185</v>
      </c>
      <c r="Q619" s="77" t="s">
        <v>648</v>
      </c>
      <c r="R619" s="77">
        <v>3</v>
      </c>
      <c r="S619" s="77">
        <v>3</v>
      </c>
      <c r="T619" s="77">
        <v>0</v>
      </c>
      <c r="U619" s="77">
        <v>0</v>
      </c>
      <c r="V619" s="77">
        <v>106</v>
      </c>
      <c r="W619" s="77"/>
      <c r="X619" s="77"/>
      <c r="Y619" s="77"/>
      <c r="Z619" s="77" t="s">
        <v>810</v>
      </c>
      <c r="AA619" s="77" t="s">
        <v>840</v>
      </c>
      <c r="AB619" s="77" t="s">
        <v>851</v>
      </c>
      <c r="AC619" s="81" t="s">
        <v>855</v>
      </c>
      <c r="AD619" s="77" t="s">
        <v>859</v>
      </c>
      <c r="AE619" s="83" t="str">
        <f>HYPERLINK("https://twitter.com/pinakilaskar/status/1690329764257828864")</f>
        <v>https://twitter.com/pinakilaskar/status/1690329764257828864</v>
      </c>
      <c r="AF619" s="79">
        <v>45150.492997685185</v>
      </c>
      <c r="AG619" s="85">
        <v>45150</v>
      </c>
      <c r="AH619" s="81" t="s">
        <v>976</v>
      </c>
      <c r="AI619" s="77" t="b">
        <v>0</v>
      </c>
      <c r="AJ619" s="77"/>
      <c r="AK619" s="77"/>
      <c r="AL619" s="77"/>
      <c r="AM619" s="77"/>
      <c r="AN619" s="77"/>
      <c r="AO619" s="77"/>
      <c r="AP619" s="77"/>
      <c r="AQ619" s="77" t="s">
        <v>1019</v>
      </c>
      <c r="AR619" s="77"/>
      <c r="AS619" s="77"/>
      <c r="AT619" s="77"/>
      <c r="AU619" s="77"/>
      <c r="AV619" s="83" t="str">
        <f>HYPERLINK("https://pbs.twimg.com/tweet_video_thumb/F3VB8UubAAE2han.jpg")</f>
        <v>https://pbs.twimg.com/tweet_video_thumb/F3VB8UubAAE2han.jpg</v>
      </c>
      <c r="AW619" s="81" t="s">
        <v>1131</v>
      </c>
      <c r="AX619" s="81" t="s">
        <v>1131</v>
      </c>
      <c r="AY619" s="77"/>
      <c r="AZ619" s="81" t="s">
        <v>1190</v>
      </c>
      <c r="BA619" s="81" t="s">
        <v>1190</v>
      </c>
      <c r="BB619" s="81" t="s">
        <v>1190</v>
      </c>
      <c r="BC619" s="81" t="s">
        <v>1131</v>
      </c>
      <c r="BD619" s="81" t="s">
        <v>1213</v>
      </c>
      <c r="BE619" s="77"/>
      <c r="BF619" s="77"/>
      <c r="BG619" s="77"/>
      <c r="BH619" s="77"/>
      <c r="BI619" s="77"/>
      <c r="BJ619">
        <v>5</v>
      </c>
      <c r="BK619" s="76" t="str">
        <f>REPLACE(INDEX(GroupVertices[Group],MATCH(Edges[[#This Row],[Vertex 1]],GroupVertices[Vertex],0)),1,1,"")</f>
        <v>7</v>
      </c>
      <c r="BL619" s="76" t="str">
        <f>REPLACE(INDEX(GroupVertices[Group],MATCH(Edges[[#This Row],[Vertex 2]],GroupVertices[Vertex],0)),1,1,"")</f>
        <v>7</v>
      </c>
      <c r="BM619" s="45"/>
      <c r="BN619" s="46"/>
      <c r="BO619" s="45"/>
      <c r="BP619" s="46"/>
      <c r="BQ619" s="45"/>
      <c r="BR619" s="46"/>
      <c r="BS619" s="45"/>
      <c r="BT619" s="46"/>
      <c r="BU619" s="45"/>
    </row>
    <row r="620" spans="1:73" ht="15">
      <c r="A620" s="61" t="s">
        <v>257</v>
      </c>
      <c r="B620" s="61" t="s">
        <v>527</v>
      </c>
      <c r="C620" s="62" t="s">
        <v>11695</v>
      </c>
      <c r="D620" s="63">
        <v>7.2</v>
      </c>
      <c r="E620" s="64" t="s">
        <v>132</v>
      </c>
      <c r="F620" s="65">
        <v>18.8</v>
      </c>
      <c r="G620" s="62"/>
      <c r="H620" s="66"/>
      <c r="I620" s="67"/>
      <c r="J620" s="67"/>
      <c r="K620" s="31" t="s">
        <v>65</v>
      </c>
      <c r="L620" s="75">
        <v>620</v>
      </c>
      <c r="M620" s="75"/>
      <c r="N620" s="69"/>
      <c r="O620" s="77" t="s">
        <v>539</v>
      </c>
      <c r="P620" s="79">
        <v>45150.492997685185</v>
      </c>
      <c r="Q620" s="77" t="s">
        <v>648</v>
      </c>
      <c r="R620" s="77">
        <v>3</v>
      </c>
      <c r="S620" s="77">
        <v>3</v>
      </c>
      <c r="T620" s="77">
        <v>0</v>
      </c>
      <c r="U620" s="77">
        <v>0</v>
      </c>
      <c r="V620" s="77">
        <v>106</v>
      </c>
      <c r="W620" s="77"/>
      <c r="X620" s="77"/>
      <c r="Y620" s="77"/>
      <c r="Z620" s="77" t="s">
        <v>810</v>
      </c>
      <c r="AA620" s="77" t="s">
        <v>840</v>
      </c>
      <c r="AB620" s="77" t="s">
        <v>851</v>
      </c>
      <c r="AC620" s="81" t="s">
        <v>855</v>
      </c>
      <c r="AD620" s="77" t="s">
        <v>859</v>
      </c>
      <c r="AE620" s="83" t="str">
        <f>HYPERLINK("https://twitter.com/pinakilaskar/status/1690329764257828864")</f>
        <v>https://twitter.com/pinakilaskar/status/1690329764257828864</v>
      </c>
      <c r="AF620" s="79">
        <v>45150.492997685185</v>
      </c>
      <c r="AG620" s="85">
        <v>45150</v>
      </c>
      <c r="AH620" s="81" t="s">
        <v>976</v>
      </c>
      <c r="AI620" s="77" t="b">
        <v>0</v>
      </c>
      <c r="AJ620" s="77"/>
      <c r="AK620" s="77"/>
      <c r="AL620" s="77"/>
      <c r="AM620" s="77"/>
      <c r="AN620" s="77"/>
      <c r="AO620" s="77"/>
      <c r="AP620" s="77"/>
      <c r="AQ620" s="77" t="s">
        <v>1019</v>
      </c>
      <c r="AR620" s="77"/>
      <c r="AS620" s="77"/>
      <c r="AT620" s="77"/>
      <c r="AU620" s="77"/>
      <c r="AV620" s="83" t="str">
        <f>HYPERLINK("https://pbs.twimg.com/tweet_video_thumb/F3VB8UubAAE2han.jpg")</f>
        <v>https://pbs.twimg.com/tweet_video_thumb/F3VB8UubAAE2han.jpg</v>
      </c>
      <c r="AW620" s="81" t="s">
        <v>1131</v>
      </c>
      <c r="AX620" s="81" t="s">
        <v>1131</v>
      </c>
      <c r="AY620" s="77"/>
      <c r="AZ620" s="81" t="s">
        <v>1190</v>
      </c>
      <c r="BA620" s="81" t="s">
        <v>1190</v>
      </c>
      <c r="BB620" s="81" t="s">
        <v>1190</v>
      </c>
      <c r="BC620" s="81" t="s">
        <v>1131</v>
      </c>
      <c r="BD620" s="81" t="s">
        <v>1213</v>
      </c>
      <c r="BE620" s="77"/>
      <c r="BF620" s="77"/>
      <c r="BG620" s="77"/>
      <c r="BH620" s="77"/>
      <c r="BI620" s="77"/>
      <c r="BJ620">
        <v>4</v>
      </c>
      <c r="BK620" s="76" t="str">
        <f>REPLACE(INDEX(GroupVertices[Group],MATCH(Edges[[#This Row],[Vertex 1]],GroupVertices[Vertex],0)),1,1,"")</f>
        <v>7</v>
      </c>
      <c r="BL620" s="76" t="str">
        <f>REPLACE(INDEX(GroupVertices[Group],MATCH(Edges[[#This Row],[Vertex 2]],GroupVertices[Vertex],0)),1,1,"")</f>
        <v>7</v>
      </c>
      <c r="BM620" s="45"/>
      <c r="BN620" s="46"/>
      <c r="BO620" s="45"/>
      <c r="BP620" s="46"/>
      <c r="BQ620" s="45"/>
      <c r="BR620" s="46"/>
      <c r="BS620" s="45"/>
      <c r="BT620" s="46"/>
      <c r="BU620" s="45"/>
    </row>
    <row r="621" spans="1:73" ht="15">
      <c r="A621" s="61" t="s">
        <v>257</v>
      </c>
      <c r="B621" s="61" t="s">
        <v>228</v>
      </c>
      <c r="C621" s="62" t="s">
        <v>11697</v>
      </c>
      <c r="D621" s="63">
        <v>10</v>
      </c>
      <c r="E621" s="64" t="s">
        <v>136</v>
      </c>
      <c r="F621" s="65">
        <v>10</v>
      </c>
      <c r="G621" s="62"/>
      <c r="H621" s="66"/>
      <c r="I621" s="67"/>
      <c r="J621" s="67"/>
      <c r="K621" s="31" t="s">
        <v>65</v>
      </c>
      <c r="L621" s="75">
        <v>621</v>
      </c>
      <c r="M621" s="75"/>
      <c r="N621" s="69"/>
      <c r="O621" s="77" t="s">
        <v>539</v>
      </c>
      <c r="P621" s="79">
        <v>45150.492997685185</v>
      </c>
      <c r="Q621" s="77" t="s">
        <v>648</v>
      </c>
      <c r="R621" s="77">
        <v>3</v>
      </c>
      <c r="S621" s="77">
        <v>3</v>
      </c>
      <c r="T621" s="77">
        <v>0</v>
      </c>
      <c r="U621" s="77">
        <v>0</v>
      </c>
      <c r="V621" s="77">
        <v>106</v>
      </c>
      <c r="W621" s="77"/>
      <c r="X621" s="77"/>
      <c r="Y621" s="77"/>
      <c r="Z621" s="77" t="s">
        <v>810</v>
      </c>
      <c r="AA621" s="77" t="s">
        <v>840</v>
      </c>
      <c r="AB621" s="77" t="s">
        <v>851</v>
      </c>
      <c r="AC621" s="81" t="s">
        <v>855</v>
      </c>
      <c r="AD621" s="77" t="s">
        <v>859</v>
      </c>
      <c r="AE621" s="83" t="str">
        <f>HYPERLINK("https://twitter.com/pinakilaskar/status/1690329764257828864")</f>
        <v>https://twitter.com/pinakilaskar/status/1690329764257828864</v>
      </c>
      <c r="AF621" s="79">
        <v>45150.492997685185</v>
      </c>
      <c r="AG621" s="85">
        <v>45150</v>
      </c>
      <c r="AH621" s="81" t="s">
        <v>976</v>
      </c>
      <c r="AI621" s="77" t="b">
        <v>0</v>
      </c>
      <c r="AJ621" s="77"/>
      <c r="AK621" s="77"/>
      <c r="AL621" s="77"/>
      <c r="AM621" s="77"/>
      <c r="AN621" s="77"/>
      <c r="AO621" s="77"/>
      <c r="AP621" s="77"/>
      <c r="AQ621" s="77" t="s">
        <v>1019</v>
      </c>
      <c r="AR621" s="77"/>
      <c r="AS621" s="77"/>
      <c r="AT621" s="77"/>
      <c r="AU621" s="77"/>
      <c r="AV621" s="83" t="str">
        <f>HYPERLINK("https://pbs.twimg.com/tweet_video_thumb/F3VB8UubAAE2han.jpg")</f>
        <v>https://pbs.twimg.com/tweet_video_thumb/F3VB8UubAAE2han.jpg</v>
      </c>
      <c r="AW621" s="81" t="s">
        <v>1131</v>
      </c>
      <c r="AX621" s="81" t="s">
        <v>1131</v>
      </c>
      <c r="AY621" s="77"/>
      <c r="AZ621" s="81" t="s">
        <v>1190</v>
      </c>
      <c r="BA621" s="81" t="s">
        <v>1190</v>
      </c>
      <c r="BB621" s="81" t="s">
        <v>1190</v>
      </c>
      <c r="BC621" s="81" t="s">
        <v>1131</v>
      </c>
      <c r="BD621" s="81" t="s">
        <v>1213</v>
      </c>
      <c r="BE621" s="77"/>
      <c r="BF621" s="77"/>
      <c r="BG621" s="77"/>
      <c r="BH621" s="77"/>
      <c r="BI621" s="77"/>
      <c r="BJ621">
        <v>13</v>
      </c>
      <c r="BK621" s="76" t="str">
        <f>REPLACE(INDEX(GroupVertices[Group],MATCH(Edges[[#This Row],[Vertex 1]],GroupVertices[Vertex],0)),1,1,"")</f>
        <v>7</v>
      </c>
      <c r="BL621" s="76" t="str">
        <f>REPLACE(INDEX(GroupVertices[Group],MATCH(Edges[[#This Row],[Vertex 2]],GroupVertices[Vertex],0)),1,1,"")</f>
        <v>2</v>
      </c>
      <c r="BM621" s="45"/>
      <c r="BN621" s="46"/>
      <c r="BO621" s="45"/>
      <c r="BP621" s="46"/>
      <c r="BQ621" s="45"/>
      <c r="BR621" s="46"/>
      <c r="BS621" s="45"/>
      <c r="BT621" s="46"/>
      <c r="BU621" s="45"/>
    </row>
    <row r="622" spans="1:73" ht="15">
      <c r="A622" s="61" t="s">
        <v>257</v>
      </c>
      <c r="B622" s="61" t="s">
        <v>528</v>
      </c>
      <c r="C622" s="62" t="s">
        <v>11697</v>
      </c>
      <c r="D622" s="63">
        <v>10</v>
      </c>
      <c r="E622" s="64" t="s">
        <v>136</v>
      </c>
      <c r="F622" s="65">
        <v>10</v>
      </c>
      <c r="G622" s="62"/>
      <c r="H622" s="66"/>
      <c r="I622" s="67"/>
      <c r="J622" s="67"/>
      <c r="K622" s="31" t="s">
        <v>65</v>
      </c>
      <c r="L622" s="75">
        <v>622</v>
      </c>
      <c r="M622" s="75"/>
      <c r="N622" s="69"/>
      <c r="O622" s="77" t="s">
        <v>539</v>
      </c>
      <c r="P622" s="79">
        <v>45150.492997685185</v>
      </c>
      <c r="Q622" s="77" t="s">
        <v>648</v>
      </c>
      <c r="R622" s="77">
        <v>3</v>
      </c>
      <c r="S622" s="77">
        <v>3</v>
      </c>
      <c r="T622" s="77">
        <v>0</v>
      </c>
      <c r="U622" s="77">
        <v>0</v>
      </c>
      <c r="V622" s="77">
        <v>106</v>
      </c>
      <c r="W622" s="77"/>
      <c r="X622" s="77"/>
      <c r="Y622" s="77"/>
      <c r="Z622" s="77" t="s">
        <v>810</v>
      </c>
      <c r="AA622" s="77" t="s">
        <v>840</v>
      </c>
      <c r="AB622" s="77" t="s">
        <v>851</v>
      </c>
      <c r="AC622" s="81" t="s">
        <v>855</v>
      </c>
      <c r="AD622" s="77" t="s">
        <v>859</v>
      </c>
      <c r="AE622" s="83" t="str">
        <f>HYPERLINK("https://twitter.com/pinakilaskar/status/1690329764257828864")</f>
        <v>https://twitter.com/pinakilaskar/status/1690329764257828864</v>
      </c>
      <c r="AF622" s="79">
        <v>45150.492997685185</v>
      </c>
      <c r="AG622" s="85">
        <v>45150</v>
      </c>
      <c r="AH622" s="81" t="s">
        <v>976</v>
      </c>
      <c r="AI622" s="77" t="b">
        <v>0</v>
      </c>
      <c r="AJ622" s="77"/>
      <c r="AK622" s="77"/>
      <c r="AL622" s="77"/>
      <c r="AM622" s="77"/>
      <c r="AN622" s="77"/>
      <c r="AO622" s="77"/>
      <c r="AP622" s="77"/>
      <c r="AQ622" s="77" t="s">
        <v>1019</v>
      </c>
      <c r="AR622" s="77"/>
      <c r="AS622" s="77"/>
      <c r="AT622" s="77"/>
      <c r="AU622" s="77"/>
      <c r="AV622" s="83" t="str">
        <f>HYPERLINK("https://pbs.twimg.com/tweet_video_thumb/F3VB8UubAAE2han.jpg")</f>
        <v>https://pbs.twimg.com/tweet_video_thumb/F3VB8UubAAE2han.jpg</v>
      </c>
      <c r="AW622" s="81" t="s">
        <v>1131</v>
      </c>
      <c r="AX622" s="81" t="s">
        <v>1131</v>
      </c>
      <c r="AY622" s="77"/>
      <c r="AZ622" s="81" t="s">
        <v>1190</v>
      </c>
      <c r="BA622" s="81" t="s">
        <v>1190</v>
      </c>
      <c r="BB622" s="81" t="s">
        <v>1190</v>
      </c>
      <c r="BC622" s="81" t="s">
        <v>1131</v>
      </c>
      <c r="BD622" s="81" t="s">
        <v>1213</v>
      </c>
      <c r="BE622" s="77"/>
      <c r="BF622" s="77"/>
      <c r="BG622" s="77"/>
      <c r="BH622" s="77"/>
      <c r="BI622" s="77"/>
      <c r="BJ622">
        <v>8</v>
      </c>
      <c r="BK622" s="76" t="str">
        <f>REPLACE(INDEX(GroupVertices[Group],MATCH(Edges[[#This Row],[Vertex 1]],GroupVertices[Vertex],0)),1,1,"")</f>
        <v>7</v>
      </c>
      <c r="BL622" s="76" t="str">
        <f>REPLACE(INDEX(GroupVertices[Group],MATCH(Edges[[#This Row],[Vertex 2]],GroupVertices[Vertex],0)),1,1,"")</f>
        <v>7</v>
      </c>
      <c r="BM622" s="45"/>
      <c r="BN622" s="46"/>
      <c r="BO622" s="45"/>
      <c r="BP622" s="46"/>
      <c r="BQ622" s="45"/>
      <c r="BR622" s="46"/>
      <c r="BS622" s="45"/>
      <c r="BT622" s="46"/>
      <c r="BU622" s="45"/>
    </row>
    <row r="623" spans="1:73" ht="15">
      <c r="A623" s="61" t="s">
        <v>257</v>
      </c>
      <c r="B623" s="61" t="s">
        <v>529</v>
      </c>
      <c r="C623" s="62" t="s">
        <v>11697</v>
      </c>
      <c r="D623" s="63">
        <v>10</v>
      </c>
      <c r="E623" s="64" t="s">
        <v>136</v>
      </c>
      <c r="F623" s="65">
        <v>10</v>
      </c>
      <c r="G623" s="62"/>
      <c r="H623" s="66"/>
      <c r="I623" s="67"/>
      <c r="J623" s="67"/>
      <c r="K623" s="31" t="s">
        <v>65</v>
      </c>
      <c r="L623" s="75">
        <v>623</v>
      </c>
      <c r="M623" s="75"/>
      <c r="N623" s="69"/>
      <c r="O623" s="77" t="s">
        <v>539</v>
      </c>
      <c r="P623" s="79">
        <v>45150.492997685185</v>
      </c>
      <c r="Q623" s="77" t="s">
        <v>648</v>
      </c>
      <c r="R623" s="77">
        <v>3</v>
      </c>
      <c r="S623" s="77">
        <v>3</v>
      </c>
      <c r="T623" s="77">
        <v>0</v>
      </c>
      <c r="U623" s="77">
        <v>0</v>
      </c>
      <c r="V623" s="77">
        <v>106</v>
      </c>
      <c r="W623" s="77"/>
      <c r="X623" s="77"/>
      <c r="Y623" s="77"/>
      <c r="Z623" s="77" t="s">
        <v>810</v>
      </c>
      <c r="AA623" s="77" t="s">
        <v>840</v>
      </c>
      <c r="AB623" s="77" t="s">
        <v>851</v>
      </c>
      <c r="AC623" s="81" t="s">
        <v>855</v>
      </c>
      <c r="AD623" s="77" t="s">
        <v>859</v>
      </c>
      <c r="AE623" s="83" t="str">
        <f>HYPERLINK("https://twitter.com/pinakilaskar/status/1690329764257828864")</f>
        <v>https://twitter.com/pinakilaskar/status/1690329764257828864</v>
      </c>
      <c r="AF623" s="79">
        <v>45150.492997685185</v>
      </c>
      <c r="AG623" s="85">
        <v>45150</v>
      </c>
      <c r="AH623" s="81" t="s">
        <v>976</v>
      </c>
      <c r="AI623" s="77" t="b">
        <v>0</v>
      </c>
      <c r="AJ623" s="77"/>
      <c r="AK623" s="77"/>
      <c r="AL623" s="77"/>
      <c r="AM623" s="77"/>
      <c r="AN623" s="77"/>
      <c r="AO623" s="77"/>
      <c r="AP623" s="77"/>
      <c r="AQ623" s="77" t="s">
        <v>1019</v>
      </c>
      <c r="AR623" s="77"/>
      <c r="AS623" s="77"/>
      <c r="AT623" s="77"/>
      <c r="AU623" s="77"/>
      <c r="AV623" s="83" t="str">
        <f>HYPERLINK("https://pbs.twimg.com/tweet_video_thumb/F3VB8UubAAE2han.jpg")</f>
        <v>https://pbs.twimg.com/tweet_video_thumb/F3VB8UubAAE2han.jpg</v>
      </c>
      <c r="AW623" s="81" t="s">
        <v>1131</v>
      </c>
      <c r="AX623" s="81" t="s">
        <v>1131</v>
      </c>
      <c r="AY623" s="77"/>
      <c r="AZ623" s="81" t="s">
        <v>1190</v>
      </c>
      <c r="BA623" s="81" t="s">
        <v>1190</v>
      </c>
      <c r="BB623" s="81" t="s">
        <v>1190</v>
      </c>
      <c r="BC623" s="81" t="s">
        <v>1131</v>
      </c>
      <c r="BD623" s="81" t="s">
        <v>1213</v>
      </c>
      <c r="BE623" s="77"/>
      <c r="BF623" s="77"/>
      <c r="BG623" s="77"/>
      <c r="BH623" s="77"/>
      <c r="BI623" s="77"/>
      <c r="BJ623">
        <v>13</v>
      </c>
      <c r="BK623" s="76" t="str">
        <f>REPLACE(INDEX(GroupVertices[Group],MATCH(Edges[[#This Row],[Vertex 1]],GroupVertices[Vertex],0)),1,1,"")</f>
        <v>7</v>
      </c>
      <c r="BL623" s="76" t="str">
        <f>REPLACE(INDEX(GroupVertices[Group],MATCH(Edges[[#This Row],[Vertex 2]],GroupVertices[Vertex],0)),1,1,"")</f>
        <v>7</v>
      </c>
      <c r="BM623" s="45"/>
      <c r="BN623" s="46"/>
      <c r="BO623" s="45"/>
      <c r="BP623" s="46"/>
      <c r="BQ623" s="45"/>
      <c r="BR623" s="46"/>
      <c r="BS623" s="45"/>
      <c r="BT623" s="46"/>
      <c r="BU623" s="45"/>
    </row>
    <row r="624" spans="1:73" ht="15">
      <c r="A624" s="61" t="s">
        <v>257</v>
      </c>
      <c r="B624" s="61" t="s">
        <v>530</v>
      </c>
      <c r="C624" s="62" t="s">
        <v>11697</v>
      </c>
      <c r="D624" s="63">
        <v>10</v>
      </c>
      <c r="E624" s="64" t="s">
        <v>136</v>
      </c>
      <c r="F624" s="65">
        <v>10</v>
      </c>
      <c r="G624" s="62"/>
      <c r="H624" s="66"/>
      <c r="I624" s="67"/>
      <c r="J624" s="67"/>
      <c r="K624" s="31" t="s">
        <v>65</v>
      </c>
      <c r="L624" s="75">
        <v>624</v>
      </c>
      <c r="M624" s="75"/>
      <c r="N624" s="69"/>
      <c r="O624" s="77" t="s">
        <v>539</v>
      </c>
      <c r="P624" s="79">
        <v>45150.492997685185</v>
      </c>
      <c r="Q624" s="77" t="s">
        <v>648</v>
      </c>
      <c r="R624" s="77">
        <v>3</v>
      </c>
      <c r="S624" s="77">
        <v>3</v>
      </c>
      <c r="T624" s="77">
        <v>0</v>
      </c>
      <c r="U624" s="77">
        <v>0</v>
      </c>
      <c r="V624" s="77">
        <v>106</v>
      </c>
      <c r="W624" s="77"/>
      <c r="X624" s="77"/>
      <c r="Y624" s="77"/>
      <c r="Z624" s="77" t="s">
        <v>810</v>
      </c>
      <c r="AA624" s="77" t="s">
        <v>840</v>
      </c>
      <c r="AB624" s="77" t="s">
        <v>851</v>
      </c>
      <c r="AC624" s="81" t="s">
        <v>855</v>
      </c>
      <c r="AD624" s="77" t="s">
        <v>859</v>
      </c>
      <c r="AE624" s="83" t="str">
        <f>HYPERLINK("https://twitter.com/pinakilaskar/status/1690329764257828864")</f>
        <v>https://twitter.com/pinakilaskar/status/1690329764257828864</v>
      </c>
      <c r="AF624" s="79">
        <v>45150.492997685185</v>
      </c>
      <c r="AG624" s="85">
        <v>45150</v>
      </c>
      <c r="AH624" s="81" t="s">
        <v>976</v>
      </c>
      <c r="AI624" s="77" t="b">
        <v>0</v>
      </c>
      <c r="AJ624" s="77"/>
      <c r="AK624" s="77"/>
      <c r="AL624" s="77"/>
      <c r="AM624" s="77"/>
      <c r="AN624" s="77"/>
      <c r="AO624" s="77"/>
      <c r="AP624" s="77"/>
      <c r="AQ624" s="77" t="s">
        <v>1019</v>
      </c>
      <c r="AR624" s="77"/>
      <c r="AS624" s="77"/>
      <c r="AT624" s="77"/>
      <c r="AU624" s="77"/>
      <c r="AV624" s="83" t="str">
        <f>HYPERLINK("https://pbs.twimg.com/tweet_video_thumb/F3VB8UubAAE2han.jpg")</f>
        <v>https://pbs.twimg.com/tweet_video_thumb/F3VB8UubAAE2han.jpg</v>
      </c>
      <c r="AW624" s="81" t="s">
        <v>1131</v>
      </c>
      <c r="AX624" s="81" t="s">
        <v>1131</v>
      </c>
      <c r="AY624" s="77"/>
      <c r="AZ624" s="81" t="s">
        <v>1190</v>
      </c>
      <c r="BA624" s="81" t="s">
        <v>1190</v>
      </c>
      <c r="BB624" s="81" t="s">
        <v>1190</v>
      </c>
      <c r="BC624" s="81" t="s">
        <v>1131</v>
      </c>
      <c r="BD624" s="81" t="s">
        <v>1213</v>
      </c>
      <c r="BE624" s="77"/>
      <c r="BF624" s="77"/>
      <c r="BG624" s="77"/>
      <c r="BH624" s="77"/>
      <c r="BI624" s="77"/>
      <c r="BJ624">
        <v>10</v>
      </c>
      <c r="BK624" s="76" t="str">
        <f>REPLACE(INDEX(GroupVertices[Group],MATCH(Edges[[#This Row],[Vertex 1]],GroupVertices[Vertex],0)),1,1,"")</f>
        <v>7</v>
      </c>
      <c r="BL624" s="76" t="str">
        <f>REPLACE(INDEX(GroupVertices[Group],MATCH(Edges[[#This Row],[Vertex 2]],GroupVertices[Vertex],0)),1,1,"")</f>
        <v>7</v>
      </c>
      <c r="BM624" s="45"/>
      <c r="BN624" s="46"/>
      <c r="BO624" s="45"/>
      <c r="BP624" s="46"/>
      <c r="BQ624" s="45"/>
      <c r="BR624" s="46"/>
      <c r="BS624" s="45"/>
      <c r="BT624" s="46"/>
      <c r="BU624" s="45"/>
    </row>
    <row r="625" spans="1:73" ht="15">
      <c r="A625" s="61" t="s">
        <v>257</v>
      </c>
      <c r="B625" s="61" t="s">
        <v>531</v>
      </c>
      <c r="C625" s="62" t="s">
        <v>11697</v>
      </c>
      <c r="D625" s="63">
        <v>10</v>
      </c>
      <c r="E625" s="64" t="s">
        <v>136</v>
      </c>
      <c r="F625" s="65">
        <v>10</v>
      </c>
      <c r="G625" s="62"/>
      <c r="H625" s="66"/>
      <c r="I625" s="67"/>
      <c r="J625" s="67"/>
      <c r="K625" s="31" t="s">
        <v>65</v>
      </c>
      <c r="L625" s="75">
        <v>625</v>
      </c>
      <c r="M625" s="75"/>
      <c r="N625" s="69"/>
      <c r="O625" s="77" t="s">
        <v>539</v>
      </c>
      <c r="P625" s="79">
        <v>45150.492997685185</v>
      </c>
      <c r="Q625" s="77" t="s">
        <v>648</v>
      </c>
      <c r="R625" s="77">
        <v>3</v>
      </c>
      <c r="S625" s="77">
        <v>3</v>
      </c>
      <c r="T625" s="77">
        <v>0</v>
      </c>
      <c r="U625" s="77">
        <v>0</v>
      </c>
      <c r="V625" s="77">
        <v>106</v>
      </c>
      <c r="W625" s="77"/>
      <c r="X625" s="77"/>
      <c r="Y625" s="77"/>
      <c r="Z625" s="77" t="s">
        <v>810</v>
      </c>
      <c r="AA625" s="77" t="s">
        <v>840</v>
      </c>
      <c r="AB625" s="77" t="s">
        <v>851</v>
      </c>
      <c r="AC625" s="81" t="s">
        <v>855</v>
      </c>
      <c r="AD625" s="77" t="s">
        <v>859</v>
      </c>
      <c r="AE625" s="83" t="str">
        <f>HYPERLINK("https://twitter.com/pinakilaskar/status/1690329764257828864")</f>
        <v>https://twitter.com/pinakilaskar/status/1690329764257828864</v>
      </c>
      <c r="AF625" s="79">
        <v>45150.492997685185</v>
      </c>
      <c r="AG625" s="85">
        <v>45150</v>
      </c>
      <c r="AH625" s="81" t="s">
        <v>976</v>
      </c>
      <c r="AI625" s="77" t="b">
        <v>0</v>
      </c>
      <c r="AJ625" s="77"/>
      <c r="AK625" s="77"/>
      <c r="AL625" s="77"/>
      <c r="AM625" s="77"/>
      <c r="AN625" s="77"/>
      <c r="AO625" s="77"/>
      <c r="AP625" s="77"/>
      <c r="AQ625" s="77" t="s">
        <v>1019</v>
      </c>
      <c r="AR625" s="77"/>
      <c r="AS625" s="77"/>
      <c r="AT625" s="77"/>
      <c r="AU625" s="77"/>
      <c r="AV625" s="83" t="str">
        <f>HYPERLINK("https://pbs.twimg.com/tweet_video_thumb/F3VB8UubAAE2han.jpg")</f>
        <v>https://pbs.twimg.com/tweet_video_thumb/F3VB8UubAAE2han.jpg</v>
      </c>
      <c r="AW625" s="81" t="s">
        <v>1131</v>
      </c>
      <c r="AX625" s="81" t="s">
        <v>1131</v>
      </c>
      <c r="AY625" s="77"/>
      <c r="AZ625" s="81" t="s">
        <v>1190</v>
      </c>
      <c r="BA625" s="81" t="s">
        <v>1190</v>
      </c>
      <c r="BB625" s="81" t="s">
        <v>1190</v>
      </c>
      <c r="BC625" s="81" t="s">
        <v>1131</v>
      </c>
      <c r="BD625" s="81" t="s">
        <v>1213</v>
      </c>
      <c r="BE625" s="77"/>
      <c r="BF625" s="77"/>
      <c r="BG625" s="77"/>
      <c r="BH625" s="77"/>
      <c r="BI625" s="77"/>
      <c r="BJ625">
        <v>9</v>
      </c>
      <c r="BK625" s="76" t="str">
        <f>REPLACE(INDEX(GroupVertices[Group],MATCH(Edges[[#This Row],[Vertex 1]],GroupVertices[Vertex],0)),1,1,"")</f>
        <v>7</v>
      </c>
      <c r="BL625" s="76" t="str">
        <f>REPLACE(INDEX(GroupVertices[Group],MATCH(Edges[[#This Row],[Vertex 2]],GroupVertices[Vertex],0)),1,1,"")</f>
        <v>7</v>
      </c>
      <c r="BM625" s="45"/>
      <c r="BN625" s="46"/>
      <c r="BO625" s="45"/>
      <c r="BP625" s="46"/>
      <c r="BQ625" s="45"/>
      <c r="BR625" s="46"/>
      <c r="BS625" s="45"/>
      <c r="BT625" s="46"/>
      <c r="BU625" s="45"/>
    </row>
    <row r="626" spans="1:73" ht="15">
      <c r="A626" s="61" t="s">
        <v>257</v>
      </c>
      <c r="B626" s="61" t="s">
        <v>532</v>
      </c>
      <c r="C626" s="62" t="s">
        <v>11697</v>
      </c>
      <c r="D626" s="63">
        <v>10</v>
      </c>
      <c r="E626" s="64" t="s">
        <v>136</v>
      </c>
      <c r="F626" s="65">
        <v>10</v>
      </c>
      <c r="G626" s="62"/>
      <c r="H626" s="66"/>
      <c r="I626" s="67"/>
      <c r="J626" s="67"/>
      <c r="K626" s="31" t="s">
        <v>65</v>
      </c>
      <c r="L626" s="75">
        <v>626</v>
      </c>
      <c r="M626" s="75"/>
      <c r="N626" s="69"/>
      <c r="O626" s="77" t="s">
        <v>539</v>
      </c>
      <c r="P626" s="79">
        <v>45150.492997685185</v>
      </c>
      <c r="Q626" s="77" t="s">
        <v>648</v>
      </c>
      <c r="R626" s="77">
        <v>3</v>
      </c>
      <c r="S626" s="77">
        <v>3</v>
      </c>
      <c r="T626" s="77">
        <v>0</v>
      </c>
      <c r="U626" s="77">
        <v>0</v>
      </c>
      <c r="V626" s="77">
        <v>106</v>
      </c>
      <c r="W626" s="77"/>
      <c r="X626" s="77"/>
      <c r="Y626" s="77"/>
      <c r="Z626" s="77" t="s">
        <v>810</v>
      </c>
      <c r="AA626" s="77" t="s">
        <v>840</v>
      </c>
      <c r="AB626" s="77" t="s">
        <v>851</v>
      </c>
      <c r="AC626" s="81" t="s">
        <v>855</v>
      </c>
      <c r="AD626" s="77" t="s">
        <v>859</v>
      </c>
      <c r="AE626" s="83" t="str">
        <f>HYPERLINK("https://twitter.com/pinakilaskar/status/1690329764257828864")</f>
        <v>https://twitter.com/pinakilaskar/status/1690329764257828864</v>
      </c>
      <c r="AF626" s="79">
        <v>45150.492997685185</v>
      </c>
      <c r="AG626" s="85">
        <v>45150</v>
      </c>
      <c r="AH626" s="81" t="s">
        <v>976</v>
      </c>
      <c r="AI626" s="77" t="b">
        <v>0</v>
      </c>
      <c r="AJ626" s="77"/>
      <c r="AK626" s="77"/>
      <c r="AL626" s="77"/>
      <c r="AM626" s="77"/>
      <c r="AN626" s="77"/>
      <c r="AO626" s="77"/>
      <c r="AP626" s="77"/>
      <c r="AQ626" s="77" t="s">
        <v>1019</v>
      </c>
      <c r="AR626" s="77"/>
      <c r="AS626" s="77"/>
      <c r="AT626" s="77"/>
      <c r="AU626" s="77"/>
      <c r="AV626" s="83" t="str">
        <f>HYPERLINK("https://pbs.twimg.com/tweet_video_thumb/F3VB8UubAAE2han.jpg")</f>
        <v>https://pbs.twimg.com/tweet_video_thumb/F3VB8UubAAE2han.jpg</v>
      </c>
      <c r="AW626" s="81" t="s">
        <v>1131</v>
      </c>
      <c r="AX626" s="81" t="s">
        <v>1131</v>
      </c>
      <c r="AY626" s="77"/>
      <c r="AZ626" s="81" t="s">
        <v>1190</v>
      </c>
      <c r="BA626" s="81" t="s">
        <v>1190</v>
      </c>
      <c r="BB626" s="81" t="s">
        <v>1190</v>
      </c>
      <c r="BC626" s="81" t="s">
        <v>1131</v>
      </c>
      <c r="BD626" s="81" t="s">
        <v>1213</v>
      </c>
      <c r="BE626" s="77"/>
      <c r="BF626" s="77"/>
      <c r="BG626" s="77"/>
      <c r="BH626" s="77"/>
      <c r="BI626" s="77"/>
      <c r="BJ626">
        <v>13</v>
      </c>
      <c r="BK626" s="76" t="str">
        <f>REPLACE(INDEX(GroupVertices[Group],MATCH(Edges[[#This Row],[Vertex 1]],GroupVertices[Vertex],0)),1,1,"")</f>
        <v>7</v>
      </c>
      <c r="BL626" s="76" t="str">
        <f>REPLACE(INDEX(GroupVertices[Group],MATCH(Edges[[#This Row],[Vertex 2]],GroupVertices[Vertex],0)),1,1,"")</f>
        <v>7</v>
      </c>
      <c r="BM626" s="45"/>
      <c r="BN626" s="46"/>
      <c r="BO626" s="45"/>
      <c r="BP626" s="46"/>
      <c r="BQ626" s="45"/>
      <c r="BR626" s="46"/>
      <c r="BS626" s="45"/>
      <c r="BT626" s="46"/>
      <c r="BU626" s="45"/>
    </row>
    <row r="627" spans="1:73" ht="15">
      <c r="A627" s="61" t="s">
        <v>257</v>
      </c>
      <c r="B627" s="61" t="s">
        <v>533</v>
      </c>
      <c r="C627" s="62" t="s">
        <v>11697</v>
      </c>
      <c r="D627" s="63">
        <v>10</v>
      </c>
      <c r="E627" s="64" t="s">
        <v>136</v>
      </c>
      <c r="F627" s="65">
        <v>10</v>
      </c>
      <c r="G627" s="62"/>
      <c r="H627" s="66"/>
      <c r="I627" s="67"/>
      <c r="J627" s="67"/>
      <c r="K627" s="31" t="s">
        <v>65</v>
      </c>
      <c r="L627" s="75">
        <v>627</v>
      </c>
      <c r="M627" s="75"/>
      <c r="N627" s="69"/>
      <c r="O627" s="77" t="s">
        <v>539</v>
      </c>
      <c r="P627" s="79">
        <v>45150.492997685185</v>
      </c>
      <c r="Q627" s="77" t="s">
        <v>648</v>
      </c>
      <c r="R627" s="77">
        <v>3</v>
      </c>
      <c r="S627" s="77">
        <v>3</v>
      </c>
      <c r="T627" s="77">
        <v>0</v>
      </c>
      <c r="U627" s="77">
        <v>0</v>
      </c>
      <c r="V627" s="77">
        <v>106</v>
      </c>
      <c r="W627" s="77"/>
      <c r="X627" s="77"/>
      <c r="Y627" s="77"/>
      <c r="Z627" s="77" t="s">
        <v>810</v>
      </c>
      <c r="AA627" s="77" t="s">
        <v>840</v>
      </c>
      <c r="AB627" s="77" t="s">
        <v>851</v>
      </c>
      <c r="AC627" s="81" t="s">
        <v>855</v>
      </c>
      <c r="AD627" s="77" t="s">
        <v>859</v>
      </c>
      <c r="AE627" s="83" t="str">
        <f>HYPERLINK("https://twitter.com/pinakilaskar/status/1690329764257828864")</f>
        <v>https://twitter.com/pinakilaskar/status/1690329764257828864</v>
      </c>
      <c r="AF627" s="79">
        <v>45150.492997685185</v>
      </c>
      <c r="AG627" s="85">
        <v>45150</v>
      </c>
      <c r="AH627" s="81" t="s">
        <v>976</v>
      </c>
      <c r="AI627" s="77" t="b">
        <v>0</v>
      </c>
      <c r="AJ627" s="77"/>
      <c r="AK627" s="77"/>
      <c r="AL627" s="77"/>
      <c r="AM627" s="77"/>
      <c r="AN627" s="77"/>
      <c r="AO627" s="77"/>
      <c r="AP627" s="77"/>
      <c r="AQ627" s="77" t="s">
        <v>1019</v>
      </c>
      <c r="AR627" s="77"/>
      <c r="AS627" s="77"/>
      <c r="AT627" s="77"/>
      <c r="AU627" s="77"/>
      <c r="AV627" s="83" t="str">
        <f>HYPERLINK("https://pbs.twimg.com/tweet_video_thumb/F3VB8UubAAE2han.jpg")</f>
        <v>https://pbs.twimg.com/tweet_video_thumb/F3VB8UubAAE2han.jpg</v>
      </c>
      <c r="AW627" s="81" t="s">
        <v>1131</v>
      </c>
      <c r="AX627" s="81" t="s">
        <v>1131</v>
      </c>
      <c r="AY627" s="77"/>
      <c r="AZ627" s="81" t="s">
        <v>1190</v>
      </c>
      <c r="BA627" s="81" t="s">
        <v>1190</v>
      </c>
      <c r="BB627" s="81" t="s">
        <v>1190</v>
      </c>
      <c r="BC627" s="81" t="s">
        <v>1131</v>
      </c>
      <c r="BD627" s="81" t="s">
        <v>1213</v>
      </c>
      <c r="BE627" s="77"/>
      <c r="BF627" s="77"/>
      <c r="BG627" s="77"/>
      <c r="BH627" s="77"/>
      <c r="BI627" s="77"/>
      <c r="BJ627">
        <v>13</v>
      </c>
      <c r="BK627" s="76" t="str">
        <f>REPLACE(INDEX(GroupVertices[Group],MATCH(Edges[[#This Row],[Vertex 1]],GroupVertices[Vertex],0)),1,1,"")</f>
        <v>7</v>
      </c>
      <c r="BL627" s="76" t="str">
        <f>REPLACE(INDEX(GroupVertices[Group],MATCH(Edges[[#This Row],[Vertex 2]],GroupVertices[Vertex],0)),1,1,"")</f>
        <v>7</v>
      </c>
      <c r="BM627" s="45"/>
      <c r="BN627" s="46"/>
      <c r="BO627" s="45"/>
      <c r="BP627" s="46"/>
      <c r="BQ627" s="45"/>
      <c r="BR627" s="46"/>
      <c r="BS627" s="45"/>
      <c r="BT627" s="46"/>
      <c r="BU627" s="45"/>
    </row>
    <row r="628" spans="1:73" ht="15">
      <c r="A628" s="61" t="s">
        <v>257</v>
      </c>
      <c r="B628" s="61" t="s">
        <v>534</v>
      </c>
      <c r="C628" s="62" t="s">
        <v>11697</v>
      </c>
      <c r="D628" s="63">
        <v>10</v>
      </c>
      <c r="E628" s="64" t="s">
        <v>136</v>
      </c>
      <c r="F628" s="65">
        <v>10</v>
      </c>
      <c r="G628" s="62"/>
      <c r="H628" s="66"/>
      <c r="I628" s="67"/>
      <c r="J628" s="67"/>
      <c r="K628" s="31" t="s">
        <v>65</v>
      </c>
      <c r="L628" s="75">
        <v>628</v>
      </c>
      <c r="M628" s="75"/>
      <c r="N628" s="69"/>
      <c r="O628" s="77" t="s">
        <v>539</v>
      </c>
      <c r="P628" s="79">
        <v>45150.492997685185</v>
      </c>
      <c r="Q628" s="77" t="s">
        <v>648</v>
      </c>
      <c r="R628" s="77">
        <v>3</v>
      </c>
      <c r="S628" s="77">
        <v>3</v>
      </c>
      <c r="T628" s="77">
        <v>0</v>
      </c>
      <c r="U628" s="77">
        <v>0</v>
      </c>
      <c r="V628" s="77">
        <v>106</v>
      </c>
      <c r="W628" s="77"/>
      <c r="X628" s="77"/>
      <c r="Y628" s="77"/>
      <c r="Z628" s="77" t="s">
        <v>810</v>
      </c>
      <c r="AA628" s="77" t="s">
        <v>840</v>
      </c>
      <c r="AB628" s="77" t="s">
        <v>851</v>
      </c>
      <c r="AC628" s="81" t="s">
        <v>855</v>
      </c>
      <c r="AD628" s="77" t="s">
        <v>859</v>
      </c>
      <c r="AE628" s="83" t="str">
        <f>HYPERLINK("https://twitter.com/pinakilaskar/status/1690329764257828864")</f>
        <v>https://twitter.com/pinakilaskar/status/1690329764257828864</v>
      </c>
      <c r="AF628" s="79">
        <v>45150.492997685185</v>
      </c>
      <c r="AG628" s="85">
        <v>45150</v>
      </c>
      <c r="AH628" s="81" t="s">
        <v>976</v>
      </c>
      <c r="AI628" s="77" t="b">
        <v>0</v>
      </c>
      <c r="AJ628" s="77"/>
      <c r="AK628" s="77"/>
      <c r="AL628" s="77"/>
      <c r="AM628" s="77"/>
      <c r="AN628" s="77"/>
      <c r="AO628" s="77"/>
      <c r="AP628" s="77"/>
      <c r="AQ628" s="77" t="s">
        <v>1019</v>
      </c>
      <c r="AR628" s="77"/>
      <c r="AS628" s="77"/>
      <c r="AT628" s="77"/>
      <c r="AU628" s="77"/>
      <c r="AV628" s="83" t="str">
        <f>HYPERLINK("https://pbs.twimg.com/tweet_video_thumb/F3VB8UubAAE2han.jpg")</f>
        <v>https://pbs.twimg.com/tweet_video_thumb/F3VB8UubAAE2han.jpg</v>
      </c>
      <c r="AW628" s="81" t="s">
        <v>1131</v>
      </c>
      <c r="AX628" s="81" t="s">
        <v>1131</v>
      </c>
      <c r="AY628" s="77"/>
      <c r="AZ628" s="81" t="s">
        <v>1190</v>
      </c>
      <c r="BA628" s="81" t="s">
        <v>1190</v>
      </c>
      <c r="BB628" s="81" t="s">
        <v>1190</v>
      </c>
      <c r="BC628" s="81" t="s">
        <v>1131</v>
      </c>
      <c r="BD628" s="81" t="s">
        <v>1213</v>
      </c>
      <c r="BE628" s="77"/>
      <c r="BF628" s="77"/>
      <c r="BG628" s="77"/>
      <c r="BH628" s="77"/>
      <c r="BI628" s="77"/>
      <c r="BJ628">
        <v>9</v>
      </c>
      <c r="BK628" s="76" t="str">
        <f>REPLACE(INDEX(GroupVertices[Group],MATCH(Edges[[#This Row],[Vertex 1]],GroupVertices[Vertex],0)),1,1,"")</f>
        <v>7</v>
      </c>
      <c r="BL628" s="76" t="str">
        <f>REPLACE(INDEX(GroupVertices[Group],MATCH(Edges[[#This Row],[Vertex 2]],GroupVertices[Vertex],0)),1,1,"")</f>
        <v>7</v>
      </c>
      <c r="BM628" s="45"/>
      <c r="BN628" s="46"/>
      <c r="BO628" s="45"/>
      <c r="BP628" s="46"/>
      <c r="BQ628" s="45"/>
      <c r="BR628" s="46"/>
      <c r="BS628" s="45"/>
      <c r="BT628" s="46"/>
      <c r="BU628" s="45"/>
    </row>
    <row r="629" spans="1:73" ht="15">
      <c r="A629" s="61" t="s">
        <v>257</v>
      </c>
      <c r="B629" s="61" t="s">
        <v>535</v>
      </c>
      <c r="C629" s="62" t="s">
        <v>11697</v>
      </c>
      <c r="D629" s="63">
        <v>10</v>
      </c>
      <c r="E629" s="64" t="s">
        <v>136</v>
      </c>
      <c r="F629" s="65">
        <v>10</v>
      </c>
      <c r="G629" s="62"/>
      <c r="H629" s="66"/>
      <c r="I629" s="67"/>
      <c r="J629" s="67"/>
      <c r="K629" s="31" t="s">
        <v>65</v>
      </c>
      <c r="L629" s="75">
        <v>629</v>
      </c>
      <c r="M629" s="75"/>
      <c r="N629" s="69"/>
      <c r="O629" s="77" t="s">
        <v>539</v>
      </c>
      <c r="P629" s="79">
        <v>45150.492997685185</v>
      </c>
      <c r="Q629" s="77" t="s">
        <v>648</v>
      </c>
      <c r="R629" s="77">
        <v>3</v>
      </c>
      <c r="S629" s="77">
        <v>3</v>
      </c>
      <c r="T629" s="77">
        <v>0</v>
      </c>
      <c r="U629" s="77">
        <v>0</v>
      </c>
      <c r="V629" s="77">
        <v>106</v>
      </c>
      <c r="W629" s="77"/>
      <c r="X629" s="77"/>
      <c r="Y629" s="77"/>
      <c r="Z629" s="77" t="s">
        <v>810</v>
      </c>
      <c r="AA629" s="77" t="s">
        <v>840</v>
      </c>
      <c r="AB629" s="77" t="s">
        <v>851</v>
      </c>
      <c r="AC629" s="81" t="s">
        <v>855</v>
      </c>
      <c r="AD629" s="77" t="s">
        <v>859</v>
      </c>
      <c r="AE629" s="83" t="str">
        <f>HYPERLINK("https://twitter.com/pinakilaskar/status/1690329764257828864")</f>
        <v>https://twitter.com/pinakilaskar/status/1690329764257828864</v>
      </c>
      <c r="AF629" s="79">
        <v>45150.492997685185</v>
      </c>
      <c r="AG629" s="85">
        <v>45150</v>
      </c>
      <c r="AH629" s="81" t="s">
        <v>976</v>
      </c>
      <c r="AI629" s="77" t="b">
        <v>0</v>
      </c>
      <c r="AJ629" s="77"/>
      <c r="AK629" s="77"/>
      <c r="AL629" s="77"/>
      <c r="AM629" s="77"/>
      <c r="AN629" s="77"/>
      <c r="AO629" s="77"/>
      <c r="AP629" s="77"/>
      <c r="AQ629" s="77" t="s">
        <v>1019</v>
      </c>
      <c r="AR629" s="77"/>
      <c r="AS629" s="77"/>
      <c r="AT629" s="77"/>
      <c r="AU629" s="77"/>
      <c r="AV629" s="83" t="str">
        <f>HYPERLINK("https://pbs.twimg.com/tweet_video_thumb/F3VB8UubAAE2han.jpg")</f>
        <v>https://pbs.twimg.com/tweet_video_thumb/F3VB8UubAAE2han.jpg</v>
      </c>
      <c r="AW629" s="81" t="s">
        <v>1131</v>
      </c>
      <c r="AX629" s="81" t="s">
        <v>1131</v>
      </c>
      <c r="AY629" s="77"/>
      <c r="AZ629" s="81" t="s">
        <v>1190</v>
      </c>
      <c r="BA629" s="81" t="s">
        <v>1190</v>
      </c>
      <c r="BB629" s="81" t="s">
        <v>1190</v>
      </c>
      <c r="BC629" s="81" t="s">
        <v>1131</v>
      </c>
      <c r="BD629" s="81" t="s">
        <v>1213</v>
      </c>
      <c r="BE629" s="77"/>
      <c r="BF629" s="77"/>
      <c r="BG629" s="77"/>
      <c r="BH629" s="77"/>
      <c r="BI629" s="77"/>
      <c r="BJ629">
        <v>13</v>
      </c>
      <c r="BK629" s="76" t="str">
        <f>REPLACE(INDEX(GroupVertices[Group],MATCH(Edges[[#This Row],[Vertex 1]],GroupVertices[Vertex],0)),1,1,"")</f>
        <v>7</v>
      </c>
      <c r="BL629" s="76" t="str">
        <f>REPLACE(INDEX(GroupVertices[Group],MATCH(Edges[[#This Row],[Vertex 2]],GroupVertices[Vertex],0)),1,1,"")</f>
        <v>7</v>
      </c>
      <c r="BM629" s="45"/>
      <c r="BN629" s="46"/>
      <c r="BO629" s="45"/>
      <c r="BP629" s="46"/>
      <c r="BQ629" s="45"/>
      <c r="BR629" s="46"/>
      <c r="BS629" s="45"/>
      <c r="BT629" s="46"/>
      <c r="BU629" s="45"/>
    </row>
    <row r="630" spans="1:73" ht="15">
      <c r="A630" s="61" t="s">
        <v>257</v>
      </c>
      <c r="B630" s="61" t="s">
        <v>536</v>
      </c>
      <c r="C630" s="62" t="s">
        <v>11696</v>
      </c>
      <c r="D630" s="63">
        <v>8.6</v>
      </c>
      <c r="E630" s="64" t="s">
        <v>136</v>
      </c>
      <c r="F630" s="65">
        <v>14.399999999999999</v>
      </c>
      <c r="G630" s="62"/>
      <c r="H630" s="66"/>
      <c r="I630" s="67"/>
      <c r="J630" s="67"/>
      <c r="K630" s="31" t="s">
        <v>65</v>
      </c>
      <c r="L630" s="75">
        <v>630</v>
      </c>
      <c r="M630" s="75"/>
      <c r="N630" s="69"/>
      <c r="O630" s="77" t="s">
        <v>539</v>
      </c>
      <c r="P630" s="79">
        <v>45150.492997685185</v>
      </c>
      <c r="Q630" s="77" t="s">
        <v>648</v>
      </c>
      <c r="R630" s="77">
        <v>3</v>
      </c>
      <c r="S630" s="77">
        <v>3</v>
      </c>
      <c r="T630" s="77">
        <v>0</v>
      </c>
      <c r="U630" s="77">
        <v>0</v>
      </c>
      <c r="V630" s="77">
        <v>106</v>
      </c>
      <c r="W630" s="77"/>
      <c r="X630" s="77"/>
      <c r="Y630" s="77"/>
      <c r="Z630" s="77" t="s">
        <v>810</v>
      </c>
      <c r="AA630" s="77" t="s">
        <v>840</v>
      </c>
      <c r="AB630" s="77" t="s">
        <v>851</v>
      </c>
      <c r="AC630" s="81" t="s">
        <v>855</v>
      </c>
      <c r="AD630" s="77" t="s">
        <v>859</v>
      </c>
      <c r="AE630" s="83" t="str">
        <f>HYPERLINK("https://twitter.com/pinakilaskar/status/1690329764257828864")</f>
        <v>https://twitter.com/pinakilaskar/status/1690329764257828864</v>
      </c>
      <c r="AF630" s="79">
        <v>45150.492997685185</v>
      </c>
      <c r="AG630" s="85">
        <v>45150</v>
      </c>
      <c r="AH630" s="81" t="s">
        <v>976</v>
      </c>
      <c r="AI630" s="77" t="b">
        <v>0</v>
      </c>
      <c r="AJ630" s="77"/>
      <c r="AK630" s="77"/>
      <c r="AL630" s="77"/>
      <c r="AM630" s="77"/>
      <c r="AN630" s="77"/>
      <c r="AO630" s="77"/>
      <c r="AP630" s="77"/>
      <c r="AQ630" s="77" t="s">
        <v>1019</v>
      </c>
      <c r="AR630" s="77"/>
      <c r="AS630" s="77"/>
      <c r="AT630" s="77"/>
      <c r="AU630" s="77"/>
      <c r="AV630" s="83" t="str">
        <f>HYPERLINK("https://pbs.twimg.com/tweet_video_thumb/F3VB8UubAAE2han.jpg")</f>
        <v>https://pbs.twimg.com/tweet_video_thumb/F3VB8UubAAE2han.jpg</v>
      </c>
      <c r="AW630" s="81" t="s">
        <v>1131</v>
      </c>
      <c r="AX630" s="81" t="s">
        <v>1131</v>
      </c>
      <c r="AY630" s="77"/>
      <c r="AZ630" s="81" t="s">
        <v>1190</v>
      </c>
      <c r="BA630" s="81" t="s">
        <v>1190</v>
      </c>
      <c r="BB630" s="81" t="s">
        <v>1190</v>
      </c>
      <c r="BC630" s="81" t="s">
        <v>1131</v>
      </c>
      <c r="BD630" s="81" t="s">
        <v>1213</v>
      </c>
      <c r="BE630" s="77"/>
      <c r="BF630" s="77"/>
      <c r="BG630" s="77"/>
      <c r="BH630" s="77"/>
      <c r="BI630" s="77"/>
      <c r="BJ630">
        <v>5</v>
      </c>
      <c r="BK630" s="76" t="str">
        <f>REPLACE(INDEX(GroupVertices[Group],MATCH(Edges[[#This Row],[Vertex 1]],GroupVertices[Vertex],0)),1,1,"")</f>
        <v>7</v>
      </c>
      <c r="BL630" s="76" t="str">
        <f>REPLACE(INDEX(GroupVertices[Group],MATCH(Edges[[#This Row],[Vertex 2]],GroupVertices[Vertex],0)),1,1,"")</f>
        <v>7</v>
      </c>
      <c r="BM630" s="45"/>
      <c r="BN630" s="46"/>
      <c r="BO630" s="45"/>
      <c r="BP630" s="46"/>
      <c r="BQ630" s="45"/>
      <c r="BR630" s="46"/>
      <c r="BS630" s="45"/>
      <c r="BT630" s="46"/>
      <c r="BU630" s="45"/>
    </row>
    <row r="631" spans="1:73" ht="15">
      <c r="A631" s="61" t="s">
        <v>257</v>
      </c>
      <c r="B631" s="61" t="s">
        <v>537</v>
      </c>
      <c r="C631" s="62" t="s">
        <v>11697</v>
      </c>
      <c r="D631" s="63">
        <v>10</v>
      </c>
      <c r="E631" s="64" t="s">
        <v>136</v>
      </c>
      <c r="F631" s="65">
        <v>10</v>
      </c>
      <c r="G631" s="62"/>
      <c r="H631" s="66"/>
      <c r="I631" s="67"/>
      <c r="J631" s="67"/>
      <c r="K631" s="31" t="s">
        <v>65</v>
      </c>
      <c r="L631" s="75">
        <v>631</v>
      </c>
      <c r="M631" s="75"/>
      <c r="N631" s="69"/>
      <c r="O631" s="77" t="s">
        <v>539</v>
      </c>
      <c r="P631" s="79">
        <v>45150.492997685185</v>
      </c>
      <c r="Q631" s="77" t="s">
        <v>648</v>
      </c>
      <c r="R631" s="77">
        <v>3</v>
      </c>
      <c r="S631" s="77">
        <v>3</v>
      </c>
      <c r="T631" s="77">
        <v>0</v>
      </c>
      <c r="U631" s="77">
        <v>0</v>
      </c>
      <c r="V631" s="77">
        <v>106</v>
      </c>
      <c r="W631" s="77"/>
      <c r="X631" s="77"/>
      <c r="Y631" s="77"/>
      <c r="Z631" s="77" t="s">
        <v>810</v>
      </c>
      <c r="AA631" s="77" t="s">
        <v>840</v>
      </c>
      <c r="AB631" s="77" t="s">
        <v>851</v>
      </c>
      <c r="AC631" s="81" t="s">
        <v>855</v>
      </c>
      <c r="AD631" s="77" t="s">
        <v>859</v>
      </c>
      <c r="AE631" s="83" t="str">
        <f>HYPERLINK("https://twitter.com/pinakilaskar/status/1690329764257828864")</f>
        <v>https://twitter.com/pinakilaskar/status/1690329764257828864</v>
      </c>
      <c r="AF631" s="79">
        <v>45150.492997685185</v>
      </c>
      <c r="AG631" s="85">
        <v>45150</v>
      </c>
      <c r="AH631" s="81" t="s">
        <v>976</v>
      </c>
      <c r="AI631" s="77" t="b">
        <v>0</v>
      </c>
      <c r="AJ631" s="77"/>
      <c r="AK631" s="77"/>
      <c r="AL631" s="77"/>
      <c r="AM631" s="77"/>
      <c r="AN631" s="77"/>
      <c r="AO631" s="77"/>
      <c r="AP631" s="77"/>
      <c r="AQ631" s="77" t="s">
        <v>1019</v>
      </c>
      <c r="AR631" s="77"/>
      <c r="AS631" s="77"/>
      <c r="AT631" s="77"/>
      <c r="AU631" s="77"/>
      <c r="AV631" s="83" t="str">
        <f>HYPERLINK("https://pbs.twimg.com/tweet_video_thumb/F3VB8UubAAE2han.jpg")</f>
        <v>https://pbs.twimg.com/tweet_video_thumb/F3VB8UubAAE2han.jpg</v>
      </c>
      <c r="AW631" s="81" t="s">
        <v>1131</v>
      </c>
      <c r="AX631" s="81" t="s">
        <v>1131</v>
      </c>
      <c r="AY631" s="77"/>
      <c r="AZ631" s="81" t="s">
        <v>1190</v>
      </c>
      <c r="BA631" s="81" t="s">
        <v>1190</v>
      </c>
      <c r="BB631" s="81" t="s">
        <v>1190</v>
      </c>
      <c r="BC631" s="81" t="s">
        <v>1131</v>
      </c>
      <c r="BD631" s="81" t="s">
        <v>1213</v>
      </c>
      <c r="BE631" s="77"/>
      <c r="BF631" s="77"/>
      <c r="BG631" s="77"/>
      <c r="BH631" s="77"/>
      <c r="BI631" s="77"/>
      <c r="BJ631">
        <v>10</v>
      </c>
      <c r="BK631" s="76" t="str">
        <f>REPLACE(INDEX(GroupVertices[Group],MATCH(Edges[[#This Row],[Vertex 1]],GroupVertices[Vertex],0)),1,1,"")</f>
        <v>7</v>
      </c>
      <c r="BL631" s="76" t="str">
        <f>REPLACE(INDEX(GroupVertices[Group],MATCH(Edges[[#This Row],[Vertex 2]],GroupVertices[Vertex],0)),1,1,"")</f>
        <v>7</v>
      </c>
      <c r="BM631" s="45"/>
      <c r="BN631" s="46"/>
      <c r="BO631" s="45"/>
      <c r="BP631" s="46"/>
      <c r="BQ631" s="45"/>
      <c r="BR631" s="46"/>
      <c r="BS631" s="45"/>
      <c r="BT631" s="46"/>
      <c r="BU631" s="45"/>
    </row>
    <row r="632" spans="1:73" ht="15">
      <c r="A632" s="61" t="s">
        <v>257</v>
      </c>
      <c r="B632" s="61" t="s">
        <v>538</v>
      </c>
      <c r="C632" s="62" t="s">
        <v>11697</v>
      </c>
      <c r="D632" s="63">
        <v>10</v>
      </c>
      <c r="E632" s="64" t="s">
        <v>136</v>
      </c>
      <c r="F632" s="65">
        <v>10</v>
      </c>
      <c r="G632" s="62"/>
      <c r="H632" s="66"/>
      <c r="I632" s="67"/>
      <c r="J632" s="67"/>
      <c r="K632" s="31" t="s">
        <v>65</v>
      </c>
      <c r="L632" s="75">
        <v>632</v>
      </c>
      <c r="M632" s="75"/>
      <c r="N632" s="69"/>
      <c r="O632" s="77" t="s">
        <v>539</v>
      </c>
      <c r="P632" s="79">
        <v>45150.492997685185</v>
      </c>
      <c r="Q632" s="77" t="s">
        <v>648</v>
      </c>
      <c r="R632" s="77">
        <v>3</v>
      </c>
      <c r="S632" s="77">
        <v>3</v>
      </c>
      <c r="T632" s="77">
        <v>0</v>
      </c>
      <c r="U632" s="77">
        <v>0</v>
      </c>
      <c r="V632" s="77">
        <v>106</v>
      </c>
      <c r="W632" s="77"/>
      <c r="X632" s="77"/>
      <c r="Y632" s="77"/>
      <c r="Z632" s="77" t="s">
        <v>810</v>
      </c>
      <c r="AA632" s="77" t="s">
        <v>840</v>
      </c>
      <c r="AB632" s="77" t="s">
        <v>851</v>
      </c>
      <c r="AC632" s="81" t="s">
        <v>855</v>
      </c>
      <c r="AD632" s="77" t="s">
        <v>859</v>
      </c>
      <c r="AE632" s="83" t="str">
        <f>HYPERLINK("https://twitter.com/pinakilaskar/status/1690329764257828864")</f>
        <v>https://twitter.com/pinakilaskar/status/1690329764257828864</v>
      </c>
      <c r="AF632" s="79">
        <v>45150.492997685185</v>
      </c>
      <c r="AG632" s="85">
        <v>45150</v>
      </c>
      <c r="AH632" s="81" t="s">
        <v>976</v>
      </c>
      <c r="AI632" s="77" t="b">
        <v>0</v>
      </c>
      <c r="AJ632" s="77"/>
      <c r="AK632" s="77"/>
      <c r="AL632" s="77"/>
      <c r="AM632" s="77"/>
      <c r="AN632" s="77"/>
      <c r="AO632" s="77"/>
      <c r="AP632" s="77"/>
      <c r="AQ632" s="77" t="s">
        <v>1019</v>
      </c>
      <c r="AR632" s="77"/>
      <c r="AS632" s="77"/>
      <c r="AT632" s="77"/>
      <c r="AU632" s="77"/>
      <c r="AV632" s="83" t="str">
        <f>HYPERLINK("https://pbs.twimg.com/tweet_video_thumb/F3VB8UubAAE2han.jpg")</f>
        <v>https://pbs.twimg.com/tweet_video_thumb/F3VB8UubAAE2han.jpg</v>
      </c>
      <c r="AW632" s="81" t="s">
        <v>1131</v>
      </c>
      <c r="AX632" s="81" t="s">
        <v>1131</v>
      </c>
      <c r="AY632" s="77"/>
      <c r="AZ632" s="81" t="s">
        <v>1190</v>
      </c>
      <c r="BA632" s="81" t="s">
        <v>1190</v>
      </c>
      <c r="BB632" s="81" t="s">
        <v>1190</v>
      </c>
      <c r="BC632" s="81" t="s">
        <v>1131</v>
      </c>
      <c r="BD632" s="81" t="s">
        <v>1213</v>
      </c>
      <c r="BE632" s="77"/>
      <c r="BF632" s="77"/>
      <c r="BG632" s="77"/>
      <c r="BH632" s="77"/>
      <c r="BI632" s="77"/>
      <c r="BJ632">
        <v>13</v>
      </c>
      <c r="BK632" s="76" t="str">
        <f>REPLACE(INDEX(GroupVertices[Group],MATCH(Edges[[#This Row],[Vertex 1]],GroupVertices[Vertex],0)),1,1,"")</f>
        <v>7</v>
      </c>
      <c r="BL632" s="76" t="str">
        <f>REPLACE(INDEX(GroupVertices[Group],MATCH(Edges[[#This Row],[Vertex 2]],GroupVertices[Vertex],0)),1,1,"")</f>
        <v>7</v>
      </c>
      <c r="BM632" s="45"/>
      <c r="BN632" s="46"/>
      <c r="BO632" s="45"/>
      <c r="BP632" s="46"/>
      <c r="BQ632" s="45"/>
      <c r="BR632" s="46"/>
      <c r="BS632" s="45"/>
      <c r="BT632" s="46"/>
      <c r="BU632" s="45"/>
    </row>
    <row r="633" spans="1:73" ht="15">
      <c r="A633" s="61" t="s">
        <v>257</v>
      </c>
      <c r="B633" s="61" t="s">
        <v>526</v>
      </c>
      <c r="C633" s="62" t="s">
        <v>11696</v>
      </c>
      <c r="D633" s="63">
        <v>8.6</v>
      </c>
      <c r="E633" s="64" t="s">
        <v>136</v>
      </c>
      <c r="F633" s="65">
        <v>14.399999999999999</v>
      </c>
      <c r="G633" s="62"/>
      <c r="H633" s="66"/>
      <c r="I633" s="67"/>
      <c r="J633" s="67"/>
      <c r="K633" s="31" t="s">
        <v>65</v>
      </c>
      <c r="L633" s="75">
        <v>633</v>
      </c>
      <c r="M633" s="75"/>
      <c r="N633" s="69"/>
      <c r="O633" s="77" t="s">
        <v>539</v>
      </c>
      <c r="P633" s="79">
        <v>45150.275717592594</v>
      </c>
      <c r="Q633" s="77" t="s">
        <v>649</v>
      </c>
      <c r="R633" s="77">
        <v>1</v>
      </c>
      <c r="S633" s="77">
        <v>4</v>
      </c>
      <c r="T633" s="77">
        <v>0</v>
      </c>
      <c r="U633" s="77">
        <v>0</v>
      </c>
      <c r="V633" s="77">
        <v>98</v>
      </c>
      <c r="W633" s="81" t="s">
        <v>716</v>
      </c>
      <c r="X633" s="77"/>
      <c r="Y633" s="77"/>
      <c r="Z633" s="77" t="s">
        <v>811</v>
      </c>
      <c r="AA633" s="77" t="s">
        <v>841</v>
      </c>
      <c r="AB633" s="77" t="s">
        <v>848</v>
      </c>
      <c r="AC633" s="81" t="s">
        <v>855</v>
      </c>
      <c r="AD633" s="77" t="s">
        <v>859</v>
      </c>
      <c r="AE633" s="83" t="str">
        <f>HYPERLINK("https://twitter.com/pinakilaskar/status/1690251024219750400")</f>
        <v>https://twitter.com/pinakilaskar/status/1690251024219750400</v>
      </c>
      <c r="AF633" s="79">
        <v>45150.275717592594</v>
      </c>
      <c r="AG633" s="85">
        <v>45150</v>
      </c>
      <c r="AH633" s="81" t="s">
        <v>977</v>
      </c>
      <c r="AI633" s="77" t="b">
        <v>0</v>
      </c>
      <c r="AJ633" s="77"/>
      <c r="AK633" s="77"/>
      <c r="AL633" s="77"/>
      <c r="AM633" s="77"/>
      <c r="AN633" s="77"/>
      <c r="AO633" s="77"/>
      <c r="AP633" s="77"/>
      <c r="AQ633" s="77" t="s">
        <v>1020</v>
      </c>
      <c r="AR633" s="77"/>
      <c r="AS633" s="77"/>
      <c r="AT633" s="77"/>
      <c r="AU633" s="77"/>
      <c r="AV633" s="83" t="str">
        <f>HYPERLINK("https://pbs.twimg.com/media/F3T6WV0WAAAmDGR.jpg")</f>
        <v>https://pbs.twimg.com/media/F3T6WV0WAAAmDGR.jpg</v>
      </c>
      <c r="AW633" s="81" t="s">
        <v>1132</v>
      </c>
      <c r="AX633" s="81" t="s">
        <v>1132</v>
      </c>
      <c r="AY633" s="77"/>
      <c r="AZ633" s="81" t="s">
        <v>1190</v>
      </c>
      <c r="BA633" s="81" t="s">
        <v>1190</v>
      </c>
      <c r="BB633" s="81" t="s">
        <v>1190</v>
      </c>
      <c r="BC633" s="81" t="s">
        <v>1132</v>
      </c>
      <c r="BD633" s="81" t="s">
        <v>1213</v>
      </c>
      <c r="BE633" s="77"/>
      <c r="BF633" s="77"/>
      <c r="BG633" s="77"/>
      <c r="BH633" s="77"/>
      <c r="BI633" s="77"/>
      <c r="BJ633">
        <v>5</v>
      </c>
      <c r="BK633" s="76" t="str">
        <f>REPLACE(INDEX(GroupVertices[Group],MATCH(Edges[[#This Row],[Vertex 1]],GroupVertices[Vertex],0)),1,1,"")</f>
        <v>7</v>
      </c>
      <c r="BL633" s="76" t="str">
        <f>REPLACE(INDEX(GroupVertices[Group],MATCH(Edges[[#This Row],[Vertex 2]],GroupVertices[Vertex],0)),1,1,"")</f>
        <v>7</v>
      </c>
      <c r="BM633" s="45"/>
      <c r="BN633" s="46"/>
      <c r="BO633" s="45"/>
      <c r="BP633" s="46"/>
      <c r="BQ633" s="45"/>
      <c r="BR633" s="46"/>
      <c r="BS633" s="45"/>
      <c r="BT633" s="46"/>
      <c r="BU633" s="45"/>
    </row>
    <row r="634" spans="1:73" ht="15">
      <c r="A634" s="61" t="s">
        <v>257</v>
      </c>
      <c r="B634" s="61" t="s">
        <v>228</v>
      </c>
      <c r="C634" s="62" t="s">
        <v>11697</v>
      </c>
      <c r="D634" s="63">
        <v>10</v>
      </c>
      <c r="E634" s="64" t="s">
        <v>136</v>
      </c>
      <c r="F634" s="65">
        <v>10</v>
      </c>
      <c r="G634" s="62"/>
      <c r="H634" s="66"/>
      <c r="I634" s="67"/>
      <c r="J634" s="67"/>
      <c r="K634" s="31" t="s">
        <v>65</v>
      </c>
      <c r="L634" s="75">
        <v>634</v>
      </c>
      <c r="M634" s="75"/>
      <c r="N634" s="69"/>
      <c r="O634" s="77" t="s">
        <v>539</v>
      </c>
      <c r="P634" s="79">
        <v>45150.275717592594</v>
      </c>
      <c r="Q634" s="77" t="s">
        <v>649</v>
      </c>
      <c r="R634" s="77">
        <v>1</v>
      </c>
      <c r="S634" s="77">
        <v>4</v>
      </c>
      <c r="T634" s="77">
        <v>0</v>
      </c>
      <c r="U634" s="77">
        <v>0</v>
      </c>
      <c r="V634" s="77">
        <v>98</v>
      </c>
      <c r="W634" s="81" t="s">
        <v>716</v>
      </c>
      <c r="X634" s="77"/>
      <c r="Y634" s="77"/>
      <c r="Z634" s="77" t="s">
        <v>811</v>
      </c>
      <c r="AA634" s="77" t="s">
        <v>841</v>
      </c>
      <c r="AB634" s="77" t="s">
        <v>848</v>
      </c>
      <c r="AC634" s="81" t="s">
        <v>855</v>
      </c>
      <c r="AD634" s="77" t="s">
        <v>859</v>
      </c>
      <c r="AE634" s="83" t="str">
        <f>HYPERLINK("https://twitter.com/pinakilaskar/status/1690251024219750400")</f>
        <v>https://twitter.com/pinakilaskar/status/1690251024219750400</v>
      </c>
      <c r="AF634" s="79">
        <v>45150.275717592594</v>
      </c>
      <c r="AG634" s="85">
        <v>45150</v>
      </c>
      <c r="AH634" s="81" t="s">
        <v>977</v>
      </c>
      <c r="AI634" s="77" t="b">
        <v>0</v>
      </c>
      <c r="AJ634" s="77"/>
      <c r="AK634" s="77"/>
      <c r="AL634" s="77"/>
      <c r="AM634" s="77"/>
      <c r="AN634" s="77"/>
      <c r="AO634" s="77"/>
      <c r="AP634" s="77"/>
      <c r="AQ634" s="77" t="s">
        <v>1020</v>
      </c>
      <c r="AR634" s="77"/>
      <c r="AS634" s="77"/>
      <c r="AT634" s="77"/>
      <c r="AU634" s="77"/>
      <c r="AV634" s="83" t="str">
        <f>HYPERLINK("https://pbs.twimg.com/media/F3T6WV0WAAAmDGR.jpg")</f>
        <v>https://pbs.twimg.com/media/F3T6WV0WAAAmDGR.jpg</v>
      </c>
      <c r="AW634" s="81" t="s">
        <v>1132</v>
      </c>
      <c r="AX634" s="81" t="s">
        <v>1132</v>
      </c>
      <c r="AY634" s="77"/>
      <c r="AZ634" s="81" t="s">
        <v>1190</v>
      </c>
      <c r="BA634" s="81" t="s">
        <v>1190</v>
      </c>
      <c r="BB634" s="81" t="s">
        <v>1190</v>
      </c>
      <c r="BC634" s="81" t="s">
        <v>1132</v>
      </c>
      <c r="BD634" s="81" t="s">
        <v>1213</v>
      </c>
      <c r="BE634" s="77"/>
      <c r="BF634" s="77"/>
      <c r="BG634" s="77"/>
      <c r="BH634" s="77"/>
      <c r="BI634" s="77"/>
      <c r="BJ634">
        <v>13</v>
      </c>
      <c r="BK634" s="76" t="str">
        <f>REPLACE(INDEX(GroupVertices[Group],MATCH(Edges[[#This Row],[Vertex 1]],GroupVertices[Vertex],0)),1,1,"")</f>
        <v>7</v>
      </c>
      <c r="BL634" s="76" t="str">
        <f>REPLACE(INDEX(GroupVertices[Group],MATCH(Edges[[#This Row],[Vertex 2]],GroupVertices[Vertex],0)),1,1,"")</f>
        <v>2</v>
      </c>
      <c r="BM634" s="45"/>
      <c r="BN634" s="46"/>
      <c r="BO634" s="45"/>
      <c r="BP634" s="46"/>
      <c r="BQ634" s="45"/>
      <c r="BR634" s="46"/>
      <c r="BS634" s="45"/>
      <c r="BT634" s="46"/>
      <c r="BU634" s="45"/>
    </row>
    <row r="635" spans="1:73" ht="15">
      <c r="A635" s="61" t="s">
        <v>257</v>
      </c>
      <c r="B635" s="61" t="s">
        <v>528</v>
      </c>
      <c r="C635" s="62" t="s">
        <v>11697</v>
      </c>
      <c r="D635" s="63">
        <v>10</v>
      </c>
      <c r="E635" s="64" t="s">
        <v>136</v>
      </c>
      <c r="F635" s="65">
        <v>10</v>
      </c>
      <c r="G635" s="62"/>
      <c r="H635" s="66"/>
      <c r="I635" s="67"/>
      <c r="J635" s="67"/>
      <c r="K635" s="31" t="s">
        <v>65</v>
      </c>
      <c r="L635" s="75">
        <v>635</v>
      </c>
      <c r="M635" s="75"/>
      <c r="N635" s="69"/>
      <c r="O635" s="77" t="s">
        <v>539</v>
      </c>
      <c r="P635" s="79">
        <v>45150.275717592594</v>
      </c>
      <c r="Q635" s="77" t="s">
        <v>649</v>
      </c>
      <c r="R635" s="77">
        <v>1</v>
      </c>
      <c r="S635" s="77">
        <v>4</v>
      </c>
      <c r="T635" s="77">
        <v>0</v>
      </c>
      <c r="U635" s="77">
        <v>0</v>
      </c>
      <c r="V635" s="77">
        <v>98</v>
      </c>
      <c r="W635" s="81" t="s">
        <v>716</v>
      </c>
      <c r="X635" s="77"/>
      <c r="Y635" s="77"/>
      <c r="Z635" s="77" t="s">
        <v>811</v>
      </c>
      <c r="AA635" s="77" t="s">
        <v>841</v>
      </c>
      <c r="AB635" s="77" t="s">
        <v>848</v>
      </c>
      <c r="AC635" s="81" t="s">
        <v>855</v>
      </c>
      <c r="AD635" s="77" t="s">
        <v>859</v>
      </c>
      <c r="AE635" s="83" t="str">
        <f>HYPERLINK("https://twitter.com/pinakilaskar/status/1690251024219750400")</f>
        <v>https://twitter.com/pinakilaskar/status/1690251024219750400</v>
      </c>
      <c r="AF635" s="79">
        <v>45150.275717592594</v>
      </c>
      <c r="AG635" s="85">
        <v>45150</v>
      </c>
      <c r="AH635" s="81" t="s">
        <v>977</v>
      </c>
      <c r="AI635" s="77" t="b">
        <v>0</v>
      </c>
      <c r="AJ635" s="77"/>
      <c r="AK635" s="77"/>
      <c r="AL635" s="77"/>
      <c r="AM635" s="77"/>
      <c r="AN635" s="77"/>
      <c r="AO635" s="77"/>
      <c r="AP635" s="77"/>
      <c r="AQ635" s="77" t="s">
        <v>1020</v>
      </c>
      <c r="AR635" s="77"/>
      <c r="AS635" s="77"/>
      <c r="AT635" s="77"/>
      <c r="AU635" s="77"/>
      <c r="AV635" s="83" t="str">
        <f>HYPERLINK("https://pbs.twimg.com/media/F3T6WV0WAAAmDGR.jpg")</f>
        <v>https://pbs.twimg.com/media/F3T6WV0WAAAmDGR.jpg</v>
      </c>
      <c r="AW635" s="81" t="s">
        <v>1132</v>
      </c>
      <c r="AX635" s="81" t="s">
        <v>1132</v>
      </c>
      <c r="AY635" s="77"/>
      <c r="AZ635" s="81" t="s">
        <v>1190</v>
      </c>
      <c r="BA635" s="81" t="s">
        <v>1190</v>
      </c>
      <c r="BB635" s="81" t="s">
        <v>1190</v>
      </c>
      <c r="BC635" s="81" t="s">
        <v>1132</v>
      </c>
      <c r="BD635" s="81" t="s">
        <v>1213</v>
      </c>
      <c r="BE635" s="77"/>
      <c r="BF635" s="77"/>
      <c r="BG635" s="77"/>
      <c r="BH635" s="77"/>
      <c r="BI635" s="77"/>
      <c r="BJ635">
        <v>8</v>
      </c>
      <c r="BK635" s="76" t="str">
        <f>REPLACE(INDEX(GroupVertices[Group],MATCH(Edges[[#This Row],[Vertex 1]],GroupVertices[Vertex],0)),1,1,"")</f>
        <v>7</v>
      </c>
      <c r="BL635" s="76" t="str">
        <f>REPLACE(INDEX(GroupVertices[Group],MATCH(Edges[[#This Row],[Vertex 2]],GroupVertices[Vertex],0)),1,1,"")</f>
        <v>7</v>
      </c>
      <c r="BM635" s="45"/>
      <c r="BN635" s="46"/>
      <c r="BO635" s="45"/>
      <c r="BP635" s="46"/>
      <c r="BQ635" s="45"/>
      <c r="BR635" s="46"/>
      <c r="BS635" s="45"/>
      <c r="BT635" s="46"/>
      <c r="BU635" s="45"/>
    </row>
    <row r="636" spans="1:73" ht="15">
      <c r="A636" s="61" t="s">
        <v>257</v>
      </c>
      <c r="B636" s="61" t="s">
        <v>529</v>
      </c>
      <c r="C636" s="62" t="s">
        <v>11697</v>
      </c>
      <c r="D636" s="63">
        <v>10</v>
      </c>
      <c r="E636" s="64" t="s">
        <v>136</v>
      </c>
      <c r="F636" s="65">
        <v>10</v>
      </c>
      <c r="G636" s="62"/>
      <c r="H636" s="66"/>
      <c r="I636" s="67"/>
      <c r="J636" s="67"/>
      <c r="K636" s="31" t="s">
        <v>65</v>
      </c>
      <c r="L636" s="75">
        <v>636</v>
      </c>
      <c r="M636" s="75"/>
      <c r="N636" s="69"/>
      <c r="O636" s="77" t="s">
        <v>539</v>
      </c>
      <c r="P636" s="79">
        <v>45150.275717592594</v>
      </c>
      <c r="Q636" s="77" t="s">
        <v>649</v>
      </c>
      <c r="R636" s="77">
        <v>1</v>
      </c>
      <c r="S636" s="77">
        <v>4</v>
      </c>
      <c r="T636" s="77">
        <v>0</v>
      </c>
      <c r="U636" s="77">
        <v>0</v>
      </c>
      <c r="V636" s="77">
        <v>98</v>
      </c>
      <c r="W636" s="81" t="s">
        <v>716</v>
      </c>
      <c r="X636" s="77"/>
      <c r="Y636" s="77"/>
      <c r="Z636" s="77" t="s">
        <v>811</v>
      </c>
      <c r="AA636" s="77" t="s">
        <v>841</v>
      </c>
      <c r="AB636" s="77" t="s">
        <v>848</v>
      </c>
      <c r="AC636" s="81" t="s">
        <v>855</v>
      </c>
      <c r="AD636" s="77" t="s">
        <v>859</v>
      </c>
      <c r="AE636" s="83" t="str">
        <f>HYPERLINK("https://twitter.com/pinakilaskar/status/1690251024219750400")</f>
        <v>https://twitter.com/pinakilaskar/status/1690251024219750400</v>
      </c>
      <c r="AF636" s="79">
        <v>45150.275717592594</v>
      </c>
      <c r="AG636" s="85">
        <v>45150</v>
      </c>
      <c r="AH636" s="81" t="s">
        <v>977</v>
      </c>
      <c r="AI636" s="77" t="b">
        <v>0</v>
      </c>
      <c r="AJ636" s="77"/>
      <c r="AK636" s="77"/>
      <c r="AL636" s="77"/>
      <c r="AM636" s="77"/>
      <c r="AN636" s="77"/>
      <c r="AO636" s="77"/>
      <c r="AP636" s="77"/>
      <c r="AQ636" s="77" t="s">
        <v>1020</v>
      </c>
      <c r="AR636" s="77"/>
      <c r="AS636" s="77"/>
      <c r="AT636" s="77"/>
      <c r="AU636" s="77"/>
      <c r="AV636" s="83" t="str">
        <f>HYPERLINK("https://pbs.twimg.com/media/F3T6WV0WAAAmDGR.jpg")</f>
        <v>https://pbs.twimg.com/media/F3T6WV0WAAAmDGR.jpg</v>
      </c>
      <c r="AW636" s="81" t="s">
        <v>1132</v>
      </c>
      <c r="AX636" s="81" t="s">
        <v>1132</v>
      </c>
      <c r="AY636" s="77"/>
      <c r="AZ636" s="81" t="s">
        <v>1190</v>
      </c>
      <c r="BA636" s="81" t="s">
        <v>1190</v>
      </c>
      <c r="BB636" s="81" t="s">
        <v>1190</v>
      </c>
      <c r="BC636" s="81" t="s">
        <v>1132</v>
      </c>
      <c r="BD636" s="81" t="s">
        <v>1213</v>
      </c>
      <c r="BE636" s="77"/>
      <c r="BF636" s="77"/>
      <c r="BG636" s="77"/>
      <c r="BH636" s="77"/>
      <c r="BI636" s="77"/>
      <c r="BJ636">
        <v>13</v>
      </c>
      <c r="BK636" s="76" t="str">
        <f>REPLACE(INDEX(GroupVertices[Group],MATCH(Edges[[#This Row],[Vertex 1]],GroupVertices[Vertex],0)),1,1,"")</f>
        <v>7</v>
      </c>
      <c r="BL636" s="76" t="str">
        <f>REPLACE(INDEX(GroupVertices[Group],MATCH(Edges[[#This Row],[Vertex 2]],GroupVertices[Vertex],0)),1,1,"")</f>
        <v>7</v>
      </c>
      <c r="BM636" s="45"/>
      <c r="BN636" s="46"/>
      <c r="BO636" s="45"/>
      <c r="BP636" s="46"/>
      <c r="BQ636" s="45"/>
      <c r="BR636" s="46"/>
      <c r="BS636" s="45"/>
      <c r="BT636" s="46"/>
      <c r="BU636" s="45"/>
    </row>
    <row r="637" spans="1:73" ht="15">
      <c r="A637" s="61" t="s">
        <v>257</v>
      </c>
      <c r="B637" s="61" t="s">
        <v>530</v>
      </c>
      <c r="C637" s="62" t="s">
        <v>11697</v>
      </c>
      <c r="D637" s="63">
        <v>10</v>
      </c>
      <c r="E637" s="64" t="s">
        <v>136</v>
      </c>
      <c r="F637" s="65">
        <v>10</v>
      </c>
      <c r="G637" s="62"/>
      <c r="H637" s="66"/>
      <c r="I637" s="67"/>
      <c r="J637" s="67"/>
      <c r="K637" s="31" t="s">
        <v>65</v>
      </c>
      <c r="L637" s="75">
        <v>637</v>
      </c>
      <c r="M637" s="75"/>
      <c r="N637" s="69"/>
      <c r="O637" s="77" t="s">
        <v>539</v>
      </c>
      <c r="P637" s="79">
        <v>45150.275717592594</v>
      </c>
      <c r="Q637" s="77" t="s">
        <v>649</v>
      </c>
      <c r="R637" s="77">
        <v>1</v>
      </c>
      <c r="S637" s="77">
        <v>4</v>
      </c>
      <c r="T637" s="77">
        <v>0</v>
      </c>
      <c r="U637" s="77">
        <v>0</v>
      </c>
      <c r="V637" s="77">
        <v>98</v>
      </c>
      <c r="W637" s="81" t="s">
        <v>716</v>
      </c>
      <c r="X637" s="77"/>
      <c r="Y637" s="77"/>
      <c r="Z637" s="77" t="s">
        <v>811</v>
      </c>
      <c r="AA637" s="77" t="s">
        <v>841</v>
      </c>
      <c r="AB637" s="77" t="s">
        <v>848</v>
      </c>
      <c r="AC637" s="81" t="s">
        <v>855</v>
      </c>
      <c r="AD637" s="77" t="s">
        <v>859</v>
      </c>
      <c r="AE637" s="83" t="str">
        <f>HYPERLINK("https://twitter.com/pinakilaskar/status/1690251024219750400")</f>
        <v>https://twitter.com/pinakilaskar/status/1690251024219750400</v>
      </c>
      <c r="AF637" s="79">
        <v>45150.275717592594</v>
      </c>
      <c r="AG637" s="85">
        <v>45150</v>
      </c>
      <c r="AH637" s="81" t="s">
        <v>977</v>
      </c>
      <c r="AI637" s="77" t="b">
        <v>0</v>
      </c>
      <c r="AJ637" s="77"/>
      <c r="AK637" s="77"/>
      <c r="AL637" s="77"/>
      <c r="AM637" s="77"/>
      <c r="AN637" s="77"/>
      <c r="AO637" s="77"/>
      <c r="AP637" s="77"/>
      <c r="AQ637" s="77" t="s">
        <v>1020</v>
      </c>
      <c r="AR637" s="77"/>
      <c r="AS637" s="77"/>
      <c r="AT637" s="77"/>
      <c r="AU637" s="77"/>
      <c r="AV637" s="83" t="str">
        <f>HYPERLINK("https://pbs.twimg.com/media/F3T6WV0WAAAmDGR.jpg")</f>
        <v>https://pbs.twimg.com/media/F3T6WV0WAAAmDGR.jpg</v>
      </c>
      <c r="AW637" s="81" t="s">
        <v>1132</v>
      </c>
      <c r="AX637" s="81" t="s">
        <v>1132</v>
      </c>
      <c r="AY637" s="77"/>
      <c r="AZ637" s="81" t="s">
        <v>1190</v>
      </c>
      <c r="BA637" s="81" t="s">
        <v>1190</v>
      </c>
      <c r="BB637" s="81" t="s">
        <v>1190</v>
      </c>
      <c r="BC637" s="81" t="s">
        <v>1132</v>
      </c>
      <c r="BD637" s="81" t="s">
        <v>1213</v>
      </c>
      <c r="BE637" s="77"/>
      <c r="BF637" s="77"/>
      <c r="BG637" s="77"/>
      <c r="BH637" s="77"/>
      <c r="BI637" s="77"/>
      <c r="BJ637">
        <v>10</v>
      </c>
      <c r="BK637" s="76" t="str">
        <f>REPLACE(INDEX(GroupVertices[Group],MATCH(Edges[[#This Row],[Vertex 1]],GroupVertices[Vertex],0)),1,1,"")</f>
        <v>7</v>
      </c>
      <c r="BL637" s="76" t="str">
        <f>REPLACE(INDEX(GroupVertices[Group],MATCH(Edges[[#This Row],[Vertex 2]],GroupVertices[Vertex],0)),1,1,"")</f>
        <v>7</v>
      </c>
      <c r="BM637" s="45"/>
      <c r="BN637" s="46"/>
      <c r="BO637" s="45"/>
      <c r="BP637" s="46"/>
      <c r="BQ637" s="45"/>
      <c r="BR637" s="46"/>
      <c r="BS637" s="45"/>
      <c r="BT637" s="46"/>
      <c r="BU637" s="45"/>
    </row>
    <row r="638" spans="1:73" ht="15">
      <c r="A638" s="61" t="s">
        <v>257</v>
      </c>
      <c r="B638" s="61" t="s">
        <v>531</v>
      </c>
      <c r="C638" s="62" t="s">
        <v>11697</v>
      </c>
      <c r="D638" s="63">
        <v>10</v>
      </c>
      <c r="E638" s="64" t="s">
        <v>136</v>
      </c>
      <c r="F638" s="65">
        <v>10</v>
      </c>
      <c r="G638" s="62"/>
      <c r="H638" s="66"/>
      <c r="I638" s="67"/>
      <c r="J638" s="67"/>
      <c r="K638" s="31" t="s">
        <v>65</v>
      </c>
      <c r="L638" s="75">
        <v>638</v>
      </c>
      <c r="M638" s="75"/>
      <c r="N638" s="69"/>
      <c r="O638" s="77" t="s">
        <v>539</v>
      </c>
      <c r="P638" s="79">
        <v>45150.275717592594</v>
      </c>
      <c r="Q638" s="77" t="s">
        <v>649</v>
      </c>
      <c r="R638" s="77">
        <v>1</v>
      </c>
      <c r="S638" s="77">
        <v>4</v>
      </c>
      <c r="T638" s="77">
        <v>0</v>
      </c>
      <c r="U638" s="77">
        <v>0</v>
      </c>
      <c r="V638" s="77">
        <v>98</v>
      </c>
      <c r="W638" s="81" t="s">
        <v>716</v>
      </c>
      <c r="X638" s="77"/>
      <c r="Y638" s="77"/>
      <c r="Z638" s="77" t="s">
        <v>811</v>
      </c>
      <c r="AA638" s="77" t="s">
        <v>841</v>
      </c>
      <c r="AB638" s="77" t="s">
        <v>848</v>
      </c>
      <c r="AC638" s="81" t="s">
        <v>855</v>
      </c>
      <c r="AD638" s="77" t="s">
        <v>859</v>
      </c>
      <c r="AE638" s="83" t="str">
        <f>HYPERLINK("https://twitter.com/pinakilaskar/status/1690251024219750400")</f>
        <v>https://twitter.com/pinakilaskar/status/1690251024219750400</v>
      </c>
      <c r="AF638" s="79">
        <v>45150.275717592594</v>
      </c>
      <c r="AG638" s="85">
        <v>45150</v>
      </c>
      <c r="AH638" s="81" t="s">
        <v>977</v>
      </c>
      <c r="AI638" s="77" t="b">
        <v>0</v>
      </c>
      <c r="AJ638" s="77"/>
      <c r="AK638" s="77"/>
      <c r="AL638" s="77"/>
      <c r="AM638" s="77"/>
      <c r="AN638" s="77"/>
      <c r="AO638" s="77"/>
      <c r="AP638" s="77"/>
      <c r="AQ638" s="77" t="s">
        <v>1020</v>
      </c>
      <c r="AR638" s="77"/>
      <c r="AS638" s="77"/>
      <c r="AT638" s="77"/>
      <c r="AU638" s="77"/>
      <c r="AV638" s="83" t="str">
        <f>HYPERLINK("https://pbs.twimg.com/media/F3T6WV0WAAAmDGR.jpg")</f>
        <v>https://pbs.twimg.com/media/F3T6WV0WAAAmDGR.jpg</v>
      </c>
      <c r="AW638" s="81" t="s">
        <v>1132</v>
      </c>
      <c r="AX638" s="81" t="s">
        <v>1132</v>
      </c>
      <c r="AY638" s="77"/>
      <c r="AZ638" s="81" t="s">
        <v>1190</v>
      </c>
      <c r="BA638" s="81" t="s">
        <v>1190</v>
      </c>
      <c r="BB638" s="81" t="s">
        <v>1190</v>
      </c>
      <c r="BC638" s="81" t="s">
        <v>1132</v>
      </c>
      <c r="BD638" s="81" t="s">
        <v>1213</v>
      </c>
      <c r="BE638" s="77"/>
      <c r="BF638" s="77"/>
      <c r="BG638" s="77"/>
      <c r="BH638" s="77"/>
      <c r="BI638" s="77"/>
      <c r="BJ638">
        <v>9</v>
      </c>
      <c r="BK638" s="76" t="str">
        <f>REPLACE(INDEX(GroupVertices[Group],MATCH(Edges[[#This Row],[Vertex 1]],GroupVertices[Vertex],0)),1,1,"")</f>
        <v>7</v>
      </c>
      <c r="BL638" s="76" t="str">
        <f>REPLACE(INDEX(GroupVertices[Group],MATCH(Edges[[#This Row],[Vertex 2]],GroupVertices[Vertex],0)),1,1,"")</f>
        <v>7</v>
      </c>
      <c r="BM638" s="45"/>
      <c r="BN638" s="46"/>
      <c r="BO638" s="45"/>
      <c r="BP638" s="46"/>
      <c r="BQ638" s="45"/>
      <c r="BR638" s="46"/>
      <c r="BS638" s="45"/>
      <c r="BT638" s="46"/>
      <c r="BU638" s="45"/>
    </row>
    <row r="639" spans="1:73" ht="15">
      <c r="A639" s="61" t="s">
        <v>257</v>
      </c>
      <c r="B639" s="61" t="s">
        <v>532</v>
      </c>
      <c r="C639" s="62" t="s">
        <v>11697</v>
      </c>
      <c r="D639" s="63">
        <v>10</v>
      </c>
      <c r="E639" s="64" t="s">
        <v>136</v>
      </c>
      <c r="F639" s="65">
        <v>10</v>
      </c>
      <c r="G639" s="62"/>
      <c r="H639" s="66"/>
      <c r="I639" s="67"/>
      <c r="J639" s="67"/>
      <c r="K639" s="31" t="s">
        <v>65</v>
      </c>
      <c r="L639" s="75">
        <v>639</v>
      </c>
      <c r="M639" s="75"/>
      <c r="N639" s="69"/>
      <c r="O639" s="77" t="s">
        <v>539</v>
      </c>
      <c r="P639" s="79">
        <v>45150.275717592594</v>
      </c>
      <c r="Q639" s="77" t="s">
        <v>649</v>
      </c>
      <c r="R639" s="77">
        <v>1</v>
      </c>
      <c r="S639" s="77">
        <v>4</v>
      </c>
      <c r="T639" s="77">
        <v>0</v>
      </c>
      <c r="U639" s="77">
        <v>0</v>
      </c>
      <c r="V639" s="77">
        <v>98</v>
      </c>
      <c r="W639" s="81" t="s">
        <v>716</v>
      </c>
      <c r="X639" s="77"/>
      <c r="Y639" s="77"/>
      <c r="Z639" s="77" t="s">
        <v>811</v>
      </c>
      <c r="AA639" s="77" t="s">
        <v>841</v>
      </c>
      <c r="AB639" s="77" t="s">
        <v>848</v>
      </c>
      <c r="AC639" s="81" t="s">
        <v>855</v>
      </c>
      <c r="AD639" s="77" t="s">
        <v>859</v>
      </c>
      <c r="AE639" s="83" t="str">
        <f>HYPERLINK("https://twitter.com/pinakilaskar/status/1690251024219750400")</f>
        <v>https://twitter.com/pinakilaskar/status/1690251024219750400</v>
      </c>
      <c r="AF639" s="79">
        <v>45150.275717592594</v>
      </c>
      <c r="AG639" s="85">
        <v>45150</v>
      </c>
      <c r="AH639" s="81" t="s">
        <v>977</v>
      </c>
      <c r="AI639" s="77" t="b">
        <v>0</v>
      </c>
      <c r="AJ639" s="77"/>
      <c r="AK639" s="77"/>
      <c r="AL639" s="77"/>
      <c r="AM639" s="77"/>
      <c r="AN639" s="77"/>
      <c r="AO639" s="77"/>
      <c r="AP639" s="77"/>
      <c r="AQ639" s="77" t="s">
        <v>1020</v>
      </c>
      <c r="AR639" s="77"/>
      <c r="AS639" s="77"/>
      <c r="AT639" s="77"/>
      <c r="AU639" s="77"/>
      <c r="AV639" s="83" t="str">
        <f>HYPERLINK("https://pbs.twimg.com/media/F3T6WV0WAAAmDGR.jpg")</f>
        <v>https://pbs.twimg.com/media/F3T6WV0WAAAmDGR.jpg</v>
      </c>
      <c r="AW639" s="81" t="s">
        <v>1132</v>
      </c>
      <c r="AX639" s="81" t="s">
        <v>1132</v>
      </c>
      <c r="AY639" s="77"/>
      <c r="AZ639" s="81" t="s">
        <v>1190</v>
      </c>
      <c r="BA639" s="81" t="s">
        <v>1190</v>
      </c>
      <c r="BB639" s="81" t="s">
        <v>1190</v>
      </c>
      <c r="BC639" s="81" t="s">
        <v>1132</v>
      </c>
      <c r="BD639" s="81" t="s">
        <v>1213</v>
      </c>
      <c r="BE639" s="77"/>
      <c r="BF639" s="77"/>
      <c r="BG639" s="77"/>
      <c r="BH639" s="77"/>
      <c r="BI639" s="77"/>
      <c r="BJ639">
        <v>13</v>
      </c>
      <c r="BK639" s="76" t="str">
        <f>REPLACE(INDEX(GroupVertices[Group],MATCH(Edges[[#This Row],[Vertex 1]],GroupVertices[Vertex],0)),1,1,"")</f>
        <v>7</v>
      </c>
      <c r="BL639" s="76" t="str">
        <f>REPLACE(INDEX(GroupVertices[Group],MATCH(Edges[[#This Row],[Vertex 2]],GroupVertices[Vertex],0)),1,1,"")</f>
        <v>7</v>
      </c>
      <c r="BM639" s="45"/>
      <c r="BN639" s="46"/>
      <c r="BO639" s="45"/>
      <c r="BP639" s="46"/>
      <c r="BQ639" s="45"/>
      <c r="BR639" s="46"/>
      <c r="BS639" s="45"/>
      <c r="BT639" s="46"/>
      <c r="BU639" s="45"/>
    </row>
    <row r="640" spans="1:73" ht="15">
      <c r="A640" s="61" t="s">
        <v>257</v>
      </c>
      <c r="B640" s="61" t="s">
        <v>533</v>
      </c>
      <c r="C640" s="62" t="s">
        <v>11697</v>
      </c>
      <c r="D640" s="63">
        <v>10</v>
      </c>
      <c r="E640" s="64" t="s">
        <v>136</v>
      </c>
      <c r="F640" s="65">
        <v>10</v>
      </c>
      <c r="G640" s="62"/>
      <c r="H640" s="66"/>
      <c r="I640" s="67"/>
      <c r="J640" s="67"/>
      <c r="K640" s="31" t="s">
        <v>65</v>
      </c>
      <c r="L640" s="75">
        <v>640</v>
      </c>
      <c r="M640" s="75"/>
      <c r="N640" s="69"/>
      <c r="O640" s="77" t="s">
        <v>539</v>
      </c>
      <c r="P640" s="79">
        <v>45150.275717592594</v>
      </c>
      <c r="Q640" s="77" t="s">
        <v>649</v>
      </c>
      <c r="R640" s="77">
        <v>1</v>
      </c>
      <c r="S640" s="77">
        <v>4</v>
      </c>
      <c r="T640" s="77">
        <v>0</v>
      </c>
      <c r="U640" s="77">
        <v>0</v>
      </c>
      <c r="V640" s="77">
        <v>98</v>
      </c>
      <c r="W640" s="81" t="s">
        <v>716</v>
      </c>
      <c r="X640" s="77"/>
      <c r="Y640" s="77"/>
      <c r="Z640" s="77" t="s">
        <v>811</v>
      </c>
      <c r="AA640" s="77" t="s">
        <v>841</v>
      </c>
      <c r="AB640" s="77" t="s">
        <v>848</v>
      </c>
      <c r="AC640" s="81" t="s">
        <v>855</v>
      </c>
      <c r="AD640" s="77" t="s">
        <v>859</v>
      </c>
      <c r="AE640" s="83" t="str">
        <f>HYPERLINK("https://twitter.com/pinakilaskar/status/1690251024219750400")</f>
        <v>https://twitter.com/pinakilaskar/status/1690251024219750400</v>
      </c>
      <c r="AF640" s="79">
        <v>45150.275717592594</v>
      </c>
      <c r="AG640" s="85">
        <v>45150</v>
      </c>
      <c r="AH640" s="81" t="s">
        <v>977</v>
      </c>
      <c r="AI640" s="77" t="b">
        <v>0</v>
      </c>
      <c r="AJ640" s="77"/>
      <c r="AK640" s="77"/>
      <c r="AL640" s="77"/>
      <c r="AM640" s="77"/>
      <c r="AN640" s="77"/>
      <c r="AO640" s="77"/>
      <c r="AP640" s="77"/>
      <c r="AQ640" s="77" t="s">
        <v>1020</v>
      </c>
      <c r="AR640" s="77"/>
      <c r="AS640" s="77"/>
      <c r="AT640" s="77"/>
      <c r="AU640" s="77"/>
      <c r="AV640" s="83" t="str">
        <f>HYPERLINK("https://pbs.twimg.com/media/F3T6WV0WAAAmDGR.jpg")</f>
        <v>https://pbs.twimg.com/media/F3T6WV0WAAAmDGR.jpg</v>
      </c>
      <c r="AW640" s="81" t="s">
        <v>1132</v>
      </c>
      <c r="AX640" s="81" t="s">
        <v>1132</v>
      </c>
      <c r="AY640" s="77"/>
      <c r="AZ640" s="81" t="s">
        <v>1190</v>
      </c>
      <c r="BA640" s="81" t="s">
        <v>1190</v>
      </c>
      <c r="BB640" s="81" t="s">
        <v>1190</v>
      </c>
      <c r="BC640" s="81" t="s">
        <v>1132</v>
      </c>
      <c r="BD640" s="81" t="s">
        <v>1213</v>
      </c>
      <c r="BE640" s="77"/>
      <c r="BF640" s="77"/>
      <c r="BG640" s="77"/>
      <c r="BH640" s="77"/>
      <c r="BI640" s="77"/>
      <c r="BJ640">
        <v>13</v>
      </c>
      <c r="BK640" s="76" t="str">
        <f>REPLACE(INDEX(GroupVertices[Group],MATCH(Edges[[#This Row],[Vertex 1]],GroupVertices[Vertex],0)),1,1,"")</f>
        <v>7</v>
      </c>
      <c r="BL640" s="76" t="str">
        <f>REPLACE(INDEX(GroupVertices[Group],MATCH(Edges[[#This Row],[Vertex 2]],GroupVertices[Vertex],0)),1,1,"")</f>
        <v>7</v>
      </c>
      <c r="BM640" s="45"/>
      <c r="BN640" s="46"/>
      <c r="BO640" s="45"/>
      <c r="BP640" s="46"/>
      <c r="BQ640" s="45"/>
      <c r="BR640" s="46"/>
      <c r="BS640" s="45"/>
      <c r="BT640" s="46"/>
      <c r="BU640" s="45"/>
    </row>
    <row r="641" spans="1:73" ht="15">
      <c r="A641" s="61" t="s">
        <v>257</v>
      </c>
      <c r="B641" s="61" t="s">
        <v>534</v>
      </c>
      <c r="C641" s="62" t="s">
        <v>11697</v>
      </c>
      <c r="D641" s="63">
        <v>10</v>
      </c>
      <c r="E641" s="64" t="s">
        <v>136</v>
      </c>
      <c r="F641" s="65">
        <v>10</v>
      </c>
      <c r="G641" s="62"/>
      <c r="H641" s="66"/>
      <c r="I641" s="67"/>
      <c r="J641" s="67"/>
      <c r="K641" s="31" t="s">
        <v>65</v>
      </c>
      <c r="L641" s="75">
        <v>641</v>
      </c>
      <c r="M641" s="75"/>
      <c r="N641" s="69"/>
      <c r="O641" s="77" t="s">
        <v>539</v>
      </c>
      <c r="P641" s="79">
        <v>45150.275717592594</v>
      </c>
      <c r="Q641" s="77" t="s">
        <v>649</v>
      </c>
      <c r="R641" s="77">
        <v>1</v>
      </c>
      <c r="S641" s="77">
        <v>4</v>
      </c>
      <c r="T641" s="77">
        <v>0</v>
      </c>
      <c r="U641" s="77">
        <v>0</v>
      </c>
      <c r="V641" s="77">
        <v>98</v>
      </c>
      <c r="W641" s="81" t="s">
        <v>716</v>
      </c>
      <c r="X641" s="77"/>
      <c r="Y641" s="77"/>
      <c r="Z641" s="77" t="s">
        <v>811</v>
      </c>
      <c r="AA641" s="77" t="s">
        <v>841</v>
      </c>
      <c r="AB641" s="77" t="s">
        <v>848</v>
      </c>
      <c r="AC641" s="81" t="s">
        <v>855</v>
      </c>
      <c r="AD641" s="77" t="s">
        <v>859</v>
      </c>
      <c r="AE641" s="83" t="str">
        <f>HYPERLINK("https://twitter.com/pinakilaskar/status/1690251024219750400")</f>
        <v>https://twitter.com/pinakilaskar/status/1690251024219750400</v>
      </c>
      <c r="AF641" s="79">
        <v>45150.275717592594</v>
      </c>
      <c r="AG641" s="85">
        <v>45150</v>
      </c>
      <c r="AH641" s="81" t="s">
        <v>977</v>
      </c>
      <c r="AI641" s="77" t="b">
        <v>0</v>
      </c>
      <c r="AJ641" s="77"/>
      <c r="AK641" s="77"/>
      <c r="AL641" s="77"/>
      <c r="AM641" s="77"/>
      <c r="AN641" s="77"/>
      <c r="AO641" s="77"/>
      <c r="AP641" s="77"/>
      <c r="AQ641" s="77" t="s">
        <v>1020</v>
      </c>
      <c r="AR641" s="77"/>
      <c r="AS641" s="77"/>
      <c r="AT641" s="77"/>
      <c r="AU641" s="77"/>
      <c r="AV641" s="83" t="str">
        <f>HYPERLINK("https://pbs.twimg.com/media/F3T6WV0WAAAmDGR.jpg")</f>
        <v>https://pbs.twimg.com/media/F3T6WV0WAAAmDGR.jpg</v>
      </c>
      <c r="AW641" s="81" t="s">
        <v>1132</v>
      </c>
      <c r="AX641" s="81" t="s">
        <v>1132</v>
      </c>
      <c r="AY641" s="77"/>
      <c r="AZ641" s="81" t="s">
        <v>1190</v>
      </c>
      <c r="BA641" s="81" t="s">
        <v>1190</v>
      </c>
      <c r="BB641" s="81" t="s">
        <v>1190</v>
      </c>
      <c r="BC641" s="81" t="s">
        <v>1132</v>
      </c>
      <c r="BD641" s="81" t="s">
        <v>1213</v>
      </c>
      <c r="BE641" s="77"/>
      <c r="BF641" s="77"/>
      <c r="BG641" s="77"/>
      <c r="BH641" s="77"/>
      <c r="BI641" s="77"/>
      <c r="BJ641">
        <v>9</v>
      </c>
      <c r="BK641" s="76" t="str">
        <f>REPLACE(INDEX(GroupVertices[Group],MATCH(Edges[[#This Row],[Vertex 1]],GroupVertices[Vertex],0)),1,1,"")</f>
        <v>7</v>
      </c>
      <c r="BL641" s="76" t="str">
        <f>REPLACE(INDEX(GroupVertices[Group],MATCH(Edges[[#This Row],[Vertex 2]],GroupVertices[Vertex],0)),1,1,"")</f>
        <v>7</v>
      </c>
      <c r="BM641" s="45"/>
      <c r="BN641" s="46"/>
      <c r="BO641" s="45"/>
      <c r="BP641" s="46"/>
      <c r="BQ641" s="45"/>
      <c r="BR641" s="46"/>
      <c r="BS641" s="45"/>
      <c r="BT641" s="46"/>
      <c r="BU641" s="45"/>
    </row>
    <row r="642" spans="1:73" ht="15">
      <c r="A642" s="61" t="s">
        <v>257</v>
      </c>
      <c r="B642" s="61" t="s">
        <v>535</v>
      </c>
      <c r="C642" s="62" t="s">
        <v>11697</v>
      </c>
      <c r="D642" s="63">
        <v>10</v>
      </c>
      <c r="E642" s="64" t="s">
        <v>136</v>
      </c>
      <c r="F642" s="65">
        <v>10</v>
      </c>
      <c r="G642" s="62"/>
      <c r="H642" s="66"/>
      <c r="I642" s="67"/>
      <c r="J642" s="67"/>
      <c r="K642" s="31" t="s">
        <v>65</v>
      </c>
      <c r="L642" s="75">
        <v>642</v>
      </c>
      <c r="M642" s="75"/>
      <c r="N642" s="69"/>
      <c r="O642" s="77" t="s">
        <v>539</v>
      </c>
      <c r="P642" s="79">
        <v>45150.275717592594</v>
      </c>
      <c r="Q642" s="77" t="s">
        <v>649</v>
      </c>
      <c r="R642" s="77">
        <v>1</v>
      </c>
      <c r="S642" s="77">
        <v>4</v>
      </c>
      <c r="T642" s="77">
        <v>0</v>
      </c>
      <c r="U642" s="77">
        <v>0</v>
      </c>
      <c r="V642" s="77">
        <v>98</v>
      </c>
      <c r="W642" s="81" t="s">
        <v>716</v>
      </c>
      <c r="X642" s="77"/>
      <c r="Y642" s="77"/>
      <c r="Z642" s="77" t="s">
        <v>811</v>
      </c>
      <c r="AA642" s="77" t="s">
        <v>841</v>
      </c>
      <c r="AB642" s="77" t="s">
        <v>848</v>
      </c>
      <c r="AC642" s="81" t="s">
        <v>855</v>
      </c>
      <c r="AD642" s="77" t="s">
        <v>859</v>
      </c>
      <c r="AE642" s="83" t="str">
        <f>HYPERLINK("https://twitter.com/pinakilaskar/status/1690251024219750400")</f>
        <v>https://twitter.com/pinakilaskar/status/1690251024219750400</v>
      </c>
      <c r="AF642" s="79">
        <v>45150.275717592594</v>
      </c>
      <c r="AG642" s="85">
        <v>45150</v>
      </c>
      <c r="AH642" s="81" t="s">
        <v>977</v>
      </c>
      <c r="AI642" s="77" t="b">
        <v>0</v>
      </c>
      <c r="AJ642" s="77"/>
      <c r="AK642" s="77"/>
      <c r="AL642" s="77"/>
      <c r="AM642" s="77"/>
      <c r="AN642" s="77"/>
      <c r="AO642" s="77"/>
      <c r="AP642" s="77"/>
      <c r="AQ642" s="77" t="s">
        <v>1020</v>
      </c>
      <c r="AR642" s="77"/>
      <c r="AS642" s="77"/>
      <c r="AT642" s="77"/>
      <c r="AU642" s="77"/>
      <c r="AV642" s="83" t="str">
        <f>HYPERLINK("https://pbs.twimg.com/media/F3T6WV0WAAAmDGR.jpg")</f>
        <v>https://pbs.twimg.com/media/F3T6WV0WAAAmDGR.jpg</v>
      </c>
      <c r="AW642" s="81" t="s">
        <v>1132</v>
      </c>
      <c r="AX642" s="81" t="s">
        <v>1132</v>
      </c>
      <c r="AY642" s="77"/>
      <c r="AZ642" s="81" t="s">
        <v>1190</v>
      </c>
      <c r="BA642" s="81" t="s">
        <v>1190</v>
      </c>
      <c r="BB642" s="81" t="s">
        <v>1190</v>
      </c>
      <c r="BC642" s="81" t="s">
        <v>1132</v>
      </c>
      <c r="BD642" s="81" t="s">
        <v>1213</v>
      </c>
      <c r="BE642" s="77"/>
      <c r="BF642" s="77"/>
      <c r="BG642" s="77"/>
      <c r="BH642" s="77"/>
      <c r="BI642" s="77"/>
      <c r="BJ642">
        <v>13</v>
      </c>
      <c r="BK642" s="76" t="str">
        <f>REPLACE(INDEX(GroupVertices[Group],MATCH(Edges[[#This Row],[Vertex 1]],GroupVertices[Vertex],0)),1,1,"")</f>
        <v>7</v>
      </c>
      <c r="BL642" s="76" t="str">
        <f>REPLACE(INDEX(GroupVertices[Group],MATCH(Edges[[#This Row],[Vertex 2]],GroupVertices[Vertex],0)),1,1,"")</f>
        <v>7</v>
      </c>
      <c r="BM642" s="45"/>
      <c r="BN642" s="46"/>
      <c r="BO642" s="45"/>
      <c r="BP642" s="46"/>
      <c r="BQ642" s="45"/>
      <c r="BR642" s="46"/>
      <c r="BS642" s="45"/>
      <c r="BT642" s="46"/>
      <c r="BU642" s="45"/>
    </row>
    <row r="643" spans="1:73" ht="15">
      <c r="A643" s="61" t="s">
        <v>257</v>
      </c>
      <c r="B643" s="61" t="s">
        <v>537</v>
      </c>
      <c r="C643" s="62" t="s">
        <v>11697</v>
      </c>
      <c r="D643" s="63">
        <v>10</v>
      </c>
      <c r="E643" s="64" t="s">
        <v>136</v>
      </c>
      <c r="F643" s="65">
        <v>10</v>
      </c>
      <c r="G643" s="62"/>
      <c r="H643" s="66"/>
      <c r="I643" s="67"/>
      <c r="J643" s="67"/>
      <c r="K643" s="31" t="s">
        <v>65</v>
      </c>
      <c r="L643" s="75">
        <v>643</v>
      </c>
      <c r="M643" s="75"/>
      <c r="N643" s="69"/>
      <c r="O643" s="77" t="s">
        <v>539</v>
      </c>
      <c r="P643" s="79">
        <v>45150.275717592594</v>
      </c>
      <c r="Q643" s="77" t="s">
        <v>649</v>
      </c>
      <c r="R643" s="77">
        <v>1</v>
      </c>
      <c r="S643" s="77">
        <v>4</v>
      </c>
      <c r="T643" s="77">
        <v>0</v>
      </c>
      <c r="U643" s="77">
        <v>0</v>
      </c>
      <c r="V643" s="77">
        <v>98</v>
      </c>
      <c r="W643" s="81" t="s">
        <v>716</v>
      </c>
      <c r="X643" s="77"/>
      <c r="Y643" s="77"/>
      <c r="Z643" s="77" t="s">
        <v>811</v>
      </c>
      <c r="AA643" s="77" t="s">
        <v>841</v>
      </c>
      <c r="AB643" s="77" t="s">
        <v>848</v>
      </c>
      <c r="AC643" s="81" t="s">
        <v>855</v>
      </c>
      <c r="AD643" s="77" t="s">
        <v>859</v>
      </c>
      <c r="AE643" s="83" t="str">
        <f>HYPERLINK("https://twitter.com/pinakilaskar/status/1690251024219750400")</f>
        <v>https://twitter.com/pinakilaskar/status/1690251024219750400</v>
      </c>
      <c r="AF643" s="79">
        <v>45150.275717592594</v>
      </c>
      <c r="AG643" s="85">
        <v>45150</v>
      </c>
      <c r="AH643" s="81" t="s">
        <v>977</v>
      </c>
      <c r="AI643" s="77" t="b">
        <v>0</v>
      </c>
      <c r="AJ643" s="77"/>
      <c r="AK643" s="77"/>
      <c r="AL643" s="77"/>
      <c r="AM643" s="77"/>
      <c r="AN643" s="77"/>
      <c r="AO643" s="77"/>
      <c r="AP643" s="77"/>
      <c r="AQ643" s="77" t="s">
        <v>1020</v>
      </c>
      <c r="AR643" s="77"/>
      <c r="AS643" s="77"/>
      <c r="AT643" s="77"/>
      <c r="AU643" s="77"/>
      <c r="AV643" s="83" t="str">
        <f>HYPERLINK("https://pbs.twimg.com/media/F3T6WV0WAAAmDGR.jpg")</f>
        <v>https://pbs.twimg.com/media/F3T6WV0WAAAmDGR.jpg</v>
      </c>
      <c r="AW643" s="81" t="s">
        <v>1132</v>
      </c>
      <c r="AX643" s="81" t="s">
        <v>1132</v>
      </c>
      <c r="AY643" s="77"/>
      <c r="AZ643" s="81" t="s">
        <v>1190</v>
      </c>
      <c r="BA643" s="81" t="s">
        <v>1190</v>
      </c>
      <c r="BB643" s="81" t="s">
        <v>1190</v>
      </c>
      <c r="BC643" s="81" t="s">
        <v>1132</v>
      </c>
      <c r="BD643" s="81" t="s">
        <v>1213</v>
      </c>
      <c r="BE643" s="77"/>
      <c r="BF643" s="77"/>
      <c r="BG643" s="77"/>
      <c r="BH643" s="77"/>
      <c r="BI643" s="77"/>
      <c r="BJ643">
        <v>10</v>
      </c>
      <c r="BK643" s="76" t="str">
        <f>REPLACE(INDEX(GroupVertices[Group],MATCH(Edges[[#This Row],[Vertex 1]],GroupVertices[Vertex],0)),1,1,"")</f>
        <v>7</v>
      </c>
      <c r="BL643" s="76" t="str">
        <f>REPLACE(INDEX(GroupVertices[Group],MATCH(Edges[[#This Row],[Vertex 2]],GroupVertices[Vertex],0)),1,1,"")</f>
        <v>7</v>
      </c>
      <c r="BM643" s="45"/>
      <c r="BN643" s="46"/>
      <c r="BO643" s="45"/>
      <c r="BP643" s="46"/>
      <c r="BQ643" s="45"/>
      <c r="BR643" s="46"/>
      <c r="BS643" s="45"/>
      <c r="BT643" s="46"/>
      <c r="BU643" s="45"/>
    </row>
    <row r="644" spans="1:73" ht="15">
      <c r="A644" s="61" t="s">
        <v>257</v>
      </c>
      <c r="B644" s="61" t="s">
        <v>538</v>
      </c>
      <c r="C644" s="62" t="s">
        <v>11697</v>
      </c>
      <c r="D644" s="63">
        <v>10</v>
      </c>
      <c r="E644" s="64" t="s">
        <v>136</v>
      </c>
      <c r="F644" s="65">
        <v>10</v>
      </c>
      <c r="G644" s="62"/>
      <c r="H644" s="66"/>
      <c r="I644" s="67"/>
      <c r="J644" s="67"/>
      <c r="K644" s="31" t="s">
        <v>65</v>
      </c>
      <c r="L644" s="75">
        <v>644</v>
      </c>
      <c r="M644" s="75"/>
      <c r="N644" s="69"/>
      <c r="O644" s="77" t="s">
        <v>539</v>
      </c>
      <c r="P644" s="79">
        <v>45150.275717592594</v>
      </c>
      <c r="Q644" s="77" t="s">
        <v>649</v>
      </c>
      <c r="R644" s="77">
        <v>1</v>
      </c>
      <c r="S644" s="77">
        <v>4</v>
      </c>
      <c r="T644" s="77">
        <v>0</v>
      </c>
      <c r="U644" s="77">
        <v>0</v>
      </c>
      <c r="V644" s="77">
        <v>98</v>
      </c>
      <c r="W644" s="81" t="s">
        <v>716</v>
      </c>
      <c r="X644" s="77"/>
      <c r="Y644" s="77"/>
      <c r="Z644" s="77" t="s">
        <v>811</v>
      </c>
      <c r="AA644" s="77" t="s">
        <v>841</v>
      </c>
      <c r="AB644" s="77" t="s">
        <v>848</v>
      </c>
      <c r="AC644" s="81" t="s">
        <v>855</v>
      </c>
      <c r="AD644" s="77" t="s">
        <v>859</v>
      </c>
      <c r="AE644" s="83" t="str">
        <f>HYPERLINK("https://twitter.com/pinakilaskar/status/1690251024219750400")</f>
        <v>https://twitter.com/pinakilaskar/status/1690251024219750400</v>
      </c>
      <c r="AF644" s="79">
        <v>45150.275717592594</v>
      </c>
      <c r="AG644" s="85">
        <v>45150</v>
      </c>
      <c r="AH644" s="81" t="s">
        <v>977</v>
      </c>
      <c r="AI644" s="77" t="b">
        <v>0</v>
      </c>
      <c r="AJ644" s="77"/>
      <c r="AK644" s="77"/>
      <c r="AL644" s="77"/>
      <c r="AM644" s="77"/>
      <c r="AN644" s="77"/>
      <c r="AO644" s="77"/>
      <c r="AP644" s="77"/>
      <c r="AQ644" s="77" t="s">
        <v>1020</v>
      </c>
      <c r="AR644" s="77"/>
      <c r="AS644" s="77"/>
      <c r="AT644" s="77"/>
      <c r="AU644" s="77"/>
      <c r="AV644" s="83" t="str">
        <f>HYPERLINK("https://pbs.twimg.com/media/F3T6WV0WAAAmDGR.jpg")</f>
        <v>https://pbs.twimg.com/media/F3T6WV0WAAAmDGR.jpg</v>
      </c>
      <c r="AW644" s="81" t="s">
        <v>1132</v>
      </c>
      <c r="AX644" s="81" t="s">
        <v>1132</v>
      </c>
      <c r="AY644" s="77"/>
      <c r="AZ644" s="81" t="s">
        <v>1190</v>
      </c>
      <c r="BA644" s="81" t="s">
        <v>1190</v>
      </c>
      <c r="BB644" s="81" t="s">
        <v>1190</v>
      </c>
      <c r="BC644" s="81" t="s">
        <v>1132</v>
      </c>
      <c r="BD644" s="81" t="s">
        <v>1213</v>
      </c>
      <c r="BE644" s="77"/>
      <c r="BF644" s="77"/>
      <c r="BG644" s="77"/>
      <c r="BH644" s="77"/>
      <c r="BI644" s="77"/>
      <c r="BJ644">
        <v>13</v>
      </c>
      <c r="BK644" s="76" t="str">
        <f>REPLACE(INDEX(GroupVertices[Group],MATCH(Edges[[#This Row],[Vertex 1]],GroupVertices[Vertex],0)),1,1,"")</f>
        <v>7</v>
      </c>
      <c r="BL644" s="76" t="str">
        <f>REPLACE(INDEX(GroupVertices[Group],MATCH(Edges[[#This Row],[Vertex 2]],GroupVertices[Vertex],0)),1,1,"")</f>
        <v>7</v>
      </c>
      <c r="BM644" s="45">
        <v>1</v>
      </c>
      <c r="BN644" s="46">
        <v>3.8461538461538463</v>
      </c>
      <c r="BO644" s="45">
        <v>0</v>
      </c>
      <c r="BP644" s="46">
        <v>0</v>
      </c>
      <c r="BQ644" s="45">
        <v>0</v>
      </c>
      <c r="BR644" s="46">
        <v>0</v>
      </c>
      <c r="BS644" s="45">
        <v>21</v>
      </c>
      <c r="BT644" s="46">
        <v>80.76923076923077</v>
      </c>
      <c r="BU644" s="45">
        <v>26</v>
      </c>
    </row>
    <row r="645" spans="1:73" ht="15">
      <c r="A645" s="61" t="s">
        <v>257</v>
      </c>
      <c r="B645" s="61" t="s">
        <v>532</v>
      </c>
      <c r="C645" s="62" t="s">
        <v>11697</v>
      </c>
      <c r="D645" s="63">
        <v>10</v>
      </c>
      <c r="E645" s="64" t="s">
        <v>136</v>
      </c>
      <c r="F645" s="65">
        <v>10</v>
      </c>
      <c r="G645" s="62"/>
      <c r="H645" s="66"/>
      <c r="I645" s="67"/>
      <c r="J645" s="67"/>
      <c r="K645" s="31" t="s">
        <v>65</v>
      </c>
      <c r="L645" s="75">
        <v>645</v>
      </c>
      <c r="M645" s="75"/>
      <c r="N645" s="69"/>
      <c r="O645" s="77" t="s">
        <v>539</v>
      </c>
      <c r="P645" s="79">
        <v>45163.17259259259</v>
      </c>
      <c r="Q645" s="77" t="s">
        <v>650</v>
      </c>
      <c r="R645" s="77">
        <v>3</v>
      </c>
      <c r="S645" s="77">
        <v>3</v>
      </c>
      <c r="T645" s="77">
        <v>0</v>
      </c>
      <c r="U645" s="77">
        <v>0</v>
      </c>
      <c r="V645" s="77">
        <v>108</v>
      </c>
      <c r="W645" s="81" t="s">
        <v>717</v>
      </c>
      <c r="X645" s="83" t="str">
        <f>HYPERLINK("https://www.linkedin.com/posts/pinakilaskar_aicommandments-aiforbusiness-aicompanies-activity-7100686984049831936-9XVM")</f>
        <v>https://www.linkedin.com/posts/pinakilaskar_aicommandments-aiforbusiness-aicompanies-activity-7100686984049831936-9XVM</v>
      </c>
      <c r="Y645" s="77" t="s">
        <v>749</v>
      </c>
      <c r="Z645" s="77" t="s">
        <v>812</v>
      </c>
      <c r="AA645" s="77"/>
      <c r="AB645" s="77"/>
      <c r="AC645" s="81" t="s">
        <v>855</v>
      </c>
      <c r="AD645" s="77" t="s">
        <v>859</v>
      </c>
      <c r="AE645" s="83" t="str">
        <f>HYPERLINK("https://twitter.com/pinakilaskar/status/1694924697534885947")</f>
        <v>https://twitter.com/pinakilaskar/status/1694924697534885947</v>
      </c>
      <c r="AF645" s="79">
        <v>45163.17259259259</v>
      </c>
      <c r="AG645" s="85">
        <v>45163</v>
      </c>
      <c r="AH645" s="81" t="s">
        <v>978</v>
      </c>
      <c r="AI645" s="77" t="b">
        <v>0</v>
      </c>
      <c r="AJ645" s="77"/>
      <c r="AK645" s="77"/>
      <c r="AL645" s="77"/>
      <c r="AM645" s="77"/>
      <c r="AN645" s="77"/>
      <c r="AO645" s="77"/>
      <c r="AP645" s="77"/>
      <c r="AQ645" s="77"/>
      <c r="AR645" s="77"/>
      <c r="AS645" s="77"/>
      <c r="AT645" s="77"/>
      <c r="AU645" s="77"/>
      <c r="AV645" s="83" t="str">
        <f>HYPERLINK("https://pbs.twimg.com/profile_images/1277223966705192966/aIT6N-WJ_normal.jpg")</f>
        <v>https://pbs.twimg.com/profile_images/1277223966705192966/aIT6N-WJ_normal.jpg</v>
      </c>
      <c r="AW645" s="81" t="s">
        <v>1133</v>
      </c>
      <c r="AX645" s="81" t="s">
        <v>1133</v>
      </c>
      <c r="AY645" s="77"/>
      <c r="AZ645" s="81" t="s">
        <v>1190</v>
      </c>
      <c r="BA645" s="81" t="s">
        <v>1190</v>
      </c>
      <c r="BB645" s="81" t="s">
        <v>1190</v>
      </c>
      <c r="BC645" s="81" t="s">
        <v>1133</v>
      </c>
      <c r="BD645" s="81" t="s">
        <v>1213</v>
      </c>
      <c r="BE645" s="77"/>
      <c r="BF645" s="77"/>
      <c r="BG645" s="77"/>
      <c r="BH645" s="77"/>
      <c r="BI645" s="77"/>
      <c r="BJ645">
        <v>13</v>
      </c>
      <c r="BK645" s="76" t="str">
        <f>REPLACE(INDEX(GroupVertices[Group],MATCH(Edges[[#This Row],[Vertex 1]],GroupVertices[Vertex],0)),1,1,"")</f>
        <v>7</v>
      </c>
      <c r="BL645" s="76" t="str">
        <f>REPLACE(INDEX(GroupVertices[Group],MATCH(Edges[[#This Row],[Vertex 2]],GroupVertices[Vertex],0)),1,1,"")</f>
        <v>7</v>
      </c>
      <c r="BM645" s="45"/>
      <c r="BN645" s="46"/>
      <c r="BO645" s="45"/>
      <c r="BP645" s="46"/>
      <c r="BQ645" s="45"/>
      <c r="BR645" s="46"/>
      <c r="BS645" s="45"/>
      <c r="BT645" s="46"/>
      <c r="BU645" s="45"/>
    </row>
    <row r="646" spans="1:73" ht="15">
      <c r="A646" s="61" t="s">
        <v>257</v>
      </c>
      <c r="B646" s="61" t="s">
        <v>228</v>
      </c>
      <c r="C646" s="62" t="s">
        <v>11697</v>
      </c>
      <c r="D646" s="63">
        <v>10</v>
      </c>
      <c r="E646" s="64" t="s">
        <v>136</v>
      </c>
      <c r="F646" s="65">
        <v>10</v>
      </c>
      <c r="G646" s="62"/>
      <c r="H646" s="66"/>
      <c r="I646" s="67"/>
      <c r="J646" s="67"/>
      <c r="K646" s="31" t="s">
        <v>65</v>
      </c>
      <c r="L646" s="75">
        <v>646</v>
      </c>
      <c r="M646" s="75"/>
      <c r="N646" s="69"/>
      <c r="O646" s="77" t="s">
        <v>539</v>
      </c>
      <c r="P646" s="79">
        <v>45163.17259259259</v>
      </c>
      <c r="Q646" s="77" t="s">
        <v>650</v>
      </c>
      <c r="R646" s="77">
        <v>3</v>
      </c>
      <c r="S646" s="77">
        <v>3</v>
      </c>
      <c r="T646" s="77">
        <v>0</v>
      </c>
      <c r="U646" s="77">
        <v>0</v>
      </c>
      <c r="V646" s="77">
        <v>108</v>
      </c>
      <c r="W646" s="81" t="s">
        <v>717</v>
      </c>
      <c r="X646" s="83" t="str">
        <f>HYPERLINK("https://www.linkedin.com/posts/pinakilaskar_aicommandments-aiforbusiness-aicompanies-activity-7100686984049831936-9XVM")</f>
        <v>https://www.linkedin.com/posts/pinakilaskar_aicommandments-aiforbusiness-aicompanies-activity-7100686984049831936-9XVM</v>
      </c>
      <c r="Y646" s="77" t="s">
        <v>749</v>
      </c>
      <c r="Z646" s="77" t="s">
        <v>812</v>
      </c>
      <c r="AA646" s="77"/>
      <c r="AB646" s="77"/>
      <c r="AC646" s="81" t="s">
        <v>855</v>
      </c>
      <c r="AD646" s="77" t="s">
        <v>859</v>
      </c>
      <c r="AE646" s="83" t="str">
        <f>HYPERLINK("https://twitter.com/pinakilaskar/status/1694924697534885947")</f>
        <v>https://twitter.com/pinakilaskar/status/1694924697534885947</v>
      </c>
      <c r="AF646" s="79">
        <v>45163.17259259259</v>
      </c>
      <c r="AG646" s="85">
        <v>45163</v>
      </c>
      <c r="AH646" s="81" t="s">
        <v>978</v>
      </c>
      <c r="AI646" s="77" t="b">
        <v>0</v>
      </c>
      <c r="AJ646" s="77"/>
      <c r="AK646" s="77"/>
      <c r="AL646" s="77"/>
      <c r="AM646" s="77"/>
      <c r="AN646" s="77"/>
      <c r="AO646" s="77"/>
      <c r="AP646" s="77"/>
      <c r="AQ646" s="77"/>
      <c r="AR646" s="77"/>
      <c r="AS646" s="77"/>
      <c r="AT646" s="77"/>
      <c r="AU646" s="77"/>
      <c r="AV646" s="83" t="str">
        <f>HYPERLINK("https://pbs.twimg.com/profile_images/1277223966705192966/aIT6N-WJ_normal.jpg")</f>
        <v>https://pbs.twimg.com/profile_images/1277223966705192966/aIT6N-WJ_normal.jpg</v>
      </c>
      <c r="AW646" s="81" t="s">
        <v>1133</v>
      </c>
      <c r="AX646" s="81" t="s">
        <v>1133</v>
      </c>
      <c r="AY646" s="77"/>
      <c r="AZ646" s="81" t="s">
        <v>1190</v>
      </c>
      <c r="BA646" s="81" t="s">
        <v>1190</v>
      </c>
      <c r="BB646" s="81" t="s">
        <v>1190</v>
      </c>
      <c r="BC646" s="81" t="s">
        <v>1133</v>
      </c>
      <c r="BD646" s="81" t="s">
        <v>1213</v>
      </c>
      <c r="BE646" s="77"/>
      <c r="BF646" s="77"/>
      <c r="BG646" s="77"/>
      <c r="BH646" s="77"/>
      <c r="BI646" s="77"/>
      <c r="BJ646">
        <v>13</v>
      </c>
      <c r="BK646" s="76" t="str">
        <f>REPLACE(INDEX(GroupVertices[Group],MATCH(Edges[[#This Row],[Vertex 1]],GroupVertices[Vertex],0)),1,1,"")</f>
        <v>7</v>
      </c>
      <c r="BL646" s="76" t="str">
        <f>REPLACE(INDEX(GroupVertices[Group],MATCH(Edges[[#This Row],[Vertex 2]],GroupVertices[Vertex],0)),1,1,"")</f>
        <v>2</v>
      </c>
      <c r="BM646" s="45"/>
      <c r="BN646" s="46"/>
      <c r="BO646" s="45"/>
      <c r="BP646" s="46"/>
      <c r="BQ646" s="45"/>
      <c r="BR646" s="46"/>
      <c r="BS646" s="45"/>
      <c r="BT646" s="46"/>
      <c r="BU646" s="45"/>
    </row>
    <row r="647" spans="1:73" ht="15">
      <c r="A647" s="61" t="s">
        <v>257</v>
      </c>
      <c r="B647" s="61" t="s">
        <v>529</v>
      </c>
      <c r="C647" s="62" t="s">
        <v>11697</v>
      </c>
      <c r="D647" s="63">
        <v>10</v>
      </c>
      <c r="E647" s="64" t="s">
        <v>136</v>
      </c>
      <c r="F647" s="65">
        <v>10</v>
      </c>
      <c r="G647" s="62"/>
      <c r="H647" s="66"/>
      <c r="I647" s="67"/>
      <c r="J647" s="67"/>
      <c r="K647" s="31" t="s">
        <v>65</v>
      </c>
      <c r="L647" s="75">
        <v>647</v>
      </c>
      <c r="M647" s="75"/>
      <c r="N647" s="69"/>
      <c r="O647" s="77" t="s">
        <v>539</v>
      </c>
      <c r="P647" s="79">
        <v>45163.17259259259</v>
      </c>
      <c r="Q647" s="77" t="s">
        <v>650</v>
      </c>
      <c r="R647" s="77">
        <v>3</v>
      </c>
      <c r="S647" s="77">
        <v>3</v>
      </c>
      <c r="T647" s="77">
        <v>0</v>
      </c>
      <c r="U647" s="77">
        <v>0</v>
      </c>
      <c r="V647" s="77">
        <v>108</v>
      </c>
      <c r="W647" s="81" t="s">
        <v>717</v>
      </c>
      <c r="X647" s="83" t="str">
        <f>HYPERLINK("https://www.linkedin.com/posts/pinakilaskar_aicommandments-aiforbusiness-aicompanies-activity-7100686984049831936-9XVM")</f>
        <v>https://www.linkedin.com/posts/pinakilaskar_aicommandments-aiforbusiness-aicompanies-activity-7100686984049831936-9XVM</v>
      </c>
      <c r="Y647" s="77" t="s">
        <v>749</v>
      </c>
      <c r="Z647" s="77" t="s">
        <v>812</v>
      </c>
      <c r="AA647" s="77"/>
      <c r="AB647" s="77"/>
      <c r="AC647" s="81" t="s">
        <v>855</v>
      </c>
      <c r="AD647" s="77" t="s">
        <v>859</v>
      </c>
      <c r="AE647" s="83" t="str">
        <f>HYPERLINK("https://twitter.com/pinakilaskar/status/1694924697534885947")</f>
        <v>https://twitter.com/pinakilaskar/status/1694924697534885947</v>
      </c>
      <c r="AF647" s="79">
        <v>45163.17259259259</v>
      </c>
      <c r="AG647" s="85">
        <v>45163</v>
      </c>
      <c r="AH647" s="81" t="s">
        <v>978</v>
      </c>
      <c r="AI647" s="77" t="b">
        <v>0</v>
      </c>
      <c r="AJ647" s="77"/>
      <c r="AK647" s="77"/>
      <c r="AL647" s="77"/>
      <c r="AM647" s="77"/>
      <c r="AN647" s="77"/>
      <c r="AO647" s="77"/>
      <c r="AP647" s="77"/>
      <c r="AQ647" s="77"/>
      <c r="AR647" s="77"/>
      <c r="AS647" s="77"/>
      <c r="AT647" s="77"/>
      <c r="AU647" s="77"/>
      <c r="AV647" s="83" t="str">
        <f>HYPERLINK("https://pbs.twimg.com/profile_images/1277223966705192966/aIT6N-WJ_normal.jpg")</f>
        <v>https://pbs.twimg.com/profile_images/1277223966705192966/aIT6N-WJ_normal.jpg</v>
      </c>
      <c r="AW647" s="81" t="s">
        <v>1133</v>
      </c>
      <c r="AX647" s="81" t="s">
        <v>1133</v>
      </c>
      <c r="AY647" s="77"/>
      <c r="AZ647" s="81" t="s">
        <v>1190</v>
      </c>
      <c r="BA647" s="81" t="s">
        <v>1190</v>
      </c>
      <c r="BB647" s="81" t="s">
        <v>1190</v>
      </c>
      <c r="BC647" s="81" t="s">
        <v>1133</v>
      </c>
      <c r="BD647" s="81" t="s">
        <v>1213</v>
      </c>
      <c r="BE647" s="77"/>
      <c r="BF647" s="77"/>
      <c r="BG647" s="77"/>
      <c r="BH647" s="77"/>
      <c r="BI647" s="77"/>
      <c r="BJ647">
        <v>13</v>
      </c>
      <c r="BK647" s="76" t="str">
        <f>REPLACE(INDEX(GroupVertices[Group],MATCH(Edges[[#This Row],[Vertex 1]],GroupVertices[Vertex],0)),1,1,"")</f>
        <v>7</v>
      </c>
      <c r="BL647" s="76" t="str">
        <f>REPLACE(INDEX(GroupVertices[Group],MATCH(Edges[[#This Row],[Vertex 2]],GroupVertices[Vertex],0)),1,1,"")</f>
        <v>7</v>
      </c>
      <c r="BM647" s="45"/>
      <c r="BN647" s="46"/>
      <c r="BO647" s="45"/>
      <c r="BP647" s="46"/>
      <c r="BQ647" s="45"/>
      <c r="BR647" s="46"/>
      <c r="BS647" s="45"/>
      <c r="BT647" s="46"/>
      <c r="BU647" s="45"/>
    </row>
    <row r="648" spans="1:73" ht="15">
      <c r="A648" s="61" t="s">
        <v>257</v>
      </c>
      <c r="B648" s="61" t="s">
        <v>533</v>
      </c>
      <c r="C648" s="62" t="s">
        <v>11697</v>
      </c>
      <c r="D648" s="63">
        <v>10</v>
      </c>
      <c r="E648" s="64" t="s">
        <v>136</v>
      </c>
      <c r="F648" s="65">
        <v>10</v>
      </c>
      <c r="G648" s="62"/>
      <c r="H648" s="66"/>
      <c r="I648" s="67"/>
      <c r="J648" s="67"/>
      <c r="K648" s="31" t="s">
        <v>65</v>
      </c>
      <c r="L648" s="75">
        <v>648</v>
      </c>
      <c r="M648" s="75"/>
      <c r="N648" s="69"/>
      <c r="O648" s="77" t="s">
        <v>539</v>
      </c>
      <c r="P648" s="79">
        <v>45163.17259259259</v>
      </c>
      <c r="Q648" s="77" t="s">
        <v>650</v>
      </c>
      <c r="R648" s="77">
        <v>3</v>
      </c>
      <c r="S648" s="77">
        <v>3</v>
      </c>
      <c r="T648" s="77">
        <v>0</v>
      </c>
      <c r="U648" s="77">
        <v>0</v>
      </c>
      <c r="V648" s="77">
        <v>108</v>
      </c>
      <c r="W648" s="81" t="s">
        <v>717</v>
      </c>
      <c r="X648" s="83" t="str">
        <f>HYPERLINK("https://www.linkedin.com/posts/pinakilaskar_aicommandments-aiforbusiness-aicompanies-activity-7100686984049831936-9XVM")</f>
        <v>https://www.linkedin.com/posts/pinakilaskar_aicommandments-aiforbusiness-aicompanies-activity-7100686984049831936-9XVM</v>
      </c>
      <c r="Y648" s="77" t="s">
        <v>749</v>
      </c>
      <c r="Z648" s="77" t="s">
        <v>812</v>
      </c>
      <c r="AA648" s="77"/>
      <c r="AB648" s="77"/>
      <c r="AC648" s="81" t="s">
        <v>855</v>
      </c>
      <c r="AD648" s="77" t="s">
        <v>859</v>
      </c>
      <c r="AE648" s="83" t="str">
        <f>HYPERLINK("https://twitter.com/pinakilaskar/status/1694924697534885947")</f>
        <v>https://twitter.com/pinakilaskar/status/1694924697534885947</v>
      </c>
      <c r="AF648" s="79">
        <v>45163.17259259259</v>
      </c>
      <c r="AG648" s="85">
        <v>45163</v>
      </c>
      <c r="AH648" s="81" t="s">
        <v>978</v>
      </c>
      <c r="AI648" s="77" t="b">
        <v>0</v>
      </c>
      <c r="AJ648" s="77"/>
      <c r="AK648" s="77"/>
      <c r="AL648" s="77"/>
      <c r="AM648" s="77"/>
      <c r="AN648" s="77"/>
      <c r="AO648" s="77"/>
      <c r="AP648" s="77"/>
      <c r="AQ648" s="77"/>
      <c r="AR648" s="77"/>
      <c r="AS648" s="77"/>
      <c r="AT648" s="77"/>
      <c r="AU648" s="77"/>
      <c r="AV648" s="83" t="str">
        <f>HYPERLINK("https://pbs.twimg.com/profile_images/1277223966705192966/aIT6N-WJ_normal.jpg")</f>
        <v>https://pbs.twimg.com/profile_images/1277223966705192966/aIT6N-WJ_normal.jpg</v>
      </c>
      <c r="AW648" s="81" t="s">
        <v>1133</v>
      </c>
      <c r="AX648" s="81" t="s">
        <v>1133</v>
      </c>
      <c r="AY648" s="77"/>
      <c r="AZ648" s="81" t="s">
        <v>1190</v>
      </c>
      <c r="BA648" s="81" t="s">
        <v>1190</v>
      </c>
      <c r="BB648" s="81" t="s">
        <v>1190</v>
      </c>
      <c r="BC648" s="81" t="s">
        <v>1133</v>
      </c>
      <c r="BD648" s="81" t="s">
        <v>1213</v>
      </c>
      <c r="BE648" s="77"/>
      <c r="BF648" s="77"/>
      <c r="BG648" s="77"/>
      <c r="BH648" s="77"/>
      <c r="BI648" s="77"/>
      <c r="BJ648">
        <v>13</v>
      </c>
      <c r="BK648" s="76" t="str">
        <f>REPLACE(INDEX(GroupVertices[Group],MATCH(Edges[[#This Row],[Vertex 1]],GroupVertices[Vertex],0)),1,1,"")</f>
        <v>7</v>
      </c>
      <c r="BL648" s="76" t="str">
        <f>REPLACE(INDEX(GroupVertices[Group],MATCH(Edges[[#This Row],[Vertex 2]],GroupVertices[Vertex],0)),1,1,"")</f>
        <v>7</v>
      </c>
      <c r="BM648" s="45"/>
      <c r="BN648" s="46"/>
      <c r="BO648" s="45"/>
      <c r="BP648" s="46"/>
      <c r="BQ648" s="45"/>
      <c r="BR648" s="46"/>
      <c r="BS648" s="45"/>
      <c r="BT648" s="46"/>
      <c r="BU648" s="45"/>
    </row>
    <row r="649" spans="1:73" ht="15">
      <c r="A649" s="61" t="s">
        <v>257</v>
      </c>
      <c r="B649" s="61" t="s">
        <v>535</v>
      </c>
      <c r="C649" s="62" t="s">
        <v>11697</v>
      </c>
      <c r="D649" s="63">
        <v>10</v>
      </c>
      <c r="E649" s="64" t="s">
        <v>136</v>
      </c>
      <c r="F649" s="65">
        <v>10</v>
      </c>
      <c r="G649" s="62"/>
      <c r="H649" s="66"/>
      <c r="I649" s="67"/>
      <c r="J649" s="67"/>
      <c r="K649" s="31" t="s">
        <v>65</v>
      </c>
      <c r="L649" s="75">
        <v>649</v>
      </c>
      <c r="M649" s="75"/>
      <c r="N649" s="69"/>
      <c r="O649" s="77" t="s">
        <v>539</v>
      </c>
      <c r="P649" s="79">
        <v>45163.17259259259</v>
      </c>
      <c r="Q649" s="77" t="s">
        <v>650</v>
      </c>
      <c r="R649" s="77">
        <v>3</v>
      </c>
      <c r="S649" s="77">
        <v>3</v>
      </c>
      <c r="T649" s="77">
        <v>0</v>
      </c>
      <c r="U649" s="77">
        <v>0</v>
      </c>
      <c r="V649" s="77">
        <v>108</v>
      </c>
      <c r="W649" s="81" t="s">
        <v>717</v>
      </c>
      <c r="X649" s="83" t="str">
        <f>HYPERLINK("https://www.linkedin.com/posts/pinakilaskar_aicommandments-aiforbusiness-aicompanies-activity-7100686984049831936-9XVM")</f>
        <v>https://www.linkedin.com/posts/pinakilaskar_aicommandments-aiforbusiness-aicompanies-activity-7100686984049831936-9XVM</v>
      </c>
      <c r="Y649" s="77" t="s">
        <v>749</v>
      </c>
      <c r="Z649" s="77" t="s">
        <v>812</v>
      </c>
      <c r="AA649" s="77"/>
      <c r="AB649" s="77"/>
      <c r="AC649" s="81" t="s">
        <v>855</v>
      </c>
      <c r="AD649" s="77" t="s">
        <v>859</v>
      </c>
      <c r="AE649" s="83" t="str">
        <f>HYPERLINK("https://twitter.com/pinakilaskar/status/1694924697534885947")</f>
        <v>https://twitter.com/pinakilaskar/status/1694924697534885947</v>
      </c>
      <c r="AF649" s="79">
        <v>45163.17259259259</v>
      </c>
      <c r="AG649" s="85">
        <v>45163</v>
      </c>
      <c r="AH649" s="81" t="s">
        <v>978</v>
      </c>
      <c r="AI649" s="77" t="b">
        <v>0</v>
      </c>
      <c r="AJ649" s="77"/>
      <c r="AK649" s="77"/>
      <c r="AL649" s="77"/>
      <c r="AM649" s="77"/>
      <c r="AN649" s="77"/>
      <c r="AO649" s="77"/>
      <c r="AP649" s="77"/>
      <c r="AQ649" s="77"/>
      <c r="AR649" s="77"/>
      <c r="AS649" s="77"/>
      <c r="AT649" s="77"/>
      <c r="AU649" s="77"/>
      <c r="AV649" s="83" t="str">
        <f>HYPERLINK("https://pbs.twimg.com/profile_images/1277223966705192966/aIT6N-WJ_normal.jpg")</f>
        <v>https://pbs.twimg.com/profile_images/1277223966705192966/aIT6N-WJ_normal.jpg</v>
      </c>
      <c r="AW649" s="81" t="s">
        <v>1133</v>
      </c>
      <c r="AX649" s="81" t="s">
        <v>1133</v>
      </c>
      <c r="AY649" s="77"/>
      <c r="AZ649" s="81" t="s">
        <v>1190</v>
      </c>
      <c r="BA649" s="81" t="s">
        <v>1190</v>
      </c>
      <c r="BB649" s="81" t="s">
        <v>1190</v>
      </c>
      <c r="BC649" s="81" t="s">
        <v>1133</v>
      </c>
      <c r="BD649" s="81" t="s">
        <v>1213</v>
      </c>
      <c r="BE649" s="77"/>
      <c r="BF649" s="77"/>
      <c r="BG649" s="77"/>
      <c r="BH649" s="77"/>
      <c r="BI649" s="77"/>
      <c r="BJ649">
        <v>13</v>
      </c>
      <c r="BK649" s="76" t="str">
        <f>REPLACE(INDEX(GroupVertices[Group],MATCH(Edges[[#This Row],[Vertex 1]],GroupVertices[Vertex],0)),1,1,"")</f>
        <v>7</v>
      </c>
      <c r="BL649" s="76" t="str">
        <f>REPLACE(INDEX(GroupVertices[Group],MATCH(Edges[[#This Row],[Vertex 2]],GroupVertices[Vertex],0)),1,1,"")</f>
        <v>7</v>
      </c>
      <c r="BM649" s="45"/>
      <c r="BN649" s="46"/>
      <c r="BO649" s="45"/>
      <c r="BP649" s="46"/>
      <c r="BQ649" s="45"/>
      <c r="BR649" s="46"/>
      <c r="BS649" s="45"/>
      <c r="BT649" s="46"/>
      <c r="BU649" s="45"/>
    </row>
    <row r="650" spans="1:73" ht="15">
      <c r="A650" s="61" t="s">
        <v>257</v>
      </c>
      <c r="B650" s="61" t="s">
        <v>538</v>
      </c>
      <c r="C650" s="62" t="s">
        <v>11697</v>
      </c>
      <c r="D650" s="63">
        <v>10</v>
      </c>
      <c r="E650" s="64" t="s">
        <v>136</v>
      </c>
      <c r="F650" s="65">
        <v>10</v>
      </c>
      <c r="G650" s="62"/>
      <c r="H650" s="66"/>
      <c r="I650" s="67"/>
      <c r="J650" s="67"/>
      <c r="K650" s="31" t="s">
        <v>65</v>
      </c>
      <c r="L650" s="75">
        <v>650</v>
      </c>
      <c r="M650" s="75"/>
      <c r="N650" s="69"/>
      <c r="O650" s="77" t="s">
        <v>539</v>
      </c>
      <c r="P650" s="79">
        <v>45163.17259259259</v>
      </c>
      <c r="Q650" s="77" t="s">
        <v>650</v>
      </c>
      <c r="R650" s="77">
        <v>3</v>
      </c>
      <c r="S650" s="77">
        <v>3</v>
      </c>
      <c r="T650" s="77">
        <v>0</v>
      </c>
      <c r="U650" s="77">
        <v>0</v>
      </c>
      <c r="V650" s="77">
        <v>108</v>
      </c>
      <c r="W650" s="81" t="s">
        <v>717</v>
      </c>
      <c r="X650" s="83" t="str">
        <f>HYPERLINK("https://www.linkedin.com/posts/pinakilaskar_aicommandments-aiforbusiness-aicompanies-activity-7100686984049831936-9XVM")</f>
        <v>https://www.linkedin.com/posts/pinakilaskar_aicommandments-aiforbusiness-aicompanies-activity-7100686984049831936-9XVM</v>
      </c>
      <c r="Y650" s="77" t="s">
        <v>749</v>
      </c>
      <c r="Z650" s="77" t="s">
        <v>812</v>
      </c>
      <c r="AA650" s="77"/>
      <c r="AB650" s="77"/>
      <c r="AC650" s="81" t="s">
        <v>855</v>
      </c>
      <c r="AD650" s="77" t="s">
        <v>859</v>
      </c>
      <c r="AE650" s="83" t="str">
        <f>HYPERLINK("https://twitter.com/pinakilaskar/status/1694924697534885947")</f>
        <v>https://twitter.com/pinakilaskar/status/1694924697534885947</v>
      </c>
      <c r="AF650" s="79">
        <v>45163.17259259259</v>
      </c>
      <c r="AG650" s="85">
        <v>45163</v>
      </c>
      <c r="AH650" s="81" t="s">
        <v>978</v>
      </c>
      <c r="AI650" s="77" t="b">
        <v>0</v>
      </c>
      <c r="AJ650" s="77"/>
      <c r="AK650" s="77"/>
      <c r="AL650" s="77"/>
      <c r="AM650" s="77"/>
      <c r="AN650" s="77"/>
      <c r="AO650" s="77"/>
      <c r="AP650" s="77"/>
      <c r="AQ650" s="77"/>
      <c r="AR650" s="77"/>
      <c r="AS650" s="77"/>
      <c r="AT650" s="77"/>
      <c r="AU650" s="77"/>
      <c r="AV650" s="83" t="str">
        <f>HYPERLINK("https://pbs.twimg.com/profile_images/1277223966705192966/aIT6N-WJ_normal.jpg")</f>
        <v>https://pbs.twimg.com/profile_images/1277223966705192966/aIT6N-WJ_normal.jpg</v>
      </c>
      <c r="AW650" s="81" t="s">
        <v>1133</v>
      </c>
      <c r="AX650" s="81" t="s">
        <v>1133</v>
      </c>
      <c r="AY650" s="77"/>
      <c r="AZ650" s="81" t="s">
        <v>1190</v>
      </c>
      <c r="BA650" s="81" t="s">
        <v>1190</v>
      </c>
      <c r="BB650" s="81" t="s">
        <v>1190</v>
      </c>
      <c r="BC650" s="81" t="s">
        <v>1133</v>
      </c>
      <c r="BD650" s="81" t="s">
        <v>1213</v>
      </c>
      <c r="BE650" s="77"/>
      <c r="BF650" s="77"/>
      <c r="BG650" s="77"/>
      <c r="BH650" s="77"/>
      <c r="BI650" s="77"/>
      <c r="BJ650">
        <v>13</v>
      </c>
      <c r="BK650" s="76" t="str">
        <f>REPLACE(INDEX(GroupVertices[Group],MATCH(Edges[[#This Row],[Vertex 1]],GroupVertices[Vertex],0)),1,1,"")</f>
        <v>7</v>
      </c>
      <c r="BL650" s="76" t="str">
        <f>REPLACE(INDEX(GroupVertices[Group],MATCH(Edges[[#This Row],[Vertex 2]],GroupVertices[Vertex],0)),1,1,"")</f>
        <v>7</v>
      </c>
      <c r="BM650" s="45"/>
      <c r="BN650" s="46"/>
      <c r="BO650" s="45"/>
      <c r="BP650" s="46"/>
      <c r="BQ650" s="45"/>
      <c r="BR650" s="46"/>
      <c r="BS650" s="45"/>
      <c r="BT650" s="46"/>
      <c r="BU650" s="45"/>
    </row>
    <row r="651" spans="1:73" ht="15">
      <c r="A651" s="61" t="s">
        <v>257</v>
      </c>
      <c r="B651" s="61" t="s">
        <v>258</v>
      </c>
      <c r="C651" s="62" t="s">
        <v>11695</v>
      </c>
      <c r="D651" s="63">
        <v>7.2</v>
      </c>
      <c r="E651" s="64" t="s">
        <v>132</v>
      </c>
      <c r="F651" s="65">
        <v>18.8</v>
      </c>
      <c r="G651" s="62"/>
      <c r="H651" s="66"/>
      <c r="I651" s="67"/>
      <c r="J651" s="67"/>
      <c r="K651" s="31" t="s">
        <v>65</v>
      </c>
      <c r="L651" s="75">
        <v>651</v>
      </c>
      <c r="M651" s="75"/>
      <c r="N651" s="69"/>
      <c r="O651" s="77" t="s">
        <v>539</v>
      </c>
      <c r="P651" s="79">
        <v>45163.17259259259</v>
      </c>
      <c r="Q651" s="77" t="s">
        <v>650</v>
      </c>
      <c r="R651" s="77">
        <v>3</v>
      </c>
      <c r="S651" s="77">
        <v>3</v>
      </c>
      <c r="T651" s="77">
        <v>0</v>
      </c>
      <c r="U651" s="77">
        <v>0</v>
      </c>
      <c r="V651" s="77">
        <v>108</v>
      </c>
      <c r="W651" s="81" t="s">
        <v>717</v>
      </c>
      <c r="X651" s="83" t="str">
        <f>HYPERLINK("https://www.linkedin.com/posts/pinakilaskar_aicommandments-aiforbusiness-aicompanies-activity-7100686984049831936-9XVM")</f>
        <v>https://www.linkedin.com/posts/pinakilaskar_aicommandments-aiforbusiness-aicompanies-activity-7100686984049831936-9XVM</v>
      </c>
      <c r="Y651" s="77" t="s">
        <v>749</v>
      </c>
      <c r="Z651" s="77" t="s">
        <v>812</v>
      </c>
      <c r="AA651" s="77"/>
      <c r="AB651" s="77"/>
      <c r="AC651" s="81" t="s">
        <v>855</v>
      </c>
      <c r="AD651" s="77" t="s">
        <v>859</v>
      </c>
      <c r="AE651" s="83" t="str">
        <f>HYPERLINK("https://twitter.com/pinakilaskar/status/1694924697534885947")</f>
        <v>https://twitter.com/pinakilaskar/status/1694924697534885947</v>
      </c>
      <c r="AF651" s="79">
        <v>45163.17259259259</v>
      </c>
      <c r="AG651" s="85">
        <v>45163</v>
      </c>
      <c r="AH651" s="81" t="s">
        <v>978</v>
      </c>
      <c r="AI651" s="77" t="b">
        <v>0</v>
      </c>
      <c r="AJ651" s="77"/>
      <c r="AK651" s="77"/>
      <c r="AL651" s="77"/>
      <c r="AM651" s="77"/>
      <c r="AN651" s="77"/>
      <c r="AO651" s="77"/>
      <c r="AP651" s="77"/>
      <c r="AQ651" s="77"/>
      <c r="AR651" s="77"/>
      <c r="AS651" s="77"/>
      <c r="AT651" s="77"/>
      <c r="AU651" s="77"/>
      <c r="AV651" s="83" t="str">
        <f>HYPERLINK("https://pbs.twimg.com/profile_images/1277223966705192966/aIT6N-WJ_normal.jpg")</f>
        <v>https://pbs.twimg.com/profile_images/1277223966705192966/aIT6N-WJ_normal.jpg</v>
      </c>
      <c r="AW651" s="81" t="s">
        <v>1133</v>
      </c>
      <c r="AX651" s="81" t="s">
        <v>1133</v>
      </c>
      <c r="AY651" s="77"/>
      <c r="AZ651" s="81" t="s">
        <v>1190</v>
      </c>
      <c r="BA651" s="81" t="s">
        <v>1190</v>
      </c>
      <c r="BB651" s="81" t="s">
        <v>1190</v>
      </c>
      <c r="BC651" s="81" t="s">
        <v>1133</v>
      </c>
      <c r="BD651" s="81" t="s">
        <v>1213</v>
      </c>
      <c r="BE651" s="77"/>
      <c r="BF651" s="77"/>
      <c r="BG651" s="77"/>
      <c r="BH651" s="77"/>
      <c r="BI651" s="77"/>
      <c r="BJ651">
        <v>4</v>
      </c>
      <c r="BK651" s="76" t="str">
        <f>REPLACE(INDEX(GroupVertices[Group],MATCH(Edges[[#This Row],[Vertex 1]],GroupVertices[Vertex],0)),1,1,"")</f>
        <v>7</v>
      </c>
      <c r="BL651" s="76" t="str">
        <f>REPLACE(INDEX(GroupVertices[Group],MATCH(Edges[[#This Row],[Vertex 2]],GroupVertices[Vertex],0)),1,1,"")</f>
        <v>7</v>
      </c>
      <c r="BM651" s="45">
        <v>0</v>
      </c>
      <c r="BN651" s="46">
        <v>0</v>
      </c>
      <c r="BO651" s="45">
        <v>0</v>
      </c>
      <c r="BP651" s="46">
        <v>0</v>
      </c>
      <c r="BQ651" s="45">
        <v>0</v>
      </c>
      <c r="BR651" s="46">
        <v>0</v>
      </c>
      <c r="BS651" s="45">
        <v>19</v>
      </c>
      <c r="BT651" s="46">
        <v>82.6086956521739</v>
      </c>
      <c r="BU651" s="45">
        <v>23</v>
      </c>
    </row>
    <row r="652" spans="1:73" ht="15">
      <c r="A652" s="61" t="s">
        <v>257</v>
      </c>
      <c r="B652" s="61" t="s">
        <v>228</v>
      </c>
      <c r="C652" s="62" t="s">
        <v>11697</v>
      </c>
      <c r="D652" s="63">
        <v>10</v>
      </c>
      <c r="E652" s="64" t="s">
        <v>136</v>
      </c>
      <c r="F652" s="65">
        <v>10</v>
      </c>
      <c r="G652" s="62"/>
      <c r="H652" s="66"/>
      <c r="I652" s="67"/>
      <c r="J652" s="67"/>
      <c r="K652" s="31" t="s">
        <v>65</v>
      </c>
      <c r="L652" s="75">
        <v>652</v>
      </c>
      <c r="M652" s="75"/>
      <c r="N652" s="69"/>
      <c r="O652" s="77" t="s">
        <v>539</v>
      </c>
      <c r="P652" s="79">
        <v>45158.19798611111</v>
      </c>
      <c r="Q652" s="77" t="s">
        <v>651</v>
      </c>
      <c r="R652" s="77">
        <v>4</v>
      </c>
      <c r="S652" s="77">
        <v>6</v>
      </c>
      <c r="T652" s="77">
        <v>0</v>
      </c>
      <c r="U652" s="77">
        <v>0</v>
      </c>
      <c r="V652" s="77">
        <v>193</v>
      </c>
      <c r="W652" s="81" t="s">
        <v>718</v>
      </c>
      <c r="X652" s="83" t="str">
        <f>HYPERLINK("https://www.linkedin.com/posts/pinakilaskar_ai-ailiteracy-languageprocessing-activity-7098883303188918272-v6fM")</f>
        <v>https://www.linkedin.com/posts/pinakilaskar_ai-ailiteracy-languageprocessing-activity-7098883303188918272-v6fM</v>
      </c>
      <c r="Y652" s="77" t="s">
        <v>749</v>
      </c>
      <c r="Z652" s="77" t="s">
        <v>813</v>
      </c>
      <c r="AA652" s="77"/>
      <c r="AB652" s="77"/>
      <c r="AC652" s="81" t="s">
        <v>855</v>
      </c>
      <c r="AD652" s="77" t="s">
        <v>859</v>
      </c>
      <c r="AE652" s="83" t="str">
        <f>HYPERLINK("https://twitter.com/pinakilaskar/status/1693121960530841624")</f>
        <v>https://twitter.com/pinakilaskar/status/1693121960530841624</v>
      </c>
      <c r="AF652" s="79">
        <v>45158.19798611111</v>
      </c>
      <c r="AG652" s="85">
        <v>45158</v>
      </c>
      <c r="AH652" s="81" t="s">
        <v>979</v>
      </c>
      <c r="AI652" s="77" t="b">
        <v>0</v>
      </c>
      <c r="AJ652" s="77"/>
      <c r="AK652" s="77"/>
      <c r="AL652" s="77"/>
      <c r="AM652" s="77"/>
      <c r="AN652" s="77"/>
      <c r="AO652" s="77"/>
      <c r="AP652" s="77"/>
      <c r="AQ652" s="77"/>
      <c r="AR652" s="77"/>
      <c r="AS652" s="77"/>
      <c r="AT652" s="77"/>
      <c r="AU652" s="77"/>
      <c r="AV652" s="83" t="str">
        <f>HYPERLINK("https://pbs.twimg.com/profile_images/1277223966705192966/aIT6N-WJ_normal.jpg")</f>
        <v>https://pbs.twimg.com/profile_images/1277223966705192966/aIT6N-WJ_normal.jpg</v>
      </c>
      <c r="AW652" s="81" t="s">
        <v>1134</v>
      </c>
      <c r="AX652" s="81" t="s">
        <v>1134</v>
      </c>
      <c r="AY652" s="77"/>
      <c r="AZ652" s="81" t="s">
        <v>1190</v>
      </c>
      <c r="BA652" s="81" t="s">
        <v>1190</v>
      </c>
      <c r="BB652" s="81" t="s">
        <v>1190</v>
      </c>
      <c r="BC652" s="81" t="s">
        <v>1134</v>
      </c>
      <c r="BD652" s="81" t="s">
        <v>1213</v>
      </c>
      <c r="BE652" s="77"/>
      <c r="BF652" s="77"/>
      <c r="BG652" s="77"/>
      <c r="BH652" s="77"/>
      <c r="BI652" s="77"/>
      <c r="BJ652">
        <v>13</v>
      </c>
      <c r="BK652" s="76" t="str">
        <f>REPLACE(INDEX(GroupVertices[Group],MATCH(Edges[[#This Row],[Vertex 1]],GroupVertices[Vertex],0)),1,1,"")</f>
        <v>7</v>
      </c>
      <c r="BL652" s="76" t="str">
        <f>REPLACE(INDEX(GroupVertices[Group],MATCH(Edges[[#This Row],[Vertex 2]],GroupVertices[Vertex],0)),1,1,"")</f>
        <v>2</v>
      </c>
      <c r="BM652" s="45"/>
      <c r="BN652" s="46"/>
      <c r="BO652" s="45"/>
      <c r="BP652" s="46"/>
      <c r="BQ652" s="45"/>
      <c r="BR652" s="46"/>
      <c r="BS652" s="45"/>
      <c r="BT652" s="46"/>
      <c r="BU652" s="45"/>
    </row>
    <row r="653" spans="1:73" ht="15">
      <c r="A653" s="61" t="s">
        <v>257</v>
      </c>
      <c r="B653" s="61" t="s">
        <v>529</v>
      </c>
      <c r="C653" s="62" t="s">
        <v>11697</v>
      </c>
      <c r="D653" s="63">
        <v>10</v>
      </c>
      <c r="E653" s="64" t="s">
        <v>136</v>
      </c>
      <c r="F653" s="65">
        <v>10</v>
      </c>
      <c r="G653" s="62"/>
      <c r="H653" s="66"/>
      <c r="I653" s="67"/>
      <c r="J653" s="67"/>
      <c r="K653" s="31" t="s">
        <v>65</v>
      </c>
      <c r="L653" s="75">
        <v>653</v>
      </c>
      <c r="M653" s="75"/>
      <c r="N653" s="69"/>
      <c r="O653" s="77" t="s">
        <v>539</v>
      </c>
      <c r="P653" s="79">
        <v>45158.19798611111</v>
      </c>
      <c r="Q653" s="77" t="s">
        <v>651</v>
      </c>
      <c r="R653" s="77">
        <v>4</v>
      </c>
      <c r="S653" s="77">
        <v>6</v>
      </c>
      <c r="T653" s="77">
        <v>0</v>
      </c>
      <c r="U653" s="77">
        <v>0</v>
      </c>
      <c r="V653" s="77">
        <v>193</v>
      </c>
      <c r="W653" s="81" t="s">
        <v>718</v>
      </c>
      <c r="X653" s="83" t="str">
        <f>HYPERLINK("https://www.linkedin.com/posts/pinakilaskar_ai-ailiteracy-languageprocessing-activity-7098883303188918272-v6fM")</f>
        <v>https://www.linkedin.com/posts/pinakilaskar_ai-ailiteracy-languageprocessing-activity-7098883303188918272-v6fM</v>
      </c>
      <c r="Y653" s="77" t="s">
        <v>749</v>
      </c>
      <c r="Z653" s="77" t="s">
        <v>813</v>
      </c>
      <c r="AA653" s="77"/>
      <c r="AB653" s="77"/>
      <c r="AC653" s="81" t="s">
        <v>855</v>
      </c>
      <c r="AD653" s="77" t="s">
        <v>859</v>
      </c>
      <c r="AE653" s="83" t="str">
        <f>HYPERLINK("https://twitter.com/pinakilaskar/status/1693121960530841624")</f>
        <v>https://twitter.com/pinakilaskar/status/1693121960530841624</v>
      </c>
      <c r="AF653" s="79">
        <v>45158.19798611111</v>
      </c>
      <c r="AG653" s="85">
        <v>45158</v>
      </c>
      <c r="AH653" s="81" t="s">
        <v>979</v>
      </c>
      <c r="AI653" s="77" t="b">
        <v>0</v>
      </c>
      <c r="AJ653" s="77"/>
      <c r="AK653" s="77"/>
      <c r="AL653" s="77"/>
      <c r="AM653" s="77"/>
      <c r="AN653" s="77"/>
      <c r="AO653" s="77"/>
      <c r="AP653" s="77"/>
      <c r="AQ653" s="77"/>
      <c r="AR653" s="77"/>
      <c r="AS653" s="77"/>
      <c r="AT653" s="77"/>
      <c r="AU653" s="77"/>
      <c r="AV653" s="83" t="str">
        <f>HYPERLINK("https://pbs.twimg.com/profile_images/1277223966705192966/aIT6N-WJ_normal.jpg")</f>
        <v>https://pbs.twimg.com/profile_images/1277223966705192966/aIT6N-WJ_normal.jpg</v>
      </c>
      <c r="AW653" s="81" t="s">
        <v>1134</v>
      </c>
      <c r="AX653" s="81" t="s">
        <v>1134</v>
      </c>
      <c r="AY653" s="77"/>
      <c r="AZ653" s="81" t="s">
        <v>1190</v>
      </c>
      <c r="BA653" s="81" t="s">
        <v>1190</v>
      </c>
      <c r="BB653" s="81" t="s">
        <v>1190</v>
      </c>
      <c r="BC653" s="81" t="s">
        <v>1134</v>
      </c>
      <c r="BD653" s="81" t="s">
        <v>1213</v>
      </c>
      <c r="BE653" s="77"/>
      <c r="BF653" s="77"/>
      <c r="BG653" s="77"/>
      <c r="BH653" s="77"/>
      <c r="BI653" s="77"/>
      <c r="BJ653">
        <v>13</v>
      </c>
      <c r="BK653" s="76" t="str">
        <f>REPLACE(INDEX(GroupVertices[Group],MATCH(Edges[[#This Row],[Vertex 1]],GroupVertices[Vertex],0)),1,1,"")</f>
        <v>7</v>
      </c>
      <c r="BL653" s="76" t="str">
        <f>REPLACE(INDEX(GroupVertices[Group],MATCH(Edges[[#This Row],[Vertex 2]],GroupVertices[Vertex],0)),1,1,"")</f>
        <v>7</v>
      </c>
      <c r="BM653" s="45"/>
      <c r="BN653" s="46"/>
      <c r="BO653" s="45"/>
      <c r="BP653" s="46"/>
      <c r="BQ653" s="45"/>
      <c r="BR653" s="46"/>
      <c r="BS653" s="45"/>
      <c r="BT653" s="46"/>
      <c r="BU653" s="45"/>
    </row>
    <row r="654" spans="1:73" ht="15">
      <c r="A654" s="61" t="s">
        <v>257</v>
      </c>
      <c r="B654" s="61" t="s">
        <v>532</v>
      </c>
      <c r="C654" s="62" t="s">
        <v>11697</v>
      </c>
      <c r="D654" s="63">
        <v>10</v>
      </c>
      <c r="E654" s="64" t="s">
        <v>136</v>
      </c>
      <c r="F654" s="65">
        <v>10</v>
      </c>
      <c r="G654" s="62"/>
      <c r="H654" s="66"/>
      <c r="I654" s="67"/>
      <c r="J654" s="67"/>
      <c r="K654" s="31" t="s">
        <v>65</v>
      </c>
      <c r="L654" s="75">
        <v>654</v>
      </c>
      <c r="M654" s="75"/>
      <c r="N654" s="69"/>
      <c r="O654" s="77" t="s">
        <v>539</v>
      </c>
      <c r="P654" s="79">
        <v>45158.19798611111</v>
      </c>
      <c r="Q654" s="77" t="s">
        <v>651</v>
      </c>
      <c r="R654" s="77">
        <v>4</v>
      </c>
      <c r="S654" s="77">
        <v>6</v>
      </c>
      <c r="T654" s="77">
        <v>0</v>
      </c>
      <c r="U654" s="77">
        <v>0</v>
      </c>
      <c r="V654" s="77">
        <v>193</v>
      </c>
      <c r="W654" s="81" t="s">
        <v>718</v>
      </c>
      <c r="X654" s="83" t="str">
        <f>HYPERLINK("https://www.linkedin.com/posts/pinakilaskar_ai-ailiteracy-languageprocessing-activity-7098883303188918272-v6fM")</f>
        <v>https://www.linkedin.com/posts/pinakilaskar_ai-ailiteracy-languageprocessing-activity-7098883303188918272-v6fM</v>
      </c>
      <c r="Y654" s="77" t="s">
        <v>749</v>
      </c>
      <c r="Z654" s="77" t="s">
        <v>813</v>
      </c>
      <c r="AA654" s="77"/>
      <c r="AB654" s="77"/>
      <c r="AC654" s="81" t="s">
        <v>855</v>
      </c>
      <c r="AD654" s="77" t="s">
        <v>859</v>
      </c>
      <c r="AE654" s="83" t="str">
        <f>HYPERLINK("https://twitter.com/pinakilaskar/status/1693121960530841624")</f>
        <v>https://twitter.com/pinakilaskar/status/1693121960530841624</v>
      </c>
      <c r="AF654" s="79">
        <v>45158.19798611111</v>
      </c>
      <c r="AG654" s="85">
        <v>45158</v>
      </c>
      <c r="AH654" s="81" t="s">
        <v>979</v>
      </c>
      <c r="AI654" s="77" t="b">
        <v>0</v>
      </c>
      <c r="AJ654" s="77"/>
      <c r="AK654" s="77"/>
      <c r="AL654" s="77"/>
      <c r="AM654" s="77"/>
      <c r="AN654" s="77"/>
      <c r="AO654" s="77"/>
      <c r="AP654" s="77"/>
      <c r="AQ654" s="77"/>
      <c r="AR654" s="77"/>
      <c r="AS654" s="77"/>
      <c r="AT654" s="77"/>
      <c r="AU654" s="77"/>
      <c r="AV654" s="83" t="str">
        <f>HYPERLINK("https://pbs.twimg.com/profile_images/1277223966705192966/aIT6N-WJ_normal.jpg")</f>
        <v>https://pbs.twimg.com/profile_images/1277223966705192966/aIT6N-WJ_normal.jpg</v>
      </c>
      <c r="AW654" s="81" t="s">
        <v>1134</v>
      </c>
      <c r="AX654" s="81" t="s">
        <v>1134</v>
      </c>
      <c r="AY654" s="77"/>
      <c r="AZ654" s="81" t="s">
        <v>1190</v>
      </c>
      <c r="BA654" s="81" t="s">
        <v>1190</v>
      </c>
      <c r="BB654" s="81" t="s">
        <v>1190</v>
      </c>
      <c r="BC654" s="81" t="s">
        <v>1134</v>
      </c>
      <c r="BD654" s="81" t="s">
        <v>1213</v>
      </c>
      <c r="BE654" s="77"/>
      <c r="BF654" s="77"/>
      <c r="BG654" s="77"/>
      <c r="BH654" s="77"/>
      <c r="BI654" s="77"/>
      <c r="BJ654">
        <v>13</v>
      </c>
      <c r="BK654" s="76" t="str">
        <f>REPLACE(INDEX(GroupVertices[Group],MATCH(Edges[[#This Row],[Vertex 1]],GroupVertices[Vertex],0)),1,1,"")</f>
        <v>7</v>
      </c>
      <c r="BL654" s="76" t="str">
        <f>REPLACE(INDEX(GroupVertices[Group],MATCH(Edges[[#This Row],[Vertex 2]],GroupVertices[Vertex],0)),1,1,"")</f>
        <v>7</v>
      </c>
      <c r="BM654" s="45"/>
      <c r="BN654" s="46"/>
      <c r="BO654" s="45"/>
      <c r="BP654" s="46"/>
      <c r="BQ654" s="45"/>
      <c r="BR654" s="46"/>
      <c r="BS654" s="45"/>
      <c r="BT654" s="46"/>
      <c r="BU654" s="45"/>
    </row>
    <row r="655" spans="1:73" ht="15">
      <c r="A655" s="61" t="s">
        <v>257</v>
      </c>
      <c r="B655" s="61" t="s">
        <v>533</v>
      </c>
      <c r="C655" s="62" t="s">
        <v>11697</v>
      </c>
      <c r="D655" s="63">
        <v>10</v>
      </c>
      <c r="E655" s="64" t="s">
        <v>136</v>
      </c>
      <c r="F655" s="65">
        <v>10</v>
      </c>
      <c r="G655" s="62"/>
      <c r="H655" s="66"/>
      <c r="I655" s="67"/>
      <c r="J655" s="67"/>
      <c r="K655" s="31" t="s">
        <v>65</v>
      </c>
      <c r="L655" s="75">
        <v>655</v>
      </c>
      <c r="M655" s="75"/>
      <c r="N655" s="69"/>
      <c r="O655" s="77" t="s">
        <v>539</v>
      </c>
      <c r="P655" s="79">
        <v>45158.19798611111</v>
      </c>
      <c r="Q655" s="77" t="s">
        <v>651</v>
      </c>
      <c r="R655" s="77">
        <v>4</v>
      </c>
      <c r="S655" s="77">
        <v>6</v>
      </c>
      <c r="T655" s="77">
        <v>0</v>
      </c>
      <c r="U655" s="77">
        <v>0</v>
      </c>
      <c r="V655" s="77">
        <v>193</v>
      </c>
      <c r="W655" s="81" t="s">
        <v>718</v>
      </c>
      <c r="X655" s="83" t="str">
        <f>HYPERLINK("https://www.linkedin.com/posts/pinakilaskar_ai-ailiteracy-languageprocessing-activity-7098883303188918272-v6fM")</f>
        <v>https://www.linkedin.com/posts/pinakilaskar_ai-ailiteracy-languageprocessing-activity-7098883303188918272-v6fM</v>
      </c>
      <c r="Y655" s="77" t="s">
        <v>749</v>
      </c>
      <c r="Z655" s="77" t="s">
        <v>813</v>
      </c>
      <c r="AA655" s="77"/>
      <c r="AB655" s="77"/>
      <c r="AC655" s="81" t="s">
        <v>855</v>
      </c>
      <c r="AD655" s="77" t="s">
        <v>859</v>
      </c>
      <c r="AE655" s="83" t="str">
        <f>HYPERLINK("https://twitter.com/pinakilaskar/status/1693121960530841624")</f>
        <v>https://twitter.com/pinakilaskar/status/1693121960530841624</v>
      </c>
      <c r="AF655" s="79">
        <v>45158.19798611111</v>
      </c>
      <c r="AG655" s="85">
        <v>45158</v>
      </c>
      <c r="AH655" s="81" t="s">
        <v>979</v>
      </c>
      <c r="AI655" s="77" t="b">
        <v>0</v>
      </c>
      <c r="AJ655" s="77"/>
      <c r="AK655" s="77"/>
      <c r="AL655" s="77"/>
      <c r="AM655" s="77"/>
      <c r="AN655" s="77"/>
      <c r="AO655" s="77"/>
      <c r="AP655" s="77"/>
      <c r="AQ655" s="77"/>
      <c r="AR655" s="77"/>
      <c r="AS655" s="77"/>
      <c r="AT655" s="77"/>
      <c r="AU655" s="77"/>
      <c r="AV655" s="83" t="str">
        <f>HYPERLINK("https://pbs.twimg.com/profile_images/1277223966705192966/aIT6N-WJ_normal.jpg")</f>
        <v>https://pbs.twimg.com/profile_images/1277223966705192966/aIT6N-WJ_normal.jpg</v>
      </c>
      <c r="AW655" s="81" t="s">
        <v>1134</v>
      </c>
      <c r="AX655" s="81" t="s">
        <v>1134</v>
      </c>
      <c r="AY655" s="77"/>
      <c r="AZ655" s="81" t="s">
        <v>1190</v>
      </c>
      <c r="BA655" s="81" t="s">
        <v>1190</v>
      </c>
      <c r="BB655" s="81" t="s">
        <v>1190</v>
      </c>
      <c r="BC655" s="81" t="s">
        <v>1134</v>
      </c>
      <c r="BD655" s="81" t="s">
        <v>1213</v>
      </c>
      <c r="BE655" s="77"/>
      <c r="BF655" s="77"/>
      <c r="BG655" s="77"/>
      <c r="BH655" s="77"/>
      <c r="BI655" s="77"/>
      <c r="BJ655">
        <v>13</v>
      </c>
      <c r="BK655" s="76" t="str">
        <f>REPLACE(INDEX(GroupVertices[Group],MATCH(Edges[[#This Row],[Vertex 1]],GroupVertices[Vertex],0)),1,1,"")</f>
        <v>7</v>
      </c>
      <c r="BL655" s="76" t="str">
        <f>REPLACE(INDEX(GroupVertices[Group],MATCH(Edges[[#This Row],[Vertex 2]],GroupVertices[Vertex],0)),1,1,"")</f>
        <v>7</v>
      </c>
      <c r="BM655" s="45"/>
      <c r="BN655" s="46"/>
      <c r="BO655" s="45"/>
      <c r="BP655" s="46"/>
      <c r="BQ655" s="45"/>
      <c r="BR655" s="46"/>
      <c r="BS655" s="45"/>
      <c r="BT655" s="46"/>
      <c r="BU655" s="45"/>
    </row>
    <row r="656" spans="1:73" ht="15">
      <c r="A656" s="61" t="s">
        <v>257</v>
      </c>
      <c r="B656" s="61" t="s">
        <v>535</v>
      </c>
      <c r="C656" s="62" t="s">
        <v>11697</v>
      </c>
      <c r="D656" s="63">
        <v>10</v>
      </c>
      <c r="E656" s="64" t="s">
        <v>136</v>
      </c>
      <c r="F656" s="65">
        <v>10</v>
      </c>
      <c r="G656" s="62"/>
      <c r="H656" s="66"/>
      <c r="I656" s="67"/>
      <c r="J656" s="67"/>
      <c r="K656" s="31" t="s">
        <v>65</v>
      </c>
      <c r="L656" s="75">
        <v>656</v>
      </c>
      <c r="M656" s="75"/>
      <c r="N656" s="69"/>
      <c r="O656" s="77" t="s">
        <v>539</v>
      </c>
      <c r="P656" s="79">
        <v>45158.19798611111</v>
      </c>
      <c r="Q656" s="77" t="s">
        <v>651</v>
      </c>
      <c r="R656" s="77">
        <v>4</v>
      </c>
      <c r="S656" s="77">
        <v>6</v>
      </c>
      <c r="T656" s="77">
        <v>0</v>
      </c>
      <c r="U656" s="77">
        <v>0</v>
      </c>
      <c r="V656" s="77">
        <v>193</v>
      </c>
      <c r="W656" s="81" t="s">
        <v>718</v>
      </c>
      <c r="X656" s="83" t="str">
        <f>HYPERLINK("https://www.linkedin.com/posts/pinakilaskar_ai-ailiteracy-languageprocessing-activity-7098883303188918272-v6fM")</f>
        <v>https://www.linkedin.com/posts/pinakilaskar_ai-ailiteracy-languageprocessing-activity-7098883303188918272-v6fM</v>
      </c>
      <c r="Y656" s="77" t="s">
        <v>749</v>
      </c>
      <c r="Z656" s="77" t="s">
        <v>813</v>
      </c>
      <c r="AA656" s="77"/>
      <c r="AB656" s="77"/>
      <c r="AC656" s="81" t="s">
        <v>855</v>
      </c>
      <c r="AD656" s="77" t="s">
        <v>859</v>
      </c>
      <c r="AE656" s="83" t="str">
        <f>HYPERLINK("https://twitter.com/pinakilaskar/status/1693121960530841624")</f>
        <v>https://twitter.com/pinakilaskar/status/1693121960530841624</v>
      </c>
      <c r="AF656" s="79">
        <v>45158.19798611111</v>
      </c>
      <c r="AG656" s="85">
        <v>45158</v>
      </c>
      <c r="AH656" s="81" t="s">
        <v>979</v>
      </c>
      <c r="AI656" s="77" t="b">
        <v>0</v>
      </c>
      <c r="AJ656" s="77"/>
      <c r="AK656" s="77"/>
      <c r="AL656" s="77"/>
      <c r="AM656" s="77"/>
      <c r="AN656" s="77"/>
      <c r="AO656" s="77"/>
      <c r="AP656" s="77"/>
      <c r="AQ656" s="77"/>
      <c r="AR656" s="77"/>
      <c r="AS656" s="77"/>
      <c r="AT656" s="77"/>
      <c r="AU656" s="77"/>
      <c r="AV656" s="83" t="str">
        <f>HYPERLINK("https://pbs.twimg.com/profile_images/1277223966705192966/aIT6N-WJ_normal.jpg")</f>
        <v>https://pbs.twimg.com/profile_images/1277223966705192966/aIT6N-WJ_normal.jpg</v>
      </c>
      <c r="AW656" s="81" t="s">
        <v>1134</v>
      </c>
      <c r="AX656" s="81" t="s">
        <v>1134</v>
      </c>
      <c r="AY656" s="77"/>
      <c r="AZ656" s="81" t="s">
        <v>1190</v>
      </c>
      <c r="BA656" s="81" t="s">
        <v>1190</v>
      </c>
      <c r="BB656" s="81" t="s">
        <v>1190</v>
      </c>
      <c r="BC656" s="81" t="s">
        <v>1134</v>
      </c>
      <c r="BD656" s="81" t="s">
        <v>1213</v>
      </c>
      <c r="BE656" s="77"/>
      <c r="BF656" s="77"/>
      <c r="BG656" s="77"/>
      <c r="BH656" s="77"/>
      <c r="BI656" s="77"/>
      <c r="BJ656">
        <v>13</v>
      </c>
      <c r="BK656" s="76" t="str">
        <f>REPLACE(INDEX(GroupVertices[Group],MATCH(Edges[[#This Row],[Vertex 1]],GroupVertices[Vertex],0)),1,1,"")</f>
        <v>7</v>
      </c>
      <c r="BL656" s="76" t="str">
        <f>REPLACE(INDEX(GroupVertices[Group],MATCH(Edges[[#This Row],[Vertex 2]],GroupVertices[Vertex],0)),1,1,"")</f>
        <v>7</v>
      </c>
      <c r="BM656" s="45"/>
      <c r="BN656" s="46"/>
      <c r="BO656" s="45"/>
      <c r="BP656" s="46"/>
      <c r="BQ656" s="45"/>
      <c r="BR656" s="46"/>
      <c r="BS656" s="45"/>
      <c r="BT656" s="46"/>
      <c r="BU656" s="45"/>
    </row>
    <row r="657" spans="1:73" ht="15">
      <c r="A657" s="61" t="s">
        <v>257</v>
      </c>
      <c r="B657" s="61" t="s">
        <v>538</v>
      </c>
      <c r="C657" s="62" t="s">
        <v>11697</v>
      </c>
      <c r="D657" s="63">
        <v>10</v>
      </c>
      <c r="E657" s="64" t="s">
        <v>136</v>
      </c>
      <c r="F657" s="65">
        <v>10</v>
      </c>
      <c r="G657" s="62"/>
      <c r="H657" s="66"/>
      <c r="I657" s="67"/>
      <c r="J657" s="67"/>
      <c r="K657" s="31" t="s">
        <v>65</v>
      </c>
      <c r="L657" s="75">
        <v>657</v>
      </c>
      <c r="M657" s="75"/>
      <c r="N657" s="69"/>
      <c r="O657" s="77" t="s">
        <v>539</v>
      </c>
      <c r="P657" s="79">
        <v>45158.19798611111</v>
      </c>
      <c r="Q657" s="77" t="s">
        <v>651</v>
      </c>
      <c r="R657" s="77">
        <v>4</v>
      </c>
      <c r="S657" s="77">
        <v>6</v>
      </c>
      <c r="T657" s="77">
        <v>0</v>
      </c>
      <c r="U657" s="77">
        <v>0</v>
      </c>
      <c r="V657" s="77">
        <v>193</v>
      </c>
      <c r="W657" s="81" t="s">
        <v>718</v>
      </c>
      <c r="X657" s="83" t="str">
        <f>HYPERLINK("https://www.linkedin.com/posts/pinakilaskar_ai-ailiteracy-languageprocessing-activity-7098883303188918272-v6fM")</f>
        <v>https://www.linkedin.com/posts/pinakilaskar_ai-ailiteracy-languageprocessing-activity-7098883303188918272-v6fM</v>
      </c>
      <c r="Y657" s="77" t="s">
        <v>749</v>
      </c>
      <c r="Z657" s="77" t="s">
        <v>813</v>
      </c>
      <c r="AA657" s="77"/>
      <c r="AB657" s="77"/>
      <c r="AC657" s="81" t="s">
        <v>855</v>
      </c>
      <c r="AD657" s="77" t="s">
        <v>859</v>
      </c>
      <c r="AE657" s="83" t="str">
        <f>HYPERLINK("https://twitter.com/pinakilaskar/status/1693121960530841624")</f>
        <v>https://twitter.com/pinakilaskar/status/1693121960530841624</v>
      </c>
      <c r="AF657" s="79">
        <v>45158.19798611111</v>
      </c>
      <c r="AG657" s="85">
        <v>45158</v>
      </c>
      <c r="AH657" s="81" t="s">
        <v>979</v>
      </c>
      <c r="AI657" s="77" t="b">
        <v>0</v>
      </c>
      <c r="AJ657" s="77"/>
      <c r="AK657" s="77"/>
      <c r="AL657" s="77"/>
      <c r="AM657" s="77"/>
      <c r="AN657" s="77"/>
      <c r="AO657" s="77"/>
      <c r="AP657" s="77"/>
      <c r="AQ657" s="77"/>
      <c r="AR657" s="77"/>
      <c r="AS657" s="77"/>
      <c r="AT657" s="77"/>
      <c r="AU657" s="77"/>
      <c r="AV657" s="83" t="str">
        <f>HYPERLINK("https://pbs.twimg.com/profile_images/1277223966705192966/aIT6N-WJ_normal.jpg")</f>
        <v>https://pbs.twimg.com/profile_images/1277223966705192966/aIT6N-WJ_normal.jpg</v>
      </c>
      <c r="AW657" s="81" t="s">
        <v>1134</v>
      </c>
      <c r="AX657" s="81" t="s">
        <v>1134</v>
      </c>
      <c r="AY657" s="77"/>
      <c r="AZ657" s="81" t="s">
        <v>1190</v>
      </c>
      <c r="BA657" s="81" t="s">
        <v>1190</v>
      </c>
      <c r="BB657" s="81" t="s">
        <v>1190</v>
      </c>
      <c r="BC657" s="81" t="s">
        <v>1134</v>
      </c>
      <c r="BD657" s="81" t="s">
        <v>1213</v>
      </c>
      <c r="BE657" s="77"/>
      <c r="BF657" s="77"/>
      <c r="BG657" s="77"/>
      <c r="BH657" s="77"/>
      <c r="BI657" s="77"/>
      <c r="BJ657">
        <v>13</v>
      </c>
      <c r="BK657" s="76" t="str">
        <f>REPLACE(INDEX(GroupVertices[Group],MATCH(Edges[[#This Row],[Vertex 1]],GroupVertices[Vertex],0)),1,1,"")</f>
        <v>7</v>
      </c>
      <c r="BL657" s="76" t="str">
        <f>REPLACE(INDEX(GroupVertices[Group],MATCH(Edges[[#This Row],[Vertex 2]],GroupVertices[Vertex],0)),1,1,"")</f>
        <v>7</v>
      </c>
      <c r="BM657" s="45">
        <v>0</v>
      </c>
      <c r="BN657" s="46">
        <v>0</v>
      </c>
      <c r="BO657" s="45">
        <v>1</v>
      </c>
      <c r="BP657" s="46">
        <v>3.7037037037037037</v>
      </c>
      <c r="BQ657" s="45">
        <v>0</v>
      </c>
      <c r="BR657" s="46">
        <v>0</v>
      </c>
      <c r="BS657" s="45">
        <v>20</v>
      </c>
      <c r="BT657" s="46">
        <v>74.07407407407408</v>
      </c>
      <c r="BU657" s="45">
        <v>27</v>
      </c>
    </row>
    <row r="658" spans="1:73" ht="15">
      <c r="A658" s="61" t="s">
        <v>257</v>
      </c>
      <c r="B658" s="61" t="s">
        <v>228</v>
      </c>
      <c r="C658" s="62" t="s">
        <v>11697</v>
      </c>
      <c r="D658" s="63">
        <v>10</v>
      </c>
      <c r="E658" s="64" t="s">
        <v>136</v>
      </c>
      <c r="F658" s="65">
        <v>10</v>
      </c>
      <c r="G658" s="62"/>
      <c r="H658" s="66"/>
      <c r="I658" s="67"/>
      <c r="J658" s="67"/>
      <c r="K658" s="31" t="s">
        <v>65</v>
      </c>
      <c r="L658" s="75">
        <v>658</v>
      </c>
      <c r="M658" s="75"/>
      <c r="N658" s="69"/>
      <c r="O658" s="77" t="s">
        <v>539</v>
      </c>
      <c r="P658" s="79">
        <v>45167.20427083333</v>
      </c>
      <c r="Q658" s="77" t="s">
        <v>652</v>
      </c>
      <c r="R658" s="77">
        <v>4</v>
      </c>
      <c r="S658" s="77">
        <v>5</v>
      </c>
      <c r="T658" s="77">
        <v>0</v>
      </c>
      <c r="U658" s="77">
        <v>0</v>
      </c>
      <c r="V658" s="77">
        <v>185</v>
      </c>
      <c r="W658" s="81" t="s">
        <v>719</v>
      </c>
      <c r="X658" s="83" t="str">
        <f>HYPERLINK("https://www.linkedin.com/posts/pinakilaskar_aisingularity-machineconsciousness-generalai-activity-7102149386310160384-Rm41")</f>
        <v>https://www.linkedin.com/posts/pinakilaskar_aisingularity-machineconsciousness-generalai-activity-7102149386310160384-Rm41</v>
      </c>
      <c r="Y658" s="77" t="s">
        <v>749</v>
      </c>
      <c r="Z658" s="77" t="s">
        <v>814</v>
      </c>
      <c r="AA658" s="77"/>
      <c r="AB658" s="77"/>
      <c r="AC658" s="81" t="s">
        <v>855</v>
      </c>
      <c r="AD658" s="77" t="s">
        <v>859</v>
      </c>
      <c r="AE658" s="83" t="str">
        <f>HYPERLINK("https://twitter.com/pinakilaskar/status/1696385729704923437")</f>
        <v>https://twitter.com/pinakilaskar/status/1696385729704923437</v>
      </c>
      <c r="AF658" s="79">
        <v>45167.20427083333</v>
      </c>
      <c r="AG658" s="85">
        <v>45167</v>
      </c>
      <c r="AH658" s="81" t="s">
        <v>980</v>
      </c>
      <c r="AI658" s="77" t="b">
        <v>0</v>
      </c>
      <c r="AJ658" s="77"/>
      <c r="AK658" s="77"/>
      <c r="AL658" s="77"/>
      <c r="AM658" s="77"/>
      <c r="AN658" s="77"/>
      <c r="AO658" s="77"/>
      <c r="AP658" s="77"/>
      <c r="AQ658" s="77"/>
      <c r="AR658" s="77"/>
      <c r="AS658" s="77"/>
      <c r="AT658" s="77"/>
      <c r="AU658" s="77"/>
      <c r="AV658" s="83" t="str">
        <f>HYPERLINK("https://pbs.twimg.com/profile_images/1277223966705192966/aIT6N-WJ_normal.jpg")</f>
        <v>https://pbs.twimg.com/profile_images/1277223966705192966/aIT6N-WJ_normal.jpg</v>
      </c>
      <c r="AW658" s="81" t="s">
        <v>1135</v>
      </c>
      <c r="AX658" s="81" t="s">
        <v>1135</v>
      </c>
      <c r="AY658" s="77"/>
      <c r="AZ658" s="81" t="s">
        <v>1190</v>
      </c>
      <c r="BA658" s="81" t="s">
        <v>1190</v>
      </c>
      <c r="BB658" s="81" t="s">
        <v>1190</v>
      </c>
      <c r="BC658" s="81" t="s">
        <v>1135</v>
      </c>
      <c r="BD658" s="81" t="s">
        <v>1213</v>
      </c>
      <c r="BE658" s="77"/>
      <c r="BF658" s="77"/>
      <c r="BG658" s="77"/>
      <c r="BH658" s="77"/>
      <c r="BI658" s="77"/>
      <c r="BJ658">
        <v>13</v>
      </c>
      <c r="BK658" s="76" t="str">
        <f>REPLACE(INDEX(GroupVertices[Group],MATCH(Edges[[#This Row],[Vertex 1]],GroupVertices[Vertex],0)),1,1,"")</f>
        <v>7</v>
      </c>
      <c r="BL658" s="76" t="str">
        <f>REPLACE(INDEX(GroupVertices[Group],MATCH(Edges[[#This Row],[Vertex 2]],GroupVertices[Vertex],0)),1,1,"")</f>
        <v>2</v>
      </c>
      <c r="BM658" s="45"/>
      <c r="BN658" s="46"/>
      <c r="BO658" s="45"/>
      <c r="BP658" s="46"/>
      <c r="BQ658" s="45"/>
      <c r="BR658" s="46"/>
      <c r="BS658" s="45"/>
      <c r="BT658" s="46"/>
      <c r="BU658" s="45"/>
    </row>
    <row r="659" spans="1:73" ht="15">
      <c r="A659" s="61" t="s">
        <v>257</v>
      </c>
      <c r="B659" s="61" t="s">
        <v>528</v>
      </c>
      <c r="C659" s="62" t="s">
        <v>11697</v>
      </c>
      <c r="D659" s="63">
        <v>10</v>
      </c>
      <c r="E659" s="64" t="s">
        <v>136</v>
      </c>
      <c r="F659" s="65">
        <v>10</v>
      </c>
      <c r="G659" s="62"/>
      <c r="H659" s="66"/>
      <c r="I659" s="67"/>
      <c r="J659" s="67"/>
      <c r="K659" s="31" t="s">
        <v>65</v>
      </c>
      <c r="L659" s="75">
        <v>659</v>
      </c>
      <c r="M659" s="75"/>
      <c r="N659" s="69"/>
      <c r="O659" s="77" t="s">
        <v>539</v>
      </c>
      <c r="P659" s="79">
        <v>45167.20427083333</v>
      </c>
      <c r="Q659" s="77" t="s">
        <v>652</v>
      </c>
      <c r="R659" s="77">
        <v>4</v>
      </c>
      <c r="S659" s="77">
        <v>5</v>
      </c>
      <c r="T659" s="77">
        <v>0</v>
      </c>
      <c r="U659" s="77">
        <v>0</v>
      </c>
      <c r="V659" s="77">
        <v>185</v>
      </c>
      <c r="W659" s="81" t="s">
        <v>719</v>
      </c>
      <c r="X659" s="83" t="str">
        <f>HYPERLINK("https://www.linkedin.com/posts/pinakilaskar_aisingularity-machineconsciousness-generalai-activity-7102149386310160384-Rm41")</f>
        <v>https://www.linkedin.com/posts/pinakilaskar_aisingularity-machineconsciousness-generalai-activity-7102149386310160384-Rm41</v>
      </c>
      <c r="Y659" s="77" t="s">
        <v>749</v>
      </c>
      <c r="Z659" s="77" t="s">
        <v>814</v>
      </c>
      <c r="AA659" s="77"/>
      <c r="AB659" s="77"/>
      <c r="AC659" s="81" t="s">
        <v>855</v>
      </c>
      <c r="AD659" s="77" t="s">
        <v>859</v>
      </c>
      <c r="AE659" s="83" t="str">
        <f>HYPERLINK("https://twitter.com/pinakilaskar/status/1696385729704923437")</f>
        <v>https://twitter.com/pinakilaskar/status/1696385729704923437</v>
      </c>
      <c r="AF659" s="79">
        <v>45167.20427083333</v>
      </c>
      <c r="AG659" s="85">
        <v>45167</v>
      </c>
      <c r="AH659" s="81" t="s">
        <v>980</v>
      </c>
      <c r="AI659" s="77" t="b">
        <v>0</v>
      </c>
      <c r="AJ659" s="77"/>
      <c r="AK659" s="77"/>
      <c r="AL659" s="77"/>
      <c r="AM659" s="77"/>
      <c r="AN659" s="77"/>
      <c r="AO659" s="77"/>
      <c r="AP659" s="77"/>
      <c r="AQ659" s="77"/>
      <c r="AR659" s="77"/>
      <c r="AS659" s="77"/>
      <c r="AT659" s="77"/>
      <c r="AU659" s="77"/>
      <c r="AV659" s="83" t="str">
        <f>HYPERLINK("https://pbs.twimg.com/profile_images/1277223966705192966/aIT6N-WJ_normal.jpg")</f>
        <v>https://pbs.twimg.com/profile_images/1277223966705192966/aIT6N-WJ_normal.jpg</v>
      </c>
      <c r="AW659" s="81" t="s">
        <v>1135</v>
      </c>
      <c r="AX659" s="81" t="s">
        <v>1135</v>
      </c>
      <c r="AY659" s="77"/>
      <c r="AZ659" s="81" t="s">
        <v>1190</v>
      </c>
      <c r="BA659" s="81" t="s">
        <v>1190</v>
      </c>
      <c r="BB659" s="81" t="s">
        <v>1190</v>
      </c>
      <c r="BC659" s="81" t="s">
        <v>1135</v>
      </c>
      <c r="BD659" s="81" t="s">
        <v>1213</v>
      </c>
      <c r="BE659" s="77"/>
      <c r="BF659" s="77"/>
      <c r="BG659" s="77"/>
      <c r="BH659" s="77"/>
      <c r="BI659" s="77"/>
      <c r="BJ659">
        <v>8</v>
      </c>
      <c r="BK659" s="76" t="str">
        <f>REPLACE(INDEX(GroupVertices[Group],MATCH(Edges[[#This Row],[Vertex 1]],GroupVertices[Vertex],0)),1,1,"")</f>
        <v>7</v>
      </c>
      <c r="BL659" s="76" t="str">
        <f>REPLACE(INDEX(GroupVertices[Group],MATCH(Edges[[#This Row],[Vertex 2]],GroupVertices[Vertex],0)),1,1,"")</f>
        <v>7</v>
      </c>
      <c r="BM659" s="45"/>
      <c r="BN659" s="46"/>
      <c r="BO659" s="45"/>
      <c r="BP659" s="46"/>
      <c r="BQ659" s="45"/>
      <c r="BR659" s="46"/>
      <c r="BS659" s="45"/>
      <c r="BT659" s="46"/>
      <c r="BU659" s="45"/>
    </row>
    <row r="660" spans="1:73" ht="15">
      <c r="A660" s="61" t="s">
        <v>257</v>
      </c>
      <c r="B660" s="61" t="s">
        <v>529</v>
      </c>
      <c r="C660" s="62" t="s">
        <v>11697</v>
      </c>
      <c r="D660" s="63">
        <v>10</v>
      </c>
      <c r="E660" s="64" t="s">
        <v>136</v>
      </c>
      <c r="F660" s="65">
        <v>10</v>
      </c>
      <c r="G660" s="62"/>
      <c r="H660" s="66"/>
      <c r="I660" s="67"/>
      <c r="J660" s="67"/>
      <c r="K660" s="31" t="s">
        <v>65</v>
      </c>
      <c r="L660" s="75">
        <v>660</v>
      </c>
      <c r="M660" s="75"/>
      <c r="N660" s="69"/>
      <c r="O660" s="77" t="s">
        <v>539</v>
      </c>
      <c r="P660" s="79">
        <v>45167.20427083333</v>
      </c>
      <c r="Q660" s="77" t="s">
        <v>652</v>
      </c>
      <c r="R660" s="77">
        <v>4</v>
      </c>
      <c r="S660" s="77">
        <v>5</v>
      </c>
      <c r="T660" s="77">
        <v>0</v>
      </c>
      <c r="U660" s="77">
        <v>0</v>
      </c>
      <c r="V660" s="77">
        <v>185</v>
      </c>
      <c r="W660" s="81" t="s">
        <v>719</v>
      </c>
      <c r="X660" s="83" t="str">
        <f>HYPERLINK("https://www.linkedin.com/posts/pinakilaskar_aisingularity-machineconsciousness-generalai-activity-7102149386310160384-Rm41")</f>
        <v>https://www.linkedin.com/posts/pinakilaskar_aisingularity-machineconsciousness-generalai-activity-7102149386310160384-Rm41</v>
      </c>
      <c r="Y660" s="77" t="s">
        <v>749</v>
      </c>
      <c r="Z660" s="77" t="s">
        <v>814</v>
      </c>
      <c r="AA660" s="77"/>
      <c r="AB660" s="77"/>
      <c r="AC660" s="81" t="s">
        <v>855</v>
      </c>
      <c r="AD660" s="77" t="s">
        <v>859</v>
      </c>
      <c r="AE660" s="83" t="str">
        <f>HYPERLINK("https://twitter.com/pinakilaskar/status/1696385729704923437")</f>
        <v>https://twitter.com/pinakilaskar/status/1696385729704923437</v>
      </c>
      <c r="AF660" s="79">
        <v>45167.20427083333</v>
      </c>
      <c r="AG660" s="85">
        <v>45167</v>
      </c>
      <c r="AH660" s="81" t="s">
        <v>980</v>
      </c>
      <c r="AI660" s="77" t="b">
        <v>0</v>
      </c>
      <c r="AJ660" s="77"/>
      <c r="AK660" s="77"/>
      <c r="AL660" s="77"/>
      <c r="AM660" s="77"/>
      <c r="AN660" s="77"/>
      <c r="AO660" s="77"/>
      <c r="AP660" s="77"/>
      <c r="AQ660" s="77"/>
      <c r="AR660" s="77"/>
      <c r="AS660" s="77"/>
      <c r="AT660" s="77"/>
      <c r="AU660" s="77"/>
      <c r="AV660" s="83" t="str">
        <f>HYPERLINK("https://pbs.twimg.com/profile_images/1277223966705192966/aIT6N-WJ_normal.jpg")</f>
        <v>https://pbs.twimg.com/profile_images/1277223966705192966/aIT6N-WJ_normal.jpg</v>
      </c>
      <c r="AW660" s="81" t="s">
        <v>1135</v>
      </c>
      <c r="AX660" s="81" t="s">
        <v>1135</v>
      </c>
      <c r="AY660" s="77"/>
      <c r="AZ660" s="81" t="s">
        <v>1190</v>
      </c>
      <c r="BA660" s="81" t="s">
        <v>1190</v>
      </c>
      <c r="BB660" s="81" t="s">
        <v>1190</v>
      </c>
      <c r="BC660" s="81" t="s">
        <v>1135</v>
      </c>
      <c r="BD660" s="81" t="s">
        <v>1213</v>
      </c>
      <c r="BE660" s="77"/>
      <c r="BF660" s="77"/>
      <c r="BG660" s="77"/>
      <c r="BH660" s="77"/>
      <c r="BI660" s="77"/>
      <c r="BJ660">
        <v>13</v>
      </c>
      <c r="BK660" s="76" t="str">
        <f>REPLACE(INDEX(GroupVertices[Group],MATCH(Edges[[#This Row],[Vertex 1]],GroupVertices[Vertex],0)),1,1,"")</f>
        <v>7</v>
      </c>
      <c r="BL660" s="76" t="str">
        <f>REPLACE(INDEX(GroupVertices[Group],MATCH(Edges[[#This Row],[Vertex 2]],GroupVertices[Vertex],0)),1,1,"")</f>
        <v>7</v>
      </c>
      <c r="BM660" s="45"/>
      <c r="BN660" s="46"/>
      <c r="BO660" s="45"/>
      <c r="BP660" s="46"/>
      <c r="BQ660" s="45"/>
      <c r="BR660" s="46"/>
      <c r="BS660" s="45"/>
      <c r="BT660" s="46"/>
      <c r="BU660" s="45"/>
    </row>
    <row r="661" spans="1:73" ht="15">
      <c r="A661" s="61" t="s">
        <v>257</v>
      </c>
      <c r="B661" s="61" t="s">
        <v>530</v>
      </c>
      <c r="C661" s="62" t="s">
        <v>11697</v>
      </c>
      <c r="D661" s="63">
        <v>10</v>
      </c>
      <c r="E661" s="64" t="s">
        <v>136</v>
      </c>
      <c r="F661" s="65">
        <v>10</v>
      </c>
      <c r="G661" s="62"/>
      <c r="H661" s="66"/>
      <c r="I661" s="67"/>
      <c r="J661" s="67"/>
      <c r="K661" s="31" t="s">
        <v>65</v>
      </c>
      <c r="L661" s="75">
        <v>661</v>
      </c>
      <c r="M661" s="75"/>
      <c r="N661" s="69"/>
      <c r="O661" s="77" t="s">
        <v>539</v>
      </c>
      <c r="P661" s="79">
        <v>45167.20427083333</v>
      </c>
      <c r="Q661" s="77" t="s">
        <v>652</v>
      </c>
      <c r="R661" s="77">
        <v>4</v>
      </c>
      <c r="S661" s="77">
        <v>5</v>
      </c>
      <c r="T661" s="77">
        <v>0</v>
      </c>
      <c r="U661" s="77">
        <v>0</v>
      </c>
      <c r="V661" s="77">
        <v>185</v>
      </c>
      <c r="W661" s="81" t="s">
        <v>719</v>
      </c>
      <c r="X661" s="83" t="str">
        <f>HYPERLINK("https://www.linkedin.com/posts/pinakilaskar_aisingularity-machineconsciousness-generalai-activity-7102149386310160384-Rm41")</f>
        <v>https://www.linkedin.com/posts/pinakilaskar_aisingularity-machineconsciousness-generalai-activity-7102149386310160384-Rm41</v>
      </c>
      <c r="Y661" s="77" t="s">
        <v>749</v>
      </c>
      <c r="Z661" s="77" t="s">
        <v>814</v>
      </c>
      <c r="AA661" s="77"/>
      <c r="AB661" s="77"/>
      <c r="AC661" s="81" t="s">
        <v>855</v>
      </c>
      <c r="AD661" s="77" t="s">
        <v>859</v>
      </c>
      <c r="AE661" s="83" t="str">
        <f>HYPERLINK("https://twitter.com/pinakilaskar/status/1696385729704923437")</f>
        <v>https://twitter.com/pinakilaskar/status/1696385729704923437</v>
      </c>
      <c r="AF661" s="79">
        <v>45167.20427083333</v>
      </c>
      <c r="AG661" s="85">
        <v>45167</v>
      </c>
      <c r="AH661" s="81" t="s">
        <v>980</v>
      </c>
      <c r="AI661" s="77" t="b">
        <v>0</v>
      </c>
      <c r="AJ661" s="77"/>
      <c r="AK661" s="77"/>
      <c r="AL661" s="77"/>
      <c r="AM661" s="77"/>
      <c r="AN661" s="77"/>
      <c r="AO661" s="77"/>
      <c r="AP661" s="77"/>
      <c r="AQ661" s="77"/>
      <c r="AR661" s="77"/>
      <c r="AS661" s="77"/>
      <c r="AT661" s="77"/>
      <c r="AU661" s="77"/>
      <c r="AV661" s="83" t="str">
        <f>HYPERLINK("https://pbs.twimg.com/profile_images/1277223966705192966/aIT6N-WJ_normal.jpg")</f>
        <v>https://pbs.twimg.com/profile_images/1277223966705192966/aIT6N-WJ_normal.jpg</v>
      </c>
      <c r="AW661" s="81" t="s">
        <v>1135</v>
      </c>
      <c r="AX661" s="81" t="s">
        <v>1135</v>
      </c>
      <c r="AY661" s="77"/>
      <c r="AZ661" s="81" t="s">
        <v>1190</v>
      </c>
      <c r="BA661" s="81" t="s">
        <v>1190</v>
      </c>
      <c r="BB661" s="81" t="s">
        <v>1190</v>
      </c>
      <c r="BC661" s="81" t="s">
        <v>1135</v>
      </c>
      <c r="BD661" s="81" t="s">
        <v>1213</v>
      </c>
      <c r="BE661" s="77"/>
      <c r="BF661" s="77"/>
      <c r="BG661" s="77"/>
      <c r="BH661" s="77"/>
      <c r="BI661" s="77"/>
      <c r="BJ661">
        <v>10</v>
      </c>
      <c r="BK661" s="76" t="str">
        <f>REPLACE(INDEX(GroupVertices[Group],MATCH(Edges[[#This Row],[Vertex 1]],GroupVertices[Vertex],0)),1,1,"")</f>
        <v>7</v>
      </c>
      <c r="BL661" s="76" t="str">
        <f>REPLACE(INDEX(GroupVertices[Group],MATCH(Edges[[#This Row],[Vertex 2]],GroupVertices[Vertex],0)),1,1,"")</f>
        <v>7</v>
      </c>
      <c r="BM661" s="45"/>
      <c r="BN661" s="46"/>
      <c r="BO661" s="45"/>
      <c r="BP661" s="46"/>
      <c r="BQ661" s="45"/>
      <c r="BR661" s="46"/>
      <c r="BS661" s="45"/>
      <c r="BT661" s="46"/>
      <c r="BU661" s="45"/>
    </row>
    <row r="662" spans="1:73" ht="15">
      <c r="A662" s="61" t="s">
        <v>257</v>
      </c>
      <c r="B662" s="61" t="s">
        <v>532</v>
      </c>
      <c r="C662" s="62" t="s">
        <v>11697</v>
      </c>
      <c r="D662" s="63">
        <v>10</v>
      </c>
      <c r="E662" s="64" t="s">
        <v>136</v>
      </c>
      <c r="F662" s="65">
        <v>10</v>
      </c>
      <c r="G662" s="62"/>
      <c r="H662" s="66"/>
      <c r="I662" s="67"/>
      <c r="J662" s="67"/>
      <c r="K662" s="31" t="s">
        <v>65</v>
      </c>
      <c r="L662" s="75">
        <v>662</v>
      </c>
      <c r="M662" s="75"/>
      <c r="N662" s="69"/>
      <c r="O662" s="77" t="s">
        <v>539</v>
      </c>
      <c r="P662" s="79">
        <v>45167.20427083333</v>
      </c>
      <c r="Q662" s="77" t="s">
        <v>652</v>
      </c>
      <c r="R662" s="77">
        <v>4</v>
      </c>
      <c r="S662" s="77">
        <v>5</v>
      </c>
      <c r="T662" s="77">
        <v>0</v>
      </c>
      <c r="U662" s="77">
        <v>0</v>
      </c>
      <c r="V662" s="77">
        <v>185</v>
      </c>
      <c r="W662" s="81" t="s">
        <v>719</v>
      </c>
      <c r="X662" s="83" t="str">
        <f>HYPERLINK("https://www.linkedin.com/posts/pinakilaskar_aisingularity-machineconsciousness-generalai-activity-7102149386310160384-Rm41")</f>
        <v>https://www.linkedin.com/posts/pinakilaskar_aisingularity-machineconsciousness-generalai-activity-7102149386310160384-Rm41</v>
      </c>
      <c r="Y662" s="77" t="s">
        <v>749</v>
      </c>
      <c r="Z662" s="77" t="s">
        <v>814</v>
      </c>
      <c r="AA662" s="77"/>
      <c r="AB662" s="77"/>
      <c r="AC662" s="81" t="s">
        <v>855</v>
      </c>
      <c r="AD662" s="77" t="s">
        <v>859</v>
      </c>
      <c r="AE662" s="83" t="str">
        <f>HYPERLINK("https://twitter.com/pinakilaskar/status/1696385729704923437")</f>
        <v>https://twitter.com/pinakilaskar/status/1696385729704923437</v>
      </c>
      <c r="AF662" s="79">
        <v>45167.20427083333</v>
      </c>
      <c r="AG662" s="85">
        <v>45167</v>
      </c>
      <c r="AH662" s="81" t="s">
        <v>980</v>
      </c>
      <c r="AI662" s="77" t="b">
        <v>0</v>
      </c>
      <c r="AJ662" s="77"/>
      <c r="AK662" s="77"/>
      <c r="AL662" s="77"/>
      <c r="AM662" s="77"/>
      <c r="AN662" s="77"/>
      <c r="AO662" s="77"/>
      <c r="AP662" s="77"/>
      <c r="AQ662" s="77"/>
      <c r="AR662" s="77"/>
      <c r="AS662" s="77"/>
      <c r="AT662" s="77"/>
      <c r="AU662" s="77"/>
      <c r="AV662" s="83" t="str">
        <f>HYPERLINK("https://pbs.twimg.com/profile_images/1277223966705192966/aIT6N-WJ_normal.jpg")</f>
        <v>https://pbs.twimg.com/profile_images/1277223966705192966/aIT6N-WJ_normal.jpg</v>
      </c>
      <c r="AW662" s="81" t="s">
        <v>1135</v>
      </c>
      <c r="AX662" s="81" t="s">
        <v>1135</v>
      </c>
      <c r="AY662" s="77"/>
      <c r="AZ662" s="81" t="s">
        <v>1190</v>
      </c>
      <c r="BA662" s="81" t="s">
        <v>1190</v>
      </c>
      <c r="BB662" s="81" t="s">
        <v>1190</v>
      </c>
      <c r="BC662" s="81" t="s">
        <v>1135</v>
      </c>
      <c r="BD662" s="81" t="s">
        <v>1213</v>
      </c>
      <c r="BE662" s="77"/>
      <c r="BF662" s="77"/>
      <c r="BG662" s="77"/>
      <c r="BH662" s="77"/>
      <c r="BI662" s="77"/>
      <c r="BJ662">
        <v>13</v>
      </c>
      <c r="BK662" s="76" t="str">
        <f>REPLACE(INDEX(GroupVertices[Group],MATCH(Edges[[#This Row],[Vertex 1]],GroupVertices[Vertex],0)),1,1,"")</f>
        <v>7</v>
      </c>
      <c r="BL662" s="76" t="str">
        <f>REPLACE(INDEX(GroupVertices[Group],MATCH(Edges[[#This Row],[Vertex 2]],GroupVertices[Vertex],0)),1,1,"")</f>
        <v>7</v>
      </c>
      <c r="BM662" s="45"/>
      <c r="BN662" s="46"/>
      <c r="BO662" s="45"/>
      <c r="BP662" s="46"/>
      <c r="BQ662" s="45"/>
      <c r="BR662" s="46"/>
      <c r="BS662" s="45"/>
      <c r="BT662" s="46"/>
      <c r="BU662" s="45"/>
    </row>
    <row r="663" spans="1:73" ht="15">
      <c r="A663" s="61" t="s">
        <v>257</v>
      </c>
      <c r="B663" s="61" t="s">
        <v>533</v>
      </c>
      <c r="C663" s="62" t="s">
        <v>11697</v>
      </c>
      <c r="D663" s="63">
        <v>10</v>
      </c>
      <c r="E663" s="64" t="s">
        <v>136</v>
      </c>
      <c r="F663" s="65">
        <v>10</v>
      </c>
      <c r="G663" s="62"/>
      <c r="H663" s="66"/>
      <c r="I663" s="67"/>
      <c r="J663" s="67"/>
      <c r="K663" s="31" t="s">
        <v>65</v>
      </c>
      <c r="L663" s="75">
        <v>663</v>
      </c>
      <c r="M663" s="75"/>
      <c r="N663" s="69"/>
      <c r="O663" s="77" t="s">
        <v>539</v>
      </c>
      <c r="P663" s="79">
        <v>45167.20427083333</v>
      </c>
      <c r="Q663" s="77" t="s">
        <v>652</v>
      </c>
      <c r="R663" s="77">
        <v>4</v>
      </c>
      <c r="S663" s="77">
        <v>5</v>
      </c>
      <c r="T663" s="77">
        <v>0</v>
      </c>
      <c r="U663" s="77">
        <v>0</v>
      </c>
      <c r="V663" s="77">
        <v>185</v>
      </c>
      <c r="W663" s="81" t="s">
        <v>719</v>
      </c>
      <c r="X663" s="83" t="str">
        <f>HYPERLINK("https://www.linkedin.com/posts/pinakilaskar_aisingularity-machineconsciousness-generalai-activity-7102149386310160384-Rm41")</f>
        <v>https://www.linkedin.com/posts/pinakilaskar_aisingularity-machineconsciousness-generalai-activity-7102149386310160384-Rm41</v>
      </c>
      <c r="Y663" s="77" t="s">
        <v>749</v>
      </c>
      <c r="Z663" s="77" t="s">
        <v>814</v>
      </c>
      <c r="AA663" s="77"/>
      <c r="AB663" s="77"/>
      <c r="AC663" s="81" t="s">
        <v>855</v>
      </c>
      <c r="AD663" s="77" t="s">
        <v>859</v>
      </c>
      <c r="AE663" s="83" t="str">
        <f>HYPERLINK("https://twitter.com/pinakilaskar/status/1696385729704923437")</f>
        <v>https://twitter.com/pinakilaskar/status/1696385729704923437</v>
      </c>
      <c r="AF663" s="79">
        <v>45167.20427083333</v>
      </c>
      <c r="AG663" s="85">
        <v>45167</v>
      </c>
      <c r="AH663" s="81" t="s">
        <v>980</v>
      </c>
      <c r="AI663" s="77" t="b">
        <v>0</v>
      </c>
      <c r="AJ663" s="77"/>
      <c r="AK663" s="77"/>
      <c r="AL663" s="77"/>
      <c r="AM663" s="77"/>
      <c r="AN663" s="77"/>
      <c r="AO663" s="77"/>
      <c r="AP663" s="77"/>
      <c r="AQ663" s="77"/>
      <c r="AR663" s="77"/>
      <c r="AS663" s="77"/>
      <c r="AT663" s="77"/>
      <c r="AU663" s="77"/>
      <c r="AV663" s="83" t="str">
        <f>HYPERLINK("https://pbs.twimg.com/profile_images/1277223966705192966/aIT6N-WJ_normal.jpg")</f>
        <v>https://pbs.twimg.com/profile_images/1277223966705192966/aIT6N-WJ_normal.jpg</v>
      </c>
      <c r="AW663" s="81" t="s">
        <v>1135</v>
      </c>
      <c r="AX663" s="81" t="s">
        <v>1135</v>
      </c>
      <c r="AY663" s="77"/>
      <c r="AZ663" s="81" t="s">
        <v>1190</v>
      </c>
      <c r="BA663" s="81" t="s">
        <v>1190</v>
      </c>
      <c r="BB663" s="81" t="s">
        <v>1190</v>
      </c>
      <c r="BC663" s="81" t="s">
        <v>1135</v>
      </c>
      <c r="BD663" s="81" t="s">
        <v>1213</v>
      </c>
      <c r="BE663" s="77"/>
      <c r="BF663" s="77"/>
      <c r="BG663" s="77"/>
      <c r="BH663" s="77"/>
      <c r="BI663" s="77"/>
      <c r="BJ663">
        <v>13</v>
      </c>
      <c r="BK663" s="76" t="str">
        <f>REPLACE(INDEX(GroupVertices[Group],MATCH(Edges[[#This Row],[Vertex 1]],GroupVertices[Vertex],0)),1,1,"")</f>
        <v>7</v>
      </c>
      <c r="BL663" s="76" t="str">
        <f>REPLACE(INDEX(GroupVertices[Group],MATCH(Edges[[#This Row],[Vertex 2]],GroupVertices[Vertex],0)),1,1,"")</f>
        <v>7</v>
      </c>
      <c r="BM663" s="45"/>
      <c r="BN663" s="46"/>
      <c r="BO663" s="45"/>
      <c r="BP663" s="46"/>
      <c r="BQ663" s="45"/>
      <c r="BR663" s="46"/>
      <c r="BS663" s="45"/>
      <c r="BT663" s="46"/>
      <c r="BU663" s="45"/>
    </row>
    <row r="664" spans="1:73" ht="15">
      <c r="A664" s="61" t="s">
        <v>257</v>
      </c>
      <c r="B664" s="61" t="s">
        <v>534</v>
      </c>
      <c r="C664" s="62" t="s">
        <v>11697</v>
      </c>
      <c r="D664" s="63">
        <v>10</v>
      </c>
      <c r="E664" s="64" t="s">
        <v>136</v>
      </c>
      <c r="F664" s="65">
        <v>10</v>
      </c>
      <c r="G664" s="62"/>
      <c r="H664" s="66"/>
      <c r="I664" s="67"/>
      <c r="J664" s="67"/>
      <c r="K664" s="31" t="s">
        <v>65</v>
      </c>
      <c r="L664" s="75">
        <v>664</v>
      </c>
      <c r="M664" s="75"/>
      <c r="N664" s="69"/>
      <c r="O664" s="77" t="s">
        <v>539</v>
      </c>
      <c r="P664" s="79">
        <v>45167.20427083333</v>
      </c>
      <c r="Q664" s="77" t="s">
        <v>652</v>
      </c>
      <c r="R664" s="77">
        <v>4</v>
      </c>
      <c r="S664" s="77">
        <v>5</v>
      </c>
      <c r="T664" s="77">
        <v>0</v>
      </c>
      <c r="U664" s="77">
        <v>0</v>
      </c>
      <c r="V664" s="77">
        <v>185</v>
      </c>
      <c r="W664" s="81" t="s">
        <v>719</v>
      </c>
      <c r="X664" s="83" t="str">
        <f>HYPERLINK("https://www.linkedin.com/posts/pinakilaskar_aisingularity-machineconsciousness-generalai-activity-7102149386310160384-Rm41")</f>
        <v>https://www.linkedin.com/posts/pinakilaskar_aisingularity-machineconsciousness-generalai-activity-7102149386310160384-Rm41</v>
      </c>
      <c r="Y664" s="77" t="s">
        <v>749</v>
      </c>
      <c r="Z664" s="77" t="s">
        <v>814</v>
      </c>
      <c r="AA664" s="77"/>
      <c r="AB664" s="77"/>
      <c r="AC664" s="81" t="s">
        <v>855</v>
      </c>
      <c r="AD664" s="77" t="s">
        <v>859</v>
      </c>
      <c r="AE664" s="83" t="str">
        <f>HYPERLINK("https://twitter.com/pinakilaskar/status/1696385729704923437")</f>
        <v>https://twitter.com/pinakilaskar/status/1696385729704923437</v>
      </c>
      <c r="AF664" s="79">
        <v>45167.20427083333</v>
      </c>
      <c r="AG664" s="85">
        <v>45167</v>
      </c>
      <c r="AH664" s="81" t="s">
        <v>980</v>
      </c>
      <c r="AI664" s="77" t="b">
        <v>0</v>
      </c>
      <c r="AJ664" s="77"/>
      <c r="AK664" s="77"/>
      <c r="AL664" s="77"/>
      <c r="AM664" s="77"/>
      <c r="AN664" s="77"/>
      <c r="AO664" s="77"/>
      <c r="AP664" s="77"/>
      <c r="AQ664" s="77"/>
      <c r="AR664" s="77"/>
      <c r="AS664" s="77"/>
      <c r="AT664" s="77"/>
      <c r="AU664" s="77"/>
      <c r="AV664" s="83" t="str">
        <f>HYPERLINK("https://pbs.twimg.com/profile_images/1277223966705192966/aIT6N-WJ_normal.jpg")</f>
        <v>https://pbs.twimg.com/profile_images/1277223966705192966/aIT6N-WJ_normal.jpg</v>
      </c>
      <c r="AW664" s="81" t="s">
        <v>1135</v>
      </c>
      <c r="AX664" s="81" t="s">
        <v>1135</v>
      </c>
      <c r="AY664" s="77"/>
      <c r="AZ664" s="81" t="s">
        <v>1190</v>
      </c>
      <c r="BA664" s="81" t="s">
        <v>1190</v>
      </c>
      <c r="BB664" s="81" t="s">
        <v>1190</v>
      </c>
      <c r="BC664" s="81" t="s">
        <v>1135</v>
      </c>
      <c r="BD664" s="81" t="s">
        <v>1213</v>
      </c>
      <c r="BE664" s="77"/>
      <c r="BF664" s="77"/>
      <c r="BG664" s="77"/>
      <c r="BH664" s="77"/>
      <c r="BI664" s="77"/>
      <c r="BJ664">
        <v>9</v>
      </c>
      <c r="BK664" s="76" t="str">
        <f>REPLACE(INDEX(GroupVertices[Group],MATCH(Edges[[#This Row],[Vertex 1]],GroupVertices[Vertex],0)),1,1,"")</f>
        <v>7</v>
      </c>
      <c r="BL664" s="76" t="str">
        <f>REPLACE(INDEX(GroupVertices[Group],MATCH(Edges[[#This Row],[Vertex 2]],GroupVertices[Vertex],0)),1,1,"")</f>
        <v>7</v>
      </c>
      <c r="BM664" s="45"/>
      <c r="BN664" s="46"/>
      <c r="BO664" s="45"/>
      <c r="BP664" s="46"/>
      <c r="BQ664" s="45"/>
      <c r="BR664" s="46"/>
      <c r="BS664" s="45"/>
      <c r="BT664" s="46"/>
      <c r="BU664" s="45"/>
    </row>
    <row r="665" spans="1:73" ht="15">
      <c r="A665" s="61" t="s">
        <v>257</v>
      </c>
      <c r="B665" s="61" t="s">
        <v>535</v>
      </c>
      <c r="C665" s="62" t="s">
        <v>11697</v>
      </c>
      <c r="D665" s="63">
        <v>10</v>
      </c>
      <c r="E665" s="64" t="s">
        <v>136</v>
      </c>
      <c r="F665" s="65">
        <v>10</v>
      </c>
      <c r="G665" s="62"/>
      <c r="H665" s="66"/>
      <c r="I665" s="67"/>
      <c r="J665" s="67"/>
      <c r="K665" s="31" t="s">
        <v>65</v>
      </c>
      <c r="L665" s="75">
        <v>665</v>
      </c>
      <c r="M665" s="75"/>
      <c r="N665" s="69"/>
      <c r="O665" s="77" t="s">
        <v>539</v>
      </c>
      <c r="P665" s="79">
        <v>45167.20427083333</v>
      </c>
      <c r="Q665" s="77" t="s">
        <v>652</v>
      </c>
      <c r="R665" s="77">
        <v>4</v>
      </c>
      <c r="S665" s="77">
        <v>5</v>
      </c>
      <c r="T665" s="77">
        <v>0</v>
      </c>
      <c r="U665" s="77">
        <v>0</v>
      </c>
      <c r="V665" s="77">
        <v>185</v>
      </c>
      <c r="W665" s="81" t="s">
        <v>719</v>
      </c>
      <c r="X665" s="83" t="str">
        <f>HYPERLINK("https://www.linkedin.com/posts/pinakilaskar_aisingularity-machineconsciousness-generalai-activity-7102149386310160384-Rm41")</f>
        <v>https://www.linkedin.com/posts/pinakilaskar_aisingularity-machineconsciousness-generalai-activity-7102149386310160384-Rm41</v>
      </c>
      <c r="Y665" s="77" t="s">
        <v>749</v>
      </c>
      <c r="Z665" s="77" t="s">
        <v>814</v>
      </c>
      <c r="AA665" s="77"/>
      <c r="AB665" s="77"/>
      <c r="AC665" s="81" t="s">
        <v>855</v>
      </c>
      <c r="AD665" s="77" t="s">
        <v>859</v>
      </c>
      <c r="AE665" s="83" t="str">
        <f>HYPERLINK("https://twitter.com/pinakilaskar/status/1696385729704923437")</f>
        <v>https://twitter.com/pinakilaskar/status/1696385729704923437</v>
      </c>
      <c r="AF665" s="79">
        <v>45167.20427083333</v>
      </c>
      <c r="AG665" s="85">
        <v>45167</v>
      </c>
      <c r="AH665" s="81" t="s">
        <v>980</v>
      </c>
      <c r="AI665" s="77" t="b">
        <v>0</v>
      </c>
      <c r="AJ665" s="77"/>
      <c r="AK665" s="77"/>
      <c r="AL665" s="77"/>
      <c r="AM665" s="77"/>
      <c r="AN665" s="77"/>
      <c r="AO665" s="77"/>
      <c r="AP665" s="77"/>
      <c r="AQ665" s="77"/>
      <c r="AR665" s="77"/>
      <c r="AS665" s="77"/>
      <c r="AT665" s="77"/>
      <c r="AU665" s="77"/>
      <c r="AV665" s="83" t="str">
        <f>HYPERLINK("https://pbs.twimg.com/profile_images/1277223966705192966/aIT6N-WJ_normal.jpg")</f>
        <v>https://pbs.twimg.com/profile_images/1277223966705192966/aIT6N-WJ_normal.jpg</v>
      </c>
      <c r="AW665" s="81" t="s">
        <v>1135</v>
      </c>
      <c r="AX665" s="81" t="s">
        <v>1135</v>
      </c>
      <c r="AY665" s="77"/>
      <c r="AZ665" s="81" t="s">
        <v>1190</v>
      </c>
      <c r="BA665" s="81" t="s">
        <v>1190</v>
      </c>
      <c r="BB665" s="81" t="s">
        <v>1190</v>
      </c>
      <c r="BC665" s="81" t="s">
        <v>1135</v>
      </c>
      <c r="BD665" s="81" t="s">
        <v>1213</v>
      </c>
      <c r="BE665" s="77"/>
      <c r="BF665" s="77"/>
      <c r="BG665" s="77"/>
      <c r="BH665" s="77"/>
      <c r="BI665" s="77"/>
      <c r="BJ665">
        <v>13</v>
      </c>
      <c r="BK665" s="76" t="str">
        <f>REPLACE(INDEX(GroupVertices[Group],MATCH(Edges[[#This Row],[Vertex 1]],GroupVertices[Vertex],0)),1,1,"")</f>
        <v>7</v>
      </c>
      <c r="BL665" s="76" t="str">
        <f>REPLACE(INDEX(GroupVertices[Group],MATCH(Edges[[#This Row],[Vertex 2]],GroupVertices[Vertex],0)),1,1,"")</f>
        <v>7</v>
      </c>
      <c r="BM665" s="45"/>
      <c r="BN665" s="46"/>
      <c r="BO665" s="45"/>
      <c r="BP665" s="46"/>
      <c r="BQ665" s="45"/>
      <c r="BR665" s="46"/>
      <c r="BS665" s="45"/>
      <c r="BT665" s="46"/>
      <c r="BU665" s="45"/>
    </row>
    <row r="666" spans="1:73" ht="15">
      <c r="A666" s="61" t="s">
        <v>257</v>
      </c>
      <c r="B666" s="61" t="s">
        <v>537</v>
      </c>
      <c r="C666" s="62" t="s">
        <v>11697</v>
      </c>
      <c r="D666" s="63">
        <v>10</v>
      </c>
      <c r="E666" s="64" t="s">
        <v>136</v>
      </c>
      <c r="F666" s="65">
        <v>10</v>
      </c>
      <c r="G666" s="62"/>
      <c r="H666" s="66"/>
      <c r="I666" s="67"/>
      <c r="J666" s="67"/>
      <c r="K666" s="31" t="s">
        <v>65</v>
      </c>
      <c r="L666" s="75">
        <v>666</v>
      </c>
      <c r="M666" s="75"/>
      <c r="N666" s="69"/>
      <c r="O666" s="77" t="s">
        <v>539</v>
      </c>
      <c r="P666" s="79">
        <v>45167.20427083333</v>
      </c>
      <c r="Q666" s="77" t="s">
        <v>652</v>
      </c>
      <c r="R666" s="77">
        <v>4</v>
      </c>
      <c r="S666" s="77">
        <v>5</v>
      </c>
      <c r="T666" s="77">
        <v>0</v>
      </c>
      <c r="U666" s="77">
        <v>0</v>
      </c>
      <c r="V666" s="77">
        <v>185</v>
      </c>
      <c r="W666" s="81" t="s">
        <v>719</v>
      </c>
      <c r="X666" s="83" t="str">
        <f>HYPERLINK("https://www.linkedin.com/posts/pinakilaskar_aisingularity-machineconsciousness-generalai-activity-7102149386310160384-Rm41")</f>
        <v>https://www.linkedin.com/posts/pinakilaskar_aisingularity-machineconsciousness-generalai-activity-7102149386310160384-Rm41</v>
      </c>
      <c r="Y666" s="77" t="s">
        <v>749</v>
      </c>
      <c r="Z666" s="77" t="s">
        <v>814</v>
      </c>
      <c r="AA666" s="77"/>
      <c r="AB666" s="77"/>
      <c r="AC666" s="81" t="s">
        <v>855</v>
      </c>
      <c r="AD666" s="77" t="s">
        <v>859</v>
      </c>
      <c r="AE666" s="83" t="str">
        <f>HYPERLINK("https://twitter.com/pinakilaskar/status/1696385729704923437")</f>
        <v>https://twitter.com/pinakilaskar/status/1696385729704923437</v>
      </c>
      <c r="AF666" s="79">
        <v>45167.20427083333</v>
      </c>
      <c r="AG666" s="85">
        <v>45167</v>
      </c>
      <c r="AH666" s="81" t="s">
        <v>980</v>
      </c>
      <c r="AI666" s="77" t="b">
        <v>0</v>
      </c>
      <c r="AJ666" s="77"/>
      <c r="AK666" s="77"/>
      <c r="AL666" s="77"/>
      <c r="AM666" s="77"/>
      <c r="AN666" s="77"/>
      <c r="AO666" s="77"/>
      <c r="AP666" s="77"/>
      <c r="AQ666" s="77"/>
      <c r="AR666" s="77"/>
      <c r="AS666" s="77"/>
      <c r="AT666" s="77"/>
      <c r="AU666" s="77"/>
      <c r="AV666" s="83" t="str">
        <f>HYPERLINK("https://pbs.twimg.com/profile_images/1277223966705192966/aIT6N-WJ_normal.jpg")</f>
        <v>https://pbs.twimg.com/profile_images/1277223966705192966/aIT6N-WJ_normal.jpg</v>
      </c>
      <c r="AW666" s="81" t="s">
        <v>1135</v>
      </c>
      <c r="AX666" s="81" t="s">
        <v>1135</v>
      </c>
      <c r="AY666" s="77"/>
      <c r="AZ666" s="81" t="s">
        <v>1190</v>
      </c>
      <c r="BA666" s="81" t="s">
        <v>1190</v>
      </c>
      <c r="BB666" s="81" t="s">
        <v>1190</v>
      </c>
      <c r="BC666" s="81" t="s">
        <v>1135</v>
      </c>
      <c r="BD666" s="81" t="s">
        <v>1213</v>
      </c>
      <c r="BE666" s="77"/>
      <c r="BF666" s="77"/>
      <c r="BG666" s="77"/>
      <c r="BH666" s="77"/>
      <c r="BI666" s="77"/>
      <c r="BJ666">
        <v>10</v>
      </c>
      <c r="BK666" s="76" t="str">
        <f>REPLACE(INDEX(GroupVertices[Group],MATCH(Edges[[#This Row],[Vertex 1]],GroupVertices[Vertex],0)),1,1,"")</f>
        <v>7</v>
      </c>
      <c r="BL666" s="76" t="str">
        <f>REPLACE(INDEX(GroupVertices[Group],MATCH(Edges[[#This Row],[Vertex 2]],GroupVertices[Vertex],0)),1,1,"")</f>
        <v>7</v>
      </c>
      <c r="BM666" s="45"/>
      <c r="BN666" s="46"/>
      <c r="BO666" s="45"/>
      <c r="BP666" s="46"/>
      <c r="BQ666" s="45"/>
      <c r="BR666" s="46"/>
      <c r="BS666" s="45"/>
      <c r="BT666" s="46"/>
      <c r="BU666" s="45"/>
    </row>
    <row r="667" spans="1:73" ht="15">
      <c r="A667" s="61" t="s">
        <v>257</v>
      </c>
      <c r="B667" s="61" t="s">
        <v>538</v>
      </c>
      <c r="C667" s="62" t="s">
        <v>11697</v>
      </c>
      <c r="D667" s="63">
        <v>10</v>
      </c>
      <c r="E667" s="64" t="s">
        <v>136</v>
      </c>
      <c r="F667" s="65">
        <v>10</v>
      </c>
      <c r="G667" s="62"/>
      <c r="H667" s="66"/>
      <c r="I667" s="67"/>
      <c r="J667" s="67"/>
      <c r="K667" s="31" t="s">
        <v>65</v>
      </c>
      <c r="L667" s="75">
        <v>667</v>
      </c>
      <c r="M667" s="75"/>
      <c r="N667" s="69"/>
      <c r="O667" s="77" t="s">
        <v>539</v>
      </c>
      <c r="P667" s="79">
        <v>45167.20427083333</v>
      </c>
      <c r="Q667" s="77" t="s">
        <v>652</v>
      </c>
      <c r="R667" s="77">
        <v>4</v>
      </c>
      <c r="S667" s="77">
        <v>5</v>
      </c>
      <c r="T667" s="77">
        <v>0</v>
      </c>
      <c r="U667" s="77">
        <v>0</v>
      </c>
      <c r="V667" s="77">
        <v>185</v>
      </c>
      <c r="W667" s="81" t="s">
        <v>719</v>
      </c>
      <c r="X667" s="83" t="str">
        <f>HYPERLINK("https://www.linkedin.com/posts/pinakilaskar_aisingularity-machineconsciousness-generalai-activity-7102149386310160384-Rm41")</f>
        <v>https://www.linkedin.com/posts/pinakilaskar_aisingularity-machineconsciousness-generalai-activity-7102149386310160384-Rm41</v>
      </c>
      <c r="Y667" s="77" t="s">
        <v>749</v>
      </c>
      <c r="Z667" s="77" t="s">
        <v>814</v>
      </c>
      <c r="AA667" s="77"/>
      <c r="AB667" s="77"/>
      <c r="AC667" s="81" t="s">
        <v>855</v>
      </c>
      <c r="AD667" s="77" t="s">
        <v>859</v>
      </c>
      <c r="AE667" s="83" t="str">
        <f>HYPERLINK("https://twitter.com/pinakilaskar/status/1696385729704923437")</f>
        <v>https://twitter.com/pinakilaskar/status/1696385729704923437</v>
      </c>
      <c r="AF667" s="79">
        <v>45167.20427083333</v>
      </c>
      <c r="AG667" s="85">
        <v>45167</v>
      </c>
      <c r="AH667" s="81" t="s">
        <v>980</v>
      </c>
      <c r="AI667" s="77" t="b">
        <v>0</v>
      </c>
      <c r="AJ667" s="77"/>
      <c r="AK667" s="77"/>
      <c r="AL667" s="77"/>
      <c r="AM667" s="77"/>
      <c r="AN667" s="77"/>
      <c r="AO667" s="77"/>
      <c r="AP667" s="77"/>
      <c r="AQ667" s="77"/>
      <c r="AR667" s="77"/>
      <c r="AS667" s="77"/>
      <c r="AT667" s="77"/>
      <c r="AU667" s="77"/>
      <c r="AV667" s="83" t="str">
        <f>HYPERLINK("https://pbs.twimg.com/profile_images/1277223966705192966/aIT6N-WJ_normal.jpg")</f>
        <v>https://pbs.twimg.com/profile_images/1277223966705192966/aIT6N-WJ_normal.jpg</v>
      </c>
      <c r="AW667" s="81" t="s">
        <v>1135</v>
      </c>
      <c r="AX667" s="81" t="s">
        <v>1135</v>
      </c>
      <c r="AY667" s="77"/>
      <c r="AZ667" s="81" t="s">
        <v>1190</v>
      </c>
      <c r="BA667" s="81" t="s">
        <v>1190</v>
      </c>
      <c r="BB667" s="81" t="s">
        <v>1190</v>
      </c>
      <c r="BC667" s="81" t="s">
        <v>1135</v>
      </c>
      <c r="BD667" s="81" t="s">
        <v>1213</v>
      </c>
      <c r="BE667" s="77"/>
      <c r="BF667" s="77"/>
      <c r="BG667" s="77"/>
      <c r="BH667" s="77"/>
      <c r="BI667" s="77"/>
      <c r="BJ667">
        <v>13</v>
      </c>
      <c r="BK667" s="76" t="str">
        <f>REPLACE(INDEX(GroupVertices[Group],MATCH(Edges[[#This Row],[Vertex 1]],GroupVertices[Vertex],0)),1,1,"")</f>
        <v>7</v>
      </c>
      <c r="BL667" s="76" t="str">
        <f>REPLACE(INDEX(GroupVertices[Group],MATCH(Edges[[#This Row],[Vertex 2]],GroupVertices[Vertex],0)),1,1,"")</f>
        <v>7</v>
      </c>
      <c r="BM667" s="45">
        <v>0</v>
      </c>
      <c r="BN667" s="46">
        <v>0</v>
      </c>
      <c r="BO667" s="45">
        <v>0</v>
      </c>
      <c r="BP667" s="46">
        <v>0</v>
      </c>
      <c r="BQ667" s="45">
        <v>0</v>
      </c>
      <c r="BR667" s="46">
        <v>0</v>
      </c>
      <c r="BS667" s="45">
        <v>22</v>
      </c>
      <c r="BT667" s="46">
        <v>78.57142857142857</v>
      </c>
      <c r="BU667" s="45">
        <v>28</v>
      </c>
    </row>
    <row r="668" spans="1:73" ht="15">
      <c r="A668" s="61" t="s">
        <v>257</v>
      </c>
      <c r="B668" s="61" t="s">
        <v>228</v>
      </c>
      <c r="C668" s="62" t="s">
        <v>11697</v>
      </c>
      <c r="D668" s="63">
        <v>10</v>
      </c>
      <c r="E668" s="64" t="s">
        <v>136</v>
      </c>
      <c r="F668" s="65">
        <v>10</v>
      </c>
      <c r="G668" s="62"/>
      <c r="H668" s="66"/>
      <c r="I668" s="67"/>
      <c r="J668" s="67"/>
      <c r="K668" s="31" t="s">
        <v>65</v>
      </c>
      <c r="L668" s="75">
        <v>668</v>
      </c>
      <c r="M668" s="75"/>
      <c r="N668" s="69"/>
      <c r="O668" s="77" t="s">
        <v>539</v>
      </c>
      <c r="P668" s="79">
        <v>45162.183587962965</v>
      </c>
      <c r="Q668" s="77" t="s">
        <v>653</v>
      </c>
      <c r="R668" s="77">
        <v>3</v>
      </c>
      <c r="S668" s="77">
        <v>4</v>
      </c>
      <c r="T668" s="77">
        <v>0</v>
      </c>
      <c r="U668" s="77">
        <v>0</v>
      </c>
      <c r="V668" s="77">
        <v>150</v>
      </c>
      <c r="W668" s="81" t="s">
        <v>720</v>
      </c>
      <c r="X668" s="77"/>
      <c r="Y668" s="77"/>
      <c r="Z668" s="77" t="s">
        <v>815</v>
      </c>
      <c r="AA668" s="77" t="s">
        <v>842</v>
      </c>
      <c r="AB668" s="77" t="s">
        <v>852</v>
      </c>
      <c r="AC668" s="81" t="s">
        <v>855</v>
      </c>
      <c r="AD668" s="77" t="s">
        <v>859</v>
      </c>
      <c r="AE668" s="83" t="str">
        <f>HYPERLINK("https://twitter.com/pinakilaskar/status/1694566292316135748")</f>
        <v>https://twitter.com/pinakilaskar/status/1694566292316135748</v>
      </c>
      <c r="AF668" s="79">
        <v>45162.183587962965</v>
      </c>
      <c r="AG668" s="85">
        <v>45162</v>
      </c>
      <c r="AH668" s="81" t="s">
        <v>981</v>
      </c>
      <c r="AI668" s="77" t="b">
        <v>0</v>
      </c>
      <c r="AJ668" s="77"/>
      <c r="AK668" s="77"/>
      <c r="AL668" s="77"/>
      <c r="AM668" s="77"/>
      <c r="AN668" s="77"/>
      <c r="AO668" s="77"/>
      <c r="AP668" s="77"/>
      <c r="AQ668" s="77" t="s">
        <v>1021</v>
      </c>
      <c r="AR668" s="77"/>
      <c r="AS668" s="77"/>
      <c r="AT668" s="77"/>
      <c r="AU668" s="77"/>
      <c r="AV668" s="83" t="str">
        <f>HYPERLINK("https://pbs.twimg.com/tweet_video_thumb/F4RPB6NaYAAPHXj.jpg")</f>
        <v>https://pbs.twimg.com/tweet_video_thumb/F4RPB6NaYAAPHXj.jpg</v>
      </c>
      <c r="AW668" s="81" t="s">
        <v>1136</v>
      </c>
      <c r="AX668" s="81" t="s">
        <v>1136</v>
      </c>
      <c r="AY668" s="77"/>
      <c r="AZ668" s="81" t="s">
        <v>1190</v>
      </c>
      <c r="BA668" s="81" t="s">
        <v>1190</v>
      </c>
      <c r="BB668" s="81" t="s">
        <v>1190</v>
      </c>
      <c r="BC668" s="81" t="s">
        <v>1136</v>
      </c>
      <c r="BD668" s="81" t="s">
        <v>1213</v>
      </c>
      <c r="BE668" s="77"/>
      <c r="BF668" s="77"/>
      <c r="BG668" s="77"/>
      <c r="BH668" s="77"/>
      <c r="BI668" s="77"/>
      <c r="BJ668">
        <v>13</v>
      </c>
      <c r="BK668" s="76" t="str">
        <f>REPLACE(INDEX(GroupVertices[Group],MATCH(Edges[[#This Row],[Vertex 1]],GroupVertices[Vertex],0)),1,1,"")</f>
        <v>7</v>
      </c>
      <c r="BL668" s="76" t="str">
        <f>REPLACE(INDEX(GroupVertices[Group],MATCH(Edges[[#This Row],[Vertex 2]],GroupVertices[Vertex],0)),1,1,"")</f>
        <v>2</v>
      </c>
      <c r="BM668" s="45"/>
      <c r="BN668" s="46"/>
      <c r="BO668" s="45"/>
      <c r="BP668" s="46"/>
      <c r="BQ668" s="45"/>
      <c r="BR668" s="46"/>
      <c r="BS668" s="45"/>
      <c r="BT668" s="46"/>
      <c r="BU668" s="45"/>
    </row>
    <row r="669" spans="1:73" ht="15">
      <c r="A669" s="61" t="s">
        <v>257</v>
      </c>
      <c r="B669" s="61" t="s">
        <v>528</v>
      </c>
      <c r="C669" s="62" t="s">
        <v>11697</v>
      </c>
      <c r="D669" s="63">
        <v>10</v>
      </c>
      <c r="E669" s="64" t="s">
        <v>136</v>
      </c>
      <c r="F669" s="65">
        <v>10</v>
      </c>
      <c r="G669" s="62"/>
      <c r="H669" s="66"/>
      <c r="I669" s="67"/>
      <c r="J669" s="67"/>
      <c r="K669" s="31" t="s">
        <v>65</v>
      </c>
      <c r="L669" s="75">
        <v>669</v>
      </c>
      <c r="M669" s="75"/>
      <c r="N669" s="69"/>
      <c r="O669" s="77" t="s">
        <v>539</v>
      </c>
      <c r="P669" s="79">
        <v>45162.183587962965</v>
      </c>
      <c r="Q669" s="77" t="s">
        <v>653</v>
      </c>
      <c r="R669" s="77">
        <v>3</v>
      </c>
      <c r="S669" s="77">
        <v>4</v>
      </c>
      <c r="T669" s="77">
        <v>0</v>
      </c>
      <c r="U669" s="77">
        <v>0</v>
      </c>
      <c r="V669" s="77">
        <v>150</v>
      </c>
      <c r="W669" s="81" t="s">
        <v>720</v>
      </c>
      <c r="X669" s="77"/>
      <c r="Y669" s="77"/>
      <c r="Z669" s="77" t="s">
        <v>815</v>
      </c>
      <c r="AA669" s="77" t="s">
        <v>842</v>
      </c>
      <c r="AB669" s="77" t="s">
        <v>852</v>
      </c>
      <c r="AC669" s="81" t="s">
        <v>855</v>
      </c>
      <c r="AD669" s="77" t="s">
        <v>859</v>
      </c>
      <c r="AE669" s="83" t="str">
        <f>HYPERLINK("https://twitter.com/pinakilaskar/status/1694566292316135748")</f>
        <v>https://twitter.com/pinakilaskar/status/1694566292316135748</v>
      </c>
      <c r="AF669" s="79">
        <v>45162.183587962965</v>
      </c>
      <c r="AG669" s="85">
        <v>45162</v>
      </c>
      <c r="AH669" s="81" t="s">
        <v>981</v>
      </c>
      <c r="AI669" s="77" t="b">
        <v>0</v>
      </c>
      <c r="AJ669" s="77"/>
      <c r="AK669" s="77"/>
      <c r="AL669" s="77"/>
      <c r="AM669" s="77"/>
      <c r="AN669" s="77"/>
      <c r="AO669" s="77"/>
      <c r="AP669" s="77"/>
      <c r="AQ669" s="77" t="s">
        <v>1021</v>
      </c>
      <c r="AR669" s="77"/>
      <c r="AS669" s="77"/>
      <c r="AT669" s="77"/>
      <c r="AU669" s="77"/>
      <c r="AV669" s="83" t="str">
        <f>HYPERLINK("https://pbs.twimg.com/tweet_video_thumb/F4RPB6NaYAAPHXj.jpg")</f>
        <v>https://pbs.twimg.com/tweet_video_thumb/F4RPB6NaYAAPHXj.jpg</v>
      </c>
      <c r="AW669" s="81" t="s">
        <v>1136</v>
      </c>
      <c r="AX669" s="81" t="s">
        <v>1136</v>
      </c>
      <c r="AY669" s="77"/>
      <c r="AZ669" s="81" t="s">
        <v>1190</v>
      </c>
      <c r="BA669" s="81" t="s">
        <v>1190</v>
      </c>
      <c r="BB669" s="81" t="s">
        <v>1190</v>
      </c>
      <c r="BC669" s="81" t="s">
        <v>1136</v>
      </c>
      <c r="BD669" s="81" t="s">
        <v>1213</v>
      </c>
      <c r="BE669" s="77"/>
      <c r="BF669" s="77"/>
      <c r="BG669" s="77"/>
      <c r="BH669" s="77"/>
      <c r="BI669" s="77"/>
      <c r="BJ669">
        <v>8</v>
      </c>
      <c r="BK669" s="76" t="str">
        <f>REPLACE(INDEX(GroupVertices[Group],MATCH(Edges[[#This Row],[Vertex 1]],GroupVertices[Vertex],0)),1,1,"")</f>
        <v>7</v>
      </c>
      <c r="BL669" s="76" t="str">
        <f>REPLACE(INDEX(GroupVertices[Group],MATCH(Edges[[#This Row],[Vertex 2]],GroupVertices[Vertex],0)),1,1,"")</f>
        <v>7</v>
      </c>
      <c r="BM669" s="45"/>
      <c r="BN669" s="46"/>
      <c r="BO669" s="45"/>
      <c r="BP669" s="46"/>
      <c r="BQ669" s="45"/>
      <c r="BR669" s="46"/>
      <c r="BS669" s="45"/>
      <c r="BT669" s="46"/>
      <c r="BU669" s="45"/>
    </row>
    <row r="670" spans="1:73" ht="15">
      <c r="A670" s="61" t="s">
        <v>257</v>
      </c>
      <c r="B670" s="61" t="s">
        <v>529</v>
      </c>
      <c r="C670" s="62" t="s">
        <v>11697</v>
      </c>
      <c r="D670" s="63">
        <v>10</v>
      </c>
      <c r="E670" s="64" t="s">
        <v>136</v>
      </c>
      <c r="F670" s="65">
        <v>10</v>
      </c>
      <c r="G670" s="62"/>
      <c r="H670" s="66"/>
      <c r="I670" s="67"/>
      <c r="J670" s="67"/>
      <c r="K670" s="31" t="s">
        <v>65</v>
      </c>
      <c r="L670" s="75">
        <v>670</v>
      </c>
      <c r="M670" s="75"/>
      <c r="N670" s="69"/>
      <c r="O670" s="77" t="s">
        <v>539</v>
      </c>
      <c r="P670" s="79">
        <v>45162.183587962965</v>
      </c>
      <c r="Q670" s="77" t="s">
        <v>653</v>
      </c>
      <c r="R670" s="77">
        <v>3</v>
      </c>
      <c r="S670" s="77">
        <v>4</v>
      </c>
      <c r="T670" s="77">
        <v>0</v>
      </c>
      <c r="U670" s="77">
        <v>0</v>
      </c>
      <c r="V670" s="77">
        <v>150</v>
      </c>
      <c r="W670" s="81" t="s">
        <v>720</v>
      </c>
      <c r="X670" s="77"/>
      <c r="Y670" s="77"/>
      <c r="Z670" s="77" t="s">
        <v>815</v>
      </c>
      <c r="AA670" s="77" t="s">
        <v>842</v>
      </c>
      <c r="AB670" s="77" t="s">
        <v>852</v>
      </c>
      <c r="AC670" s="81" t="s">
        <v>855</v>
      </c>
      <c r="AD670" s="77" t="s">
        <v>859</v>
      </c>
      <c r="AE670" s="83" t="str">
        <f>HYPERLINK("https://twitter.com/pinakilaskar/status/1694566292316135748")</f>
        <v>https://twitter.com/pinakilaskar/status/1694566292316135748</v>
      </c>
      <c r="AF670" s="79">
        <v>45162.183587962965</v>
      </c>
      <c r="AG670" s="85">
        <v>45162</v>
      </c>
      <c r="AH670" s="81" t="s">
        <v>981</v>
      </c>
      <c r="AI670" s="77" t="b">
        <v>0</v>
      </c>
      <c r="AJ670" s="77"/>
      <c r="AK670" s="77"/>
      <c r="AL670" s="77"/>
      <c r="AM670" s="77"/>
      <c r="AN670" s="77"/>
      <c r="AO670" s="77"/>
      <c r="AP670" s="77"/>
      <c r="AQ670" s="77" t="s">
        <v>1021</v>
      </c>
      <c r="AR670" s="77"/>
      <c r="AS670" s="77"/>
      <c r="AT670" s="77"/>
      <c r="AU670" s="77"/>
      <c r="AV670" s="83" t="str">
        <f>HYPERLINK("https://pbs.twimg.com/tweet_video_thumb/F4RPB6NaYAAPHXj.jpg")</f>
        <v>https://pbs.twimg.com/tweet_video_thumb/F4RPB6NaYAAPHXj.jpg</v>
      </c>
      <c r="AW670" s="81" t="s">
        <v>1136</v>
      </c>
      <c r="AX670" s="81" t="s">
        <v>1136</v>
      </c>
      <c r="AY670" s="77"/>
      <c r="AZ670" s="81" t="s">
        <v>1190</v>
      </c>
      <c r="BA670" s="81" t="s">
        <v>1190</v>
      </c>
      <c r="BB670" s="81" t="s">
        <v>1190</v>
      </c>
      <c r="BC670" s="81" t="s">
        <v>1136</v>
      </c>
      <c r="BD670" s="81" t="s">
        <v>1213</v>
      </c>
      <c r="BE670" s="77"/>
      <c r="BF670" s="77"/>
      <c r="BG670" s="77"/>
      <c r="BH670" s="77"/>
      <c r="BI670" s="77"/>
      <c r="BJ670">
        <v>13</v>
      </c>
      <c r="BK670" s="76" t="str">
        <f>REPLACE(INDEX(GroupVertices[Group],MATCH(Edges[[#This Row],[Vertex 1]],GroupVertices[Vertex],0)),1,1,"")</f>
        <v>7</v>
      </c>
      <c r="BL670" s="76" t="str">
        <f>REPLACE(INDEX(GroupVertices[Group],MATCH(Edges[[#This Row],[Vertex 2]],GroupVertices[Vertex],0)),1,1,"")</f>
        <v>7</v>
      </c>
      <c r="BM670" s="45"/>
      <c r="BN670" s="46"/>
      <c r="BO670" s="45"/>
      <c r="BP670" s="46"/>
      <c r="BQ670" s="45"/>
      <c r="BR670" s="46"/>
      <c r="BS670" s="45"/>
      <c r="BT670" s="46"/>
      <c r="BU670" s="45"/>
    </row>
    <row r="671" spans="1:73" ht="15">
      <c r="A671" s="61" t="s">
        <v>257</v>
      </c>
      <c r="B671" s="61" t="s">
        <v>530</v>
      </c>
      <c r="C671" s="62" t="s">
        <v>11697</v>
      </c>
      <c r="D671" s="63">
        <v>10</v>
      </c>
      <c r="E671" s="64" t="s">
        <v>136</v>
      </c>
      <c r="F671" s="65">
        <v>10</v>
      </c>
      <c r="G671" s="62"/>
      <c r="H671" s="66"/>
      <c r="I671" s="67"/>
      <c r="J671" s="67"/>
      <c r="K671" s="31" t="s">
        <v>65</v>
      </c>
      <c r="L671" s="75">
        <v>671</v>
      </c>
      <c r="M671" s="75"/>
      <c r="N671" s="69"/>
      <c r="O671" s="77" t="s">
        <v>539</v>
      </c>
      <c r="P671" s="79">
        <v>45162.183587962965</v>
      </c>
      <c r="Q671" s="77" t="s">
        <v>653</v>
      </c>
      <c r="R671" s="77">
        <v>3</v>
      </c>
      <c r="S671" s="77">
        <v>4</v>
      </c>
      <c r="T671" s="77">
        <v>0</v>
      </c>
      <c r="U671" s="77">
        <v>0</v>
      </c>
      <c r="V671" s="77">
        <v>150</v>
      </c>
      <c r="W671" s="81" t="s">
        <v>720</v>
      </c>
      <c r="X671" s="77"/>
      <c r="Y671" s="77"/>
      <c r="Z671" s="77" t="s">
        <v>815</v>
      </c>
      <c r="AA671" s="77" t="s">
        <v>842</v>
      </c>
      <c r="AB671" s="77" t="s">
        <v>852</v>
      </c>
      <c r="AC671" s="81" t="s">
        <v>855</v>
      </c>
      <c r="AD671" s="77" t="s">
        <v>859</v>
      </c>
      <c r="AE671" s="83" t="str">
        <f>HYPERLINK("https://twitter.com/pinakilaskar/status/1694566292316135748")</f>
        <v>https://twitter.com/pinakilaskar/status/1694566292316135748</v>
      </c>
      <c r="AF671" s="79">
        <v>45162.183587962965</v>
      </c>
      <c r="AG671" s="85">
        <v>45162</v>
      </c>
      <c r="AH671" s="81" t="s">
        <v>981</v>
      </c>
      <c r="AI671" s="77" t="b">
        <v>0</v>
      </c>
      <c r="AJ671" s="77"/>
      <c r="AK671" s="77"/>
      <c r="AL671" s="77"/>
      <c r="AM671" s="77"/>
      <c r="AN671" s="77"/>
      <c r="AO671" s="77"/>
      <c r="AP671" s="77"/>
      <c r="AQ671" s="77" t="s">
        <v>1021</v>
      </c>
      <c r="AR671" s="77"/>
      <c r="AS671" s="77"/>
      <c r="AT671" s="77"/>
      <c r="AU671" s="77"/>
      <c r="AV671" s="83" t="str">
        <f>HYPERLINK("https://pbs.twimg.com/tweet_video_thumb/F4RPB6NaYAAPHXj.jpg")</f>
        <v>https://pbs.twimg.com/tweet_video_thumb/F4RPB6NaYAAPHXj.jpg</v>
      </c>
      <c r="AW671" s="81" t="s">
        <v>1136</v>
      </c>
      <c r="AX671" s="81" t="s">
        <v>1136</v>
      </c>
      <c r="AY671" s="77"/>
      <c r="AZ671" s="81" t="s">
        <v>1190</v>
      </c>
      <c r="BA671" s="81" t="s">
        <v>1190</v>
      </c>
      <c r="BB671" s="81" t="s">
        <v>1190</v>
      </c>
      <c r="BC671" s="81" t="s">
        <v>1136</v>
      </c>
      <c r="BD671" s="81" t="s">
        <v>1213</v>
      </c>
      <c r="BE671" s="77"/>
      <c r="BF671" s="77"/>
      <c r="BG671" s="77"/>
      <c r="BH671" s="77"/>
      <c r="BI671" s="77"/>
      <c r="BJ671">
        <v>10</v>
      </c>
      <c r="BK671" s="76" t="str">
        <f>REPLACE(INDEX(GroupVertices[Group],MATCH(Edges[[#This Row],[Vertex 1]],GroupVertices[Vertex],0)),1,1,"")</f>
        <v>7</v>
      </c>
      <c r="BL671" s="76" t="str">
        <f>REPLACE(INDEX(GroupVertices[Group],MATCH(Edges[[#This Row],[Vertex 2]],GroupVertices[Vertex],0)),1,1,"")</f>
        <v>7</v>
      </c>
      <c r="BM671" s="45"/>
      <c r="BN671" s="46"/>
      <c r="BO671" s="45"/>
      <c r="BP671" s="46"/>
      <c r="BQ671" s="45"/>
      <c r="BR671" s="46"/>
      <c r="BS671" s="45"/>
      <c r="BT671" s="46"/>
      <c r="BU671" s="45"/>
    </row>
    <row r="672" spans="1:73" ht="15">
      <c r="A672" s="61" t="s">
        <v>257</v>
      </c>
      <c r="B672" s="61" t="s">
        <v>531</v>
      </c>
      <c r="C672" s="62" t="s">
        <v>11697</v>
      </c>
      <c r="D672" s="63">
        <v>10</v>
      </c>
      <c r="E672" s="64" t="s">
        <v>136</v>
      </c>
      <c r="F672" s="65">
        <v>10</v>
      </c>
      <c r="G672" s="62"/>
      <c r="H672" s="66"/>
      <c r="I672" s="67"/>
      <c r="J672" s="67"/>
      <c r="K672" s="31" t="s">
        <v>65</v>
      </c>
      <c r="L672" s="75">
        <v>672</v>
      </c>
      <c r="M672" s="75"/>
      <c r="N672" s="69"/>
      <c r="O672" s="77" t="s">
        <v>539</v>
      </c>
      <c r="P672" s="79">
        <v>45162.183587962965</v>
      </c>
      <c r="Q672" s="77" t="s">
        <v>653</v>
      </c>
      <c r="R672" s="77">
        <v>3</v>
      </c>
      <c r="S672" s="77">
        <v>4</v>
      </c>
      <c r="T672" s="77">
        <v>0</v>
      </c>
      <c r="U672" s="77">
        <v>0</v>
      </c>
      <c r="V672" s="77">
        <v>150</v>
      </c>
      <c r="W672" s="81" t="s">
        <v>720</v>
      </c>
      <c r="X672" s="77"/>
      <c r="Y672" s="77"/>
      <c r="Z672" s="77" t="s">
        <v>815</v>
      </c>
      <c r="AA672" s="77" t="s">
        <v>842</v>
      </c>
      <c r="AB672" s="77" t="s">
        <v>852</v>
      </c>
      <c r="AC672" s="81" t="s">
        <v>855</v>
      </c>
      <c r="AD672" s="77" t="s">
        <v>859</v>
      </c>
      <c r="AE672" s="83" t="str">
        <f>HYPERLINK("https://twitter.com/pinakilaskar/status/1694566292316135748")</f>
        <v>https://twitter.com/pinakilaskar/status/1694566292316135748</v>
      </c>
      <c r="AF672" s="79">
        <v>45162.183587962965</v>
      </c>
      <c r="AG672" s="85">
        <v>45162</v>
      </c>
      <c r="AH672" s="81" t="s">
        <v>981</v>
      </c>
      <c r="AI672" s="77" t="b">
        <v>0</v>
      </c>
      <c r="AJ672" s="77"/>
      <c r="AK672" s="77"/>
      <c r="AL672" s="77"/>
      <c r="AM672" s="77"/>
      <c r="AN672" s="77"/>
      <c r="AO672" s="77"/>
      <c r="AP672" s="77"/>
      <c r="AQ672" s="77" t="s">
        <v>1021</v>
      </c>
      <c r="AR672" s="77"/>
      <c r="AS672" s="77"/>
      <c r="AT672" s="77"/>
      <c r="AU672" s="77"/>
      <c r="AV672" s="83" t="str">
        <f>HYPERLINK("https://pbs.twimg.com/tweet_video_thumb/F4RPB6NaYAAPHXj.jpg")</f>
        <v>https://pbs.twimg.com/tweet_video_thumb/F4RPB6NaYAAPHXj.jpg</v>
      </c>
      <c r="AW672" s="81" t="s">
        <v>1136</v>
      </c>
      <c r="AX672" s="81" t="s">
        <v>1136</v>
      </c>
      <c r="AY672" s="77"/>
      <c r="AZ672" s="81" t="s">
        <v>1190</v>
      </c>
      <c r="BA672" s="81" t="s">
        <v>1190</v>
      </c>
      <c r="BB672" s="81" t="s">
        <v>1190</v>
      </c>
      <c r="BC672" s="81" t="s">
        <v>1136</v>
      </c>
      <c r="BD672" s="81" t="s">
        <v>1213</v>
      </c>
      <c r="BE672" s="77"/>
      <c r="BF672" s="77"/>
      <c r="BG672" s="77"/>
      <c r="BH672" s="77"/>
      <c r="BI672" s="77"/>
      <c r="BJ672">
        <v>9</v>
      </c>
      <c r="BK672" s="76" t="str">
        <f>REPLACE(INDEX(GroupVertices[Group],MATCH(Edges[[#This Row],[Vertex 1]],GroupVertices[Vertex],0)),1,1,"")</f>
        <v>7</v>
      </c>
      <c r="BL672" s="76" t="str">
        <f>REPLACE(INDEX(GroupVertices[Group],MATCH(Edges[[#This Row],[Vertex 2]],GroupVertices[Vertex],0)),1,1,"")</f>
        <v>7</v>
      </c>
      <c r="BM672" s="45"/>
      <c r="BN672" s="46"/>
      <c r="BO672" s="45"/>
      <c r="BP672" s="46"/>
      <c r="BQ672" s="45"/>
      <c r="BR672" s="46"/>
      <c r="BS672" s="45"/>
      <c r="BT672" s="46"/>
      <c r="BU672" s="45"/>
    </row>
    <row r="673" spans="1:73" ht="15">
      <c r="A673" s="61" t="s">
        <v>257</v>
      </c>
      <c r="B673" s="61" t="s">
        <v>532</v>
      </c>
      <c r="C673" s="62" t="s">
        <v>11697</v>
      </c>
      <c r="D673" s="63">
        <v>10</v>
      </c>
      <c r="E673" s="64" t="s">
        <v>136</v>
      </c>
      <c r="F673" s="65">
        <v>10</v>
      </c>
      <c r="G673" s="62"/>
      <c r="H673" s="66"/>
      <c r="I673" s="67"/>
      <c r="J673" s="67"/>
      <c r="K673" s="31" t="s">
        <v>65</v>
      </c>
      <c r="L673" s="75">
        <v>673</v>
      </c>
      <c r="M673" s="75"/>
      <c r="N673" s="69"/>
      <c r="O673" s="77" t="s">
        <v>539</v>
      </c>
      <c r="P673" s="79">
        <v>45162.183587962965</v>
      </c>
      <c r="Q673" s="77" t="s">
        <v>653</v>
      </c>
      <c r="R673" s="77">
        <v>3</v>
      </c>
      <c r="S673" s="77">
        <v>4</v>
      </c>
      <c r="T673" s="77">
        <v>0</v>
      </c>
      <c r="U673" s="77">
        <v>0</v>
      </c>
      <c r="V673" s="77">
        <v>150</v>
      </c>
      <c r="W673" s="81" t="s">
        <v>720</v>
      </c>
      <c r="X673" s="77"/>
      <c r="Y673" s="77"/>
      <c r="Z673" s="77" t="s">
        <v>815</v>
      </c>
      <c r="AA673" s="77" t="s">
        <v>842</v>
      </c>
      <c r="AB673" s="77" t="s">
        <v>852</v>
      </c>
      <c r="AC673" s="81" t="s">
        <v>855</v>
      </c>
      <c r="AD673" s="77" t="s">
        <v>859</v>
      </c>
      <c r="AE673" s="83" t="str">
        <f>HYPERLINK("https://twitter.com/pinakilaskar/status/1694566292316135748")</f>
        <v>https://twitter.com/pinakilaskar/status/1694566292316135748</v>
      </c>
      <c r="AF673" s="79">
        <v>45162.183587962965</v>
      </c>
      <c r="AG673" s="85">
        <v>45162</v>
      </c>
      <c r="AH673" s="81" t="s">
        <v>981</v>
      </c>
      <c r="AI673" s="77" t="b">
        <v>0</v>
      </c>
      <c r="AJ673" s="77"/>
      <c r="AK673" s="77"/>
      <c r="AL673" s="77"/>
      <c r="AM673" s="77"/>
      <c r="AN673" s="77"/>
      <c r="AO673" s="77"/>
      <c r="AP673" s="77"/>
      <c r="AQ673" s="77" t="s">
        <v>1021</v>
      </c>
      <c r="AR673" s="77"/>
      <c r="AS673" s="77"/>
      <c r="AT673" s="77"/>
      <c r="AU673" s="77"/>
      <c r="AV673" s="83" t="str">
        <f>HYPERLINK("https://pbs.twimg.com/tweet_video_thumb/F4RPB6NaYAAPHXj.jpg")</f>
        <v>https://pbs.twimg.com/tweet_video_thumb/F4RPB6NaYAAPHXj.jpg</v>
      </c>
      <c r="AW673" s="81" t="s">
        <v>1136</v>
      </c>
      <c r="AX673" s="81" t="s">
        <v>1136</v>
      </c>
      <c r="AY673" s="77"/>
      <c r="AZ673" s="81" t="s">
        <v>1190</v>
      </c>
      <c r="BA673" s="81" t="s">
        <v>1190</v>
      </c>
      <c r="BB673" s="81" t="s">
        <v>1190</v>
      </c>
      <c r="BC673" s="81" t="s">
        <v>1136</v>
      </c>
      <c r="BD673" s="81" t="s">
        <v>1213</v>
      </c>
      <c r="BE673" s="77"/>
      <c r="BF673" s="77"/>
      <c r="BG673" s="77"/>
      <c r="BH673" s="77"/>
      <c r="BI673" s="77"/>
      <c r="BJ673">
        <v>13</v>
      </c>
      <c r="BK673" s="76" t="str">
        <f>REPLACE(INDEX(GroupVertices[Group],MATCH(Edges[[#This Row],[Vertex 1]],GroupVertices[Vertex],0)),1,1,"")</f>
        <v>7</v>
      </c>
      <c r="BL673" s="76" t="str">
        <f>REPLACE(INDEX(GroupVertices[Group],MATCH(Edges[[#This Row],[Vertex 2]],GroupVertices[Vertex],0)),1,1,"")</f>
        <v>7</v>
      </c>
      <c r="BM673" s="45"/>
      <c r="BN673" s="46"/>
      <c r="BO673" s="45"/>
      <c r="BP673" s="46"/>
      <c r="BQ673" s="45"/>
      <c r="BR673" s="46"/>
      <c r="BS673" s="45"/>
      <c r="BT673" s="46"/>
      <c r="BU673" s="45"/>
    </row>
    <row r="674" spans="1:73" ht="15">
      <c r="A674" s="61" t="s">
        <v>257</v>
      </c>
      <c r="B674" s="61" t="s">
        <v>533</v>
      </c>
      <c r="C674" s="62" t="s">
        <v>11697</v>
      </c>
      <c r="D674" s="63">
        <v>10</v>
      </c>
      <c r="E674" s="64" t="s">
        <v>136</v>
      </c>
      <c r="F674" s="65">
        <v>10</v>
      </c>
      <c r="G674" s="62"/>
      <c r="H674" s="66"/>
      <c r="I674" s="67"/>
      <c r="J674" s="67"/>
      <c r="K674" s="31" t="s">
        <v>65</v>
      </c>
      <c r="L674" s="75">
        <v>674</v>
      </c>
      <c r="M674" s="75"/>
      <c r="N674" s="69"/>
      <c r="O674" s="77" t="s">
        <v>539</v>
      </c>
      <c r="P674" s="79">
        <v>45162.183587962965</v>
      </c>
      <c r="Q674" s="77" t="s">
        <v>653</v>
      </c>
      <c r="R674" s="77">
        <v>3</v>
      </c>
      <c r="S674" s="77">
        <v>4</v>
      </c>
      <c r="T674" s="77">
        <v>0</v>
      </c>
      <c r="U674" s="77">
        <v>0</v>
      </c>
      <c r="V674" s="77">
        <v>150</v>
      </c>
      <c r="W674" s="81" t="s">
        <v>720</v>
      </c>
      <c r="X674" s="77"/>
      <c r="Y674" s="77"/>
      <c r="Z674" s="77" t="s">
        <v>815</v>
      </c>
      <c r="AA674" s="77" t="s">
        <v>842</v>
      </c>
      <c r="AB674" s="77" t="s">
        <v>852</v>
      </c>
      <c r="AC674" s="81" t="s">
        <v>855</v>
      </c>
      <c r="AD674" s="77" t="s">
        <v>859</v>
      </c>
      <c r="AE674" s="83" t="str">
        <f>HYPERLINK("https://twitter.com/pinakilaskar/status/1694566292316135748")</f>
        <v>https://twitter.com/pinakilaskar/status/1694566292316135748</v>
      </c>
      <c r="AF674" s="79">
        <v>45162.183587962965</v>
      </c>
      <c r="AG674" s="85">
        <v>45162</v>
      </c>
      <c r="AH674" s="81" t="s">
        <v>981</v>
      </c>
      <c r="AI674" s="77" t="b">
        <v>0</v>
      </c>
      <c r="AJ674" s="77"/>
      <c r="AK674" s="77"/>
      <c r="AL674" s="77"/>
      <c r="AM674" s="77"/>
      <c r="AN674" s="77"/>
      <c r="AO674" s="77"/>
      <c r="AP674" s="77"/>
      <c r="AQ674" s="77" t="s">
        <v>1021</v>
      </c>
      <c r="AR674" s="77"/>
      <c r="AS674" s="77"/>
      <c r="AT674" s="77"/>
      <c r="AU674" s="77"/>
      <c r="AV674" s="83" t="str">
        <f>HYPERLINK("https://pbs.twimg.com/tweet_video_thumb/F4RPB6NaYAAPHXj.jpg")</f>
        <v>https://pbs.twimg.com/tweet_video_thumb/F4RPB6NaYAAPHXj.jpg</v>
      </c>
      <c r="AW674" s="81" t="s">
        <v>1136</v>
      </c>
      <c r="AX674" s="81" t="s">
        <v>1136</v>
      </c>
      <c r="AY674" s="77"/>
      <c r="AZ674" s="81" t="s">
        <v>1190</v>
      </c>
      <c r="BA674" s="81" t="s">
        <v>1190</v>
      </c>
      <c r="BB674" s="81" t="s">
        <v>1190</v>
      </c>
      <c r="BC674" s="81" t="s">
        <v>1136</v>
      </c>
      <c r="BD674" s="81" t="s">
        <v>1213</v>
      </c>
      <c r="BE674" s="77"/>
      <c r="BF674" s="77"/>
      <c r="BG674" s="77"/>
      <c r="BH674" s="77"/>
      <c r="BI674" s="77"/>
      <c r="BJ674">
        <v>13</v>
      </c>
      <c r="BK674" s="76" t="str">
        <f>REPLACE(INDEX(GroupVertices[Group],MATCH(Edges[[#This Row],[Vertex 1]],GroupVertices[Vertex],0)),1,1,"")</f>
        <v>7</v>
      </c>
      <c r="BL674" s="76" t="str">
        <f>REPLACE(INDEX(GroupVertices[Group],MATCH(Edges[[#This Row],[Vertex 2]],GroupVertices[Vertex],0)),1,1,"")</f>
        <v>7</v>
      </c>
      <c r="BM674" s="45"/>
      <c r="BN674" s="46"/>
      <c r="BO674" s="45"/>
      <c r="BP674" s="46"/>
      <c r="BQ674" s="45"/>
      <c r="BR674" s="46"/>
      <c r="BS674" s="45"/>
      <c r="BT674" s="46"/>
      <c r="BU674" s="45"/>
    </row>
    <row r="675" spans="1:73" ht="15">
      <c r="A675" s="61" t="s">
        <v>257</v>
      </c>
      <c r="B675" s="61" t="s">
        <v>535</v>
      </c>
      <c r="C675" s="62" t="s">
        <v>11697</v>
      </c>
      <c r="D675" s="63">
        <v>10</v>
      </c>
      <c r="E675" s="64" t="s">
        <v>136</v>
      </c>
      <c r="F675" s="65">
        <v>10</v>
      </c>
      <c r="G675" s="62"/>
      <c r="H675" s="66"/>
      <c r="I675" s="67"/>
      <c r="J675" s="67"/>
      <c r="K675" s="31" t="s">
        <v>65</v>
      </c>
      <c r="L675" s="75">
        <v>675</v>
      </c>
      <c r="M675" s="75"/>
      <c r="N675" s="69"/>
      <c r="O675" s="77" t="s">
        <v>539</v>
      </c>
      <c r="P675" s="79">
        <v>45162.183587962965</v>
      </c>
      <c r="Q675" s="77" t="s">
        <v>653</v>
      </c>
      <c r="R675" s="77">
        <v>3</v>
      </c>
      <c r="S675" s="77">
        <v>4</v>
      </c>
      <c r="T675" s="77">
        <v>0</v>
      </c>
      <c r="U675" s="77">
        <v>0</v>
      </c>
      <c r="V675" s="77">
        <v>150</v>
      </c>
      <c r="W675" s="81" t="s">
        <v>720</v>
      </c>
      <c r="X675" s="77"/>
      <c r="Y675" s="77"/>
      <c r="Z675" s="77" t="s">
        <v>815</v>
      </c>
      <c r="AA675" s="77" t="s">
        <v>842</v>
      </c>
      <c r="AB675" s="77" t="s">
        <v>852</v>
      </c>
      <c r="AC675" s="81" t="s">
        <v>855</v>
      </c>
      <c r="AD675" s="77" t="s">
        <v>859</v>
      </c>
      <c r="AE675" s="83" t="str">
        <f>HYPERLINK("https://twitter.com/pinakilaskar/status/1694566292316135748")</f>
        <v>https://twitter.com/pinakilaskar/status/1694566292316135748</v>
      </c>
      <c r="AF675" s="79">
        <v>45162.183587962965</v>
      </c>
      <c r="AG675" s="85">
        <v>45162</v>
      </c>
      <c r="AH675" s="81" t="s">
        <v>981</v>
      </c>
      <c r="AI675" s="77" t="b">
        <v>0</v>
      </c>
      <c r="AJ675" s="77"/>
      <c r="AK675" s="77"/>
      <c r="AL675" s="77"/>
      <c r="AM675" s="77"/>
      <c r="AN675" s="77"/>
      <c r="AO675" s="77"/>
      <c r="AP675" s="77"/>
      <c r="AQ675" s="77" t="s">
        <v>1021</v>
      </c>
      <c r="AR675" s="77"/>
      <c r="AS675" s="77"/>
      <c r="AT675" s="77"/>
      <c r="AU675" s="77"/>
      <c r="AV675" s="83" t="str">
        <f>HYPERLINK("https://pbs.twimg.com/tweet_video_thumb/F4RPB6NaYAAPHXj.jpg")</f>
        <v>https://pbs.twimg.com/tweet_video_thumb/F4RPB6NaYAAPHXj.jpg</v>
      </c>
      <c r="AW675" s="81" t="s">
        <v>1136</v>
      </c>
      <c r="AX675" s="81" t="s">
        <v>1136</v>
      </c>
      <c r="AY675" s="77"/>
      <c r="AZ675" s="81" t="s">
        <v>1190</v>
      </c>
      <c r="BA675" s="81" t="s">
        <v>1190</v>
      </c>
      <c r="BB675" s="81" t="s">
        <v>1190</v>
      </c>
      <c r="BC675" s="81" t="s">
        <v>1136</v>
      </c>
      <c r="BD675" s="81" t="s">
        <v>1213</v>
      </c>
      <c r="BE675" s="77"/>
      <c r="BF675" s="77"/>
      <c r="BG675" s="77"/>
      <c r="BH675" s="77"/>
      <c r="BI675" s="77"/>
      <c r="BJ675">
        <v>13</v>
      </c>
      <c r="BK675" s="76" t="str">
        <f>REPLACE(INDEX(GroupVertices[Group],MATCH(Edges[[#This Row],[Vertex 1]],GroupVertices[Vertex],0)),1,1,"")</f>
        <v>7</v>
      </c>
      <c r="BL675" s="76" t="str">
        <f>REPLACE(INDEX(GroupVertices[Group],MATCH(Edges[[#This Row],[Vertex 2]],GroupVertices[Vertex],0)),1,1,"")</f>
        <v>7</v>
      </c>
      <c r="BM675" s="45"/>
      <c r="BN675" s="46"/>
      <c r="BO675" s="45"/>
      <c r="BP675" s="46"/>
      <c r="BQ675" s="45"/>
      <c r="BR675" s="46"/>
      <c r="BS675" s="45"/>
      <c r="BT675" s="46"/>
      <c r="BU675" s="45"/>
    </row>
    <row r="676" spans="1:73" ht="15">
      <c r="A676" s="61" t="s">
        <v>257</v>
      </c>
      <c r="B676" s="61" t="s">
        <v>537</v>
      </c>
      <c r="C676" s="62" t="s">
        <v>11697</v>
      </c>
      <c r="D676" s="63">
        <v>10</v>
      </c>
      <c r="E676" s="64" t="s">
        <v>136</v>
      </c>
      <c r="F676" s="65">
        <v>10</v>
      </c>
      <c r="G676" s="62"/>
      <c r="H676" s="66"/>
      <c r="I676" s="67"/>
      <c r="J676" s="67"/>
      <c r="K676" s="31" t="s">
        <v>65</v>
      </c>
      <c r="L676" s="75">
        <v>676</v>
      </c>
      <c r="M676" s="75"/>
      <c r="N676" s="69"/>
      <c r="O676" s="77" t="s">
        <v>539</v>
      </c>
      <c r="P676" s="79">
        <v>45162.183587962965</v>
      </c>
      <c r="Q676" s="77" t="s">
        <v>653</v>
      </c>
      <c r="R676" s="77">
        <v>3</v>
      </c>
      <c r="S676" s="77">
        <v>4</v>
      </c>
      <c r="T676" s="77">
        <v>0</v>
      </c>
      <c r="U676" s="77">
        <v>0</v>
      </c>
      <c r="V676" s="77">
        <v>150</v>
      </c>
      <c r="W676" s="81" t="s">
        <v>720</v>
      </c>
      <c r="X676" s="77"/>
      <c r="Y676" s="77"/>
      <c r="Z676" s="77" t="s">
        <v>815</v>
      </c>
      <c r="AA676" s="77" t="s">
        <v>842</v>
      </c>
      <c r="AB676" s="77" t="s">
        <v>852</v>
      </c>
      <c r="AC676" s="81" t="s">
        <v>855</v>
      </c>
      <c r="AD676" s="77" t="s">
        <v>859</v>
      </c>
      <c r="AE676" s="83" t="str">
        <f>HYPERLINK("https://twitter.com/pinakilaskar/status/1694566292316135748")</f>
        <v>https://twitter.com/pinakilaskar/status/1694566292316135748</v>
      </c>
      <c r="AF676" s="79">
        <v>45162.183587962965</v>
      </c>
      <c r="AG676" s="85">
        <v>45162</v>
      </c>
      <c r="AH676" s="81" t="s">
        <v>981</v>
      </c>
      <c r="AI676" s="77" t="b">
        <v>0</v>
      </c>
      <c r="AJ676" s="77"/>
      <c r="AK676" s="77"/>
      <c r="AL676" s="77"/>
      <c r="AM676" s="77"/>
      <c r="AN676" s="77"/>
      <c r="AO676" s="77"/>
      <c r="AP676" s="77"/>
      <c r="AQ676" s="77" t="s">
        <v>1021</v>
      </c>
      <c r="AR676" s="77"/>
      <c r="AS676" s="77"/>
      <c r="AT676" s="77"/>
      <c r="AU676" s="77"/>
      <c r="AV676" s="83" t="str">
        <f>HYPERLINK("https://pbs.twimg.com/tweet_video_thumb/F4RPB6NaYAAPHXj.jpg")</f>
        <v>https://pbs.twimg.com/tweet_video_thumb/F4RPB6NaYAAPHXj.jpg</v>
      </c>
      <c r="AW676" s="81" t="s">
        <v>1136</v>
      </c>
      <c r="AX676" s="81" t="s">
        <v>1136</v>
      </c>
      <c r="AY676" s="77"/>
      <c r="AZ676" s="81" t="s">
        <v>1190</v>
      </c>
      <c r="BA676" s="81" t="s">
        <v>1190</v>
      </c>
      <c r="BB676" s="81" t="s">
        <v>1190</v>
      </c>
      <c r="BC676" s="81" t="s">
        <v>1136</v>
      </c>
      <c r="BD676" s="81" t="s">
        <v>1213</v>
      </c>
      <c r="BE676" s="77"/>
      <c r="BF676" s="77"/>
      <c r="BG676" s="77"/>
      <c r="BH676" s="77"/>
      <c r="BI676" s="77"/>
      <c r="BJ676">
        <v>10</v>
      </c>
      <c r="BK676" s="76" t="str">
        <f>REPLACE(INDEX(GroupVertices[Group],MATCH(Edges[[#This Row],[Vertex 1]],GroupVertices[Vertex],0)),1,1,"")</f>
        <v>7</v>
      </c>
      <c r="BL676" s="76" t="str">
        <f>REPLACE(INDEX(GroupVertices[Group],MATCH(Edges[[#This Row],[Vertex 2]],GroupVertices[Vertex],0)),1,1,"")</f>
        <v>7</v>
      </c>
      <c r="BM676" s="45"/>
      <c r="BN676" s="46"/>
      <c r="BO676" s="45"/>
      <c r="BP676" s="46"/>
      <c r="BQ676" s="45"/>
      <c r="BR676" s="46"/>
      <c r="BS676" s="45"/>
      <c r="BT676" s="46"/>
      <c r="BU676" s="45"/>
    </row>
    <row r="677" spans="1:73" ht="15">
      <c r="A677" s="61" t="s">
        <v>257</v>
      </c>
      <c r="B677" s="61" t="s">
        <v>538</v>
      </c>
      <c r="C677" s="62" t="s">
        <v>11697</v>
      </c>
      <c r="D677" s="63">
        <v>10</v>
      </c>
      <c r="E677" s="64" t="s">
        <v>136</v>
      </c>
      <c r="F677" s="65">
        <v>10</v>
      </c>
      <c r="G677" s="62"/>
      <c r="H677" s="66"/>
      <c r="I677" s="67"/>
      <c r="J677" s="67"/>
      <c r="K677" s="31" t="s">
        <v>65</v>
      </c>
      <c r="L677" s="75">
        <v>677</v>
      </c>
      <c r="M677" s="75"/>
      <c r="N677" s="69"/>
      <c r="O677" s="77" t="s">
        <v>539</v>
      </c>
      <c r="P677" s="79">
        <v>45162.183587962965</v>
      </c>
      <c r="Q677" s="77" t="s">
        <v>653</v>
      </c>
      <c r="R677" s="77">
        <v>3</v>
      </c>
      <c r="S677" s="77">
        <v>4</v>
      </c>
      <c r="T677" s="77">
        <v>0</v>
      </c>
      <c r="U677" s="77">
        <v>0</v>
      </c>
      <c r="V677" s="77">
        <v>150</v>
      </c>
      <c r="W677" s="81" t="s">
        <v>720</v>
      </c>
      <c r="X677" s="77"/>
      <c r="Y677" s="77"/>
      <c r="Z677" s="77" t="s">
        <v>815</v>
      </c>
      <c r="AA677" s="77" t="s">
        <v>842</v>
      </c>
      <c r="AB677" s="77" t="s">
        <v>852</v>
      </c>
      <c r="AC677" s="81" t="s">
        <v>855</v>
      </c>
      <c r="AD677" s="77" t="s">
        <v>859</v>
      </c>
      <c r="AE677" s="83" t="str">
        <f>HYPERLINK("https://twitter.com/pinakilaskar/status/1694566292316135748")</f>
        <v>https://twitter.com/pinakilaskar/status/1694566292316135748</v>
      </c>
      <c r="AF677" s="79">
        <v>45162.183587962965</v>
      </c>
      <c r="AG677" s="85">
        <v>45162</v>
      </c>
      <c r="AH677" s="81" t="s">
        <v>981</v>
      </c>
      <c r="AI677" s="77" t="b">
        <v>0</v>
      </c>
      <c r="AJ677" s="77"/>
      <c r="AK677" s="77"/>
      <c r="AL677" s="77"/>
      <c r="AM677" s="77"/>
      <c r="AN677" s="77"/>
      <c r="AO677" s="77"/>
      <c r="AP677" s="77"/>
      <c r="AQ677" s="77" t="s">
        <v>1021</v>
      </c>
      <c r="AR677" s="77"/>
      <c r="AS677" s="77"/>
      <c r="AT677" s="77"/>
      <c r="AU677" s="77"/>
      <c r="AV677" s="83" t="str">
        <f>HYPERLINK("https://pbs.twimg.com/tweet_video_thumb/F4RPB6NaYAAPHXj.jpg")</f>
        <v>https://pbs.twimg.com/tweet_video_thumb/F4RPB6NaYAAPHXj.jpg</v>
      </c>
      <c r="AW677" s="81" t="s">
        <v>1136</v>
      </c>
      <c r="AX677" s="81" t="s">
        <v>1136</v>
      </c>
      <c r="AY677" s="77"/>
      <c r="AZ677" s="81" t="s">
        <v>1190</v>
      </c>
      <c r="BA677" s="81" t="s">
        <v>1190</v>
      </c>
      <c r="BB677" s="81" t="s">
        <v>1190</v>
      </c>
      <c r="BC677" s="81" t="s">
        <v>1136</v>
      </c>
      <c r="BD677" s="81" t="s">
        <v>1213</v>
      </c>
      <c r="BE677" s="77"/>
      <c r="BF677" s="77"/>
      <c r="BG677" s="77"/>
      <c r="BH677" s="77"/>
      <c r="BI677" s="77"/>
      <c r="BJ677">
        <v>13</v>
      </c>
      <c r="BK677" s="76" t="str">
        <f>REPLACE(INDEX(GroupVertices[Group],MATCH(Edges[[#This Row],[Vertex 1]],GroupVertices[Vertex],0)),1,1,"")</f>
        <v>7</v>
      </c>
      <c r="BL677" s="76" t="str">
        <f>REPLACE(INDEX(GroupVertices[Group],MATCH(Edges[[#This Row],[Vertex 2]],GroupVertices[Vertex],0)),1,1,"")</f>
        <v>7</v>
      </c>
      <c r="BM677" s="45">
        <v>0</v>
      </c>
      <c r="BN677" s="46">
        <v>0</v>
      </c>
      <c r="BO677" s="45">
        <v>2</v>
      </c>
      <c r="BP677" s="46">
        <v>8</v>
      </c>
      <c r="BQ677" s="45">
        <v>0</v>
      </c>
      <c r="BR677" s="46">
        <v>0</v>
      </c>
      <c r="BS677" s="45">
        <v>22</v>
      </c>
      <c r="BT677" s="46">
        <v>88</v>
      </c>
      <c r="BU677" s="45">
        <v>25</v>
      </c>
    </row>
    <row r="678" spans="1:73" ht="15">
      <c r="A678" s="61" t="s">
        <v>257</v>
      </c>
      <c r="B678" s="61" t="s">
        <v>228</v>
      </c>
      <c r="C678" s="62" t="s">
        <v>11697</v>
      </c>
      <c r="D678" s="63">
        <v>10</v>
      </c>
      <c r="E678" s="64" t="s">
        <v>136</v>
      </c>
      <c r="F678" s="65">
        <v>10</v>
      </c>
      <c r="G678" s="62"/>
      <c r="H678" s="66"/>
      <c r="I678" s="67"/>
      <c r="J678" s="67"/>
      <c r="K678" s="31" t="s">
        <v>65</v>
      </c>
      <c r="L678" s="75">
        <v>678</v>
      </c>
      <c r="M678" s="75"/>
      <c r="N678" s="69"/>
      <c r="O678" s="77" t="s">
        <v>539</v>
      </c>
      <c r="P678" s="79">
        <v>45169.20508101852</v>
      </c>
      <c r="Q678" s="77" t="s">
        <v>654</v>
      </c>
      <c r="R678" s="77">
        <v>4</v>
      </c>
      <c r="S678" s="77">
        <v>6</v>
      </c>
      <c r="T678" s="77">
        <v>0</v>
      </c>
      <c r="U678" s="77">
        <v>0</v>
      </c>
      <c r="V678" s="77">
        <v>298</v>
      </c>
      <c r="W678" s="81" t="s">
        <v>721</v>
      </c>
      <c r="X678" s="83" t="str">
        <f>HYPERLINK("https://www.linkedin.com/posts/pinakilaskar_confidentialcomputing-generativeai-dataleakage-activity-7102874255679270912-H5ac")</f>
        <v>https://www.linkedin.com/posts/pinakilaskar_confidentialcomputing-generativeai-dataleakage-activity-7102874255679270912-H5ac</v>
      </c>
      <c r="Y678" s="77" t="s">
        <v>749</v>
      </c>
      <c r="Z678" s="77" t="s">
        <v>814</v>
      </c>
      <c r="AA678" s="77"/>
      <c r="AB678" s="77"/>
      <c r="AC678" s="81" t="s">
        <v>855</v>
      </c>
      <c r="AD678" s="77" t="s">
        <v>859</v>
      </c>
      <c r="AE678" s="83" t="str">
        <f>HYPERLINK("https://twitter.com/pinakilaskar/status/1697110798269866486")</f>
        <v>https://twitter.com/pinakilaskar/status/1697110798269866486</v>
      </c>
      <c r="AF678" s="79">
        <v>45169.20508101852</v>
      </c>
      <c r="AG678" s="85">
        <v>45169</v>
      </c>
      <c r="AH678" s="81" t="s">
        <v>982</v>
      </c>
      <c r="AI678" s="77" t="b">
        <v>0</v>
      </c>
      <c r="AJ678" s="77"/>
      <c r="AK678" s="77"/>
      <c r="AL678" s="77"/>
      <c r="AM678" s="77"/>
      <c r="AN678" s="77"/>
      <c r="AO678" s="77"/>
      <c r="AP678" s="77"/>
      <c r="AQ678" s="77"/>
      <c r="AR678" s="77"/>
      <c r="AS678" s="77"/>
      <c r="AT678" s="77"/>
      <c r="AU678" s="77"/>
      <c r="AV678" s="83" t="str">
        <f>HYPERLINK("https://pbs.twimg.com/profile_images/1277223966705192966/aIT6N-WJ_normal.jpg")</f>
        <v>https://pbs.twimg.com/profile_images/1277223966705192966/aIT6N-WJ_normal.jpg</v>
      </c>
      <c r="AW678" s="81" t="s">
        <v>1137</v>
      </c>
      <c r="AX678" s="81" t="s">
        <v>1137</v>
      </c>
      <c r="AY678" s="77"/>
      <c r="AZ678" s="81" t="s">
        <v>1190</v>
      </c>
      <c r="BA678" s="81" t="s">
        <v>1190</v>
      </c>
      <c r="BB678" s="81" t="s">
        <v>1190</v>
      </c>
      <c r="BC678" s="81" t="s">
        <v>1137</v>
      </c>
      <c r="BD678" s="81" t="s">
        <v>1213</v>
      </c>
      <c r="BE678" s="77"/>
      <c r="BF678" s="77"/>
      <c r="BG678" s="77"/>
      <c r="BH678" s="77"/>
      <c r="BI678" s="77"/>
      <c r="BJ678">
        <v>13</v>
      </c>
      <c r="BK678" s="76" t="str">
        <f>REPLACE(INDEX(GroupVertices[Group],MATCH(Edges[[#This Row],[Vertex 1]],GroupVertices[Vertex],0)),1,1,"")</f>
        <v>7</v>
      </c>
      <c r="BL678" s="76" t="str">
        <f>REPLACE(INDEX(GroupVertices[Group],MATCH(Edges[[#This Row],[Vertex 2]],GroupVertices[Vertex],0)),1,1,"")</f>
        <v>2</v>
      </c>
      <c r="BM678" s="45"/>
      <c r="BN678" s="46"/>
      <c r="BO678" s="45"/>
      <c r="BP678" s="46"/>
      <c r="BQ678" s="45"/>
      <c r="BR678" s="46"/>
      <c r="BS678" s="45"/>
      <c r="BT678" s="46"/>
      <c r="BU678" s="45"/>
    </row>
    <row r="679" spans="1:73" ht="15">
      <c r="A679" s="61" t="s">
        <v>257</v>
      </c>
      <c r="B679" s="61" t="s">
        <v>528</v>
      </c>
      <c r="C679" s="62" t="s">
        <v>11697</v>
      </c>
      <c r="D679" s="63">
        <v>10</v>
      </c>
      <c r="E679" s="64" t="s">
        <v>136</v>
      </c>
      <c r="F679" s="65">
        <v>10</v>
      </c>
      <c r="G679" s="62"/>
      <c r="H679" s="66"/>
      <c r="I679" s="67"/>
      <c r="J679" s="67"/>
      <c r="K679" s="31" t="s">
        <v>65</v>
      </c>
      <c r="L679" s="75">
        <v>679</v>
      </c>
      <c r="M679" s="75"/>
      <c r="N679" s="69"/>
      <c r="O679" s="77" t="s">
        <v>539</v>
      </c>
      <c r="P679" s="79">
        <v>45169.20508101852</v>
      </c>
      <c r="Q679" s="77" t="s">
        <v>654</v>
      </c>
      <c r="R679" s="77">
        <v>4</v>
      </c>
      <c r="S679" s="77">
        <v>6</v>
      </c>
      <c r="T679" s="77">
        <v>0</v>
      </c>
      <c r="U679" s="77">
        <v>0</v>
      </c>
      <c r="V679" s="77">
        <v>298</v>
      </c>
      <c r="W679" s="81" t="s">
        <v>721</v>
      </c>
      <c r="X679" s="83" t="str">
        <f>HYPERLINK("https://www.linkedin.com/posts/pinakilaskar_confidentialcomputing-generativeai-dataleakage-activity-7102874255679270912-H5ac")</f>
        <v>https://www.linkedin.com/posts/pinakilaskar_confidentialcomputing-generativeai-dataleakage-activity-7102874255679270912-H5ac</v>
      </c>
      <c r="Y679" s="77" t="s">
        <v>749</v>
      </c>
      <c r="Z679" s="77" t="s">
        <v>814</v>
      </c>
      <c r="AA679" s="77"/>
      <c r="AB679" s="77"/>
      <c r="AC679" s="81" t="s">
        <v>855</v>
      </c>
      <c r="AD679" s="77" t="s">
        <v>859</v>
      </c>
      <c r="AE679" s="83" t="str">
        <f>HYPERLINK("https://twitter.com/pinakilaskar/status/1697110798269866486")</f>
        <v>https://twitter.com/pinakilaskar/status/1697110798269866486</v>
      </c>
      <c r="AF679" s="79">
        <v>45169.20508101852</v>
      </c>
      <c r="AG679" s="85">
        <v>45169</v>
      </c>
      <c r="AH679" s="81" t="s">
        <v>982</v>
      </c>
      <c r="AI679" s="77" t="b">
        <v>0</v>
      </c>
      <c r="AJ679" s="77"/>
      <c r="AK679" s="77"/>
      <c r="AL679" s="77"/>
      <c r="AM679" s="77"/>
      <c r="AN679" s="77"/>
      <c r="AO679" s="77"/>
      <c r="AP679" s="77"/>
      <c r="AQ679" s="77"/>
      <c r="AR679" s="77"/>
      <c r="AS679" s="77"/>
      <c r="AT679" s="77"/>
      <c r="AU679" s="77"/>
      <c r="AV679" s="83" t="str">
        <f>HYPERLINK("https://pbs.twimg.com/profile_images/1277223966705192966/aIT6N-WJ_normal.jpg")</f>
        <v>https://pbs.twimg.com/profile_images/1277223966705192966/aIT6N-WJ_normal.jpg</v>
      </c>
      <c r="AW679" s="81" t="s">
        <v>1137</v>
      </c>
      <c r="AX679" s="81" t="s">
        <v>1137</v>
      </c>
      <c r="AY679" s="77"/>
      <c r="AZ679" s="81" t="s">
        <v>1190</v>
      </c>
      <c r="BA679" s="81" t="s">
        <v>1190</v>
      </c>
      <c r="BB679" s="81" t="s">
        <v>1190</v>
      </c>
      <c r="BC679" s="81" t="s">
        <v>1137</v>
      </c>
      <c r="BD679" s="81" t="s">
        <v>1213</v>
      </c>
      <c r="BE679" s="77"/>
      <c r="BF679" s="77"/>
      <c r="BG679" s="77"/>
      <c r="BH679" s="77"/>
      <c r="BI679" s="77"/>
      <c r="BJ679">
        <v>8</v>
      </c>
      <c r="BK679" s="76" t="str">
        <f>REPLACE(INDEX(GroupVertices[Group],MATCH(Edges[[#This Row],[Vertex 1]],GroupVertices[Vertex],0)),1,1,"")</f>
        <v>7</v>
      </c>
      <c r="BL679" s="76" t="str">
        <f>REPLACE(INDEX(GroupVertices[Group],MATCH(Edges[[#This Row],[Vertex 2]],GroupVertices[Vertex],0)),1,1,"")</f>
        <v>7</v>
      </c>
      <c r="BM679" s="45"/>
      <c r="BN679" s="46"/>
      <c r="BO679" s="45"/>
      <c r="BP679" s="46"/>
      <c r="BQ679" s="45"/>
      <c r="BR679" s="46"/>
      <c r="BS679" s="45"/>
      <c r="BT679" s="46"/>
      <c r="BU679" s="45"/>
    </row>
    <row r="680" spans="1:73" ht="15">
      <c r="A680" s="61" t="s">
        <v>257</v>
      </c>
      <c r="B680" s="61" t="s">
        <v>529</v>
      </c>
      <c r="C680" s="62" t="s">
        <v>11697</v>
      </c>
      <c r="D680" s="63">
        <v>10</v>
      </c>
      <c r="E680" s="64" t="s">
        <v>136</v>
      </c>
      <c r="F680" s="65">
        <v>10</v>
      </c>
      <c r="G680" s="62"/>
      <c r="H680" s="66"/>
      <c r="I680" s="67"/>
      <c r="J680" s="67"/>
      <c r="K680" s="31" t="s">
        <v>65</v>
      </c>
      <c r="L680" s="75">
        <v>680</v>
      </c>
      <c r="M680" s="75"/>
      <c r="N680" s="69"/>
      <c r="O680" s="77" t="s">
        <v>539</v>
      </c>
      <c r="P680" s="79">
        <v>45169.20508101852</v>
      </c>
      <c r="Q680" s="77" t="s">
        <v>654</v>
      </c>
      <c r="R680" s="77">
        <v>4</v>
      </c>
      <c r="S680" s="77">
        <v>6</v>
      </c>
      <c r="T680" s="77">
        <v>0</v>
      </c>
      <c r="U680" s="77">
        <v>0</v>
      </c>
      <c r="V680" s="77">
        <v>298</v>
      </c>
      <c r="W680" s="81" t="s">
        <v>721</v>
      </c>
      <c r="X680" s="83" t="str">
        <f>HYPERLINK("https://www.linkedin.com/posts/pinakilaskar_confidentialcomputing-generativeai-dataleakage-activity-7102874255679270912-H5ac")</f>
        <v>https://www.linkedin.com/posts/pinakilaskar_confidentialcomputing-generativeai-dataleakage-activity-7102874255679270912-H5ac</v>
      </c>
      <c r="Y680" s="77" t="s">
        <v>749</v>
      </c>
      <c r="Z680" s="77" t="s">
        <v>814</v>
      </c>
      <c r="AA680" s="77"/>
      <c r="AB680" s="77"/>
      <c r="AC680" s="81" t="s">
        <v>855</v>
      </c>
      <c r="AD680" s="77" t="s">
        <v>859</v>
      </c>
      <c r="AE680" s="83" t="str">
        <f>HYPERLINK("https://twitter.com/pinakilaskar/status/1697110798269866486")</f>
        <v>https://twitter.com/pinakilaskar/status/1697110798269866486</v>
      </c>
      <c r="AF680" s="79">
        <v>45169.20508101852</v>
      </c>
      <c r="AG680" s="85">
        <v>45169</v>
      </c>
      <c r="AH680" s="81" t="s">
        <v>982</v>
      </c>
      <c r="AI680" s="77" t="b">
        <v>0</v>
      </c>
      <c r="AJ680" s="77"/>
      <c r="AK680" s="77"/>
      <c r="AL680" s="77"/>
      <c r="AM680" s="77"/>
      <c r="AN680" s="77"/>
      <c r="AO680" s="77"/>
      <c r="AP680" s="77"/>
      <c r="AQ680" s="77"/>
      <c r="AR680" s="77"/>
      <c r="AS680" s="77"/>
      <c r="AT680" s="77"/>
      <c r="AU680" s="77"/>
      <c r="AV680" s="83" t="str">
        <f>HYPERLINK("https://pbs.twimg.com/profile_images/1277223966705192966/aIT6N-WJ_normal.jpg")</f>
        <v>https://pbs.twimg.com/profile_images/1277223966705192966/aIT6N-WJ_normal.jpg</v>
      </c>
      <c r="AW680" s="81" t="s">
        <v>1137</v>
      </c>
      <c r="AX680" s="81" t="s">
        <v>1137</v>
      </c>
      <c r="AY680" s="77"/>
      <c r="AZ680" s="81" t="s">
        <v>1190</v>
      </c>
      <c r="BA680" s="81" t="s">
        <v>1190</v>
      </c>
      <c r="BB680" s="81" t="s">
        <v>1190</v>
      </c>
      <c r="BC680" s="81" t="s">
        <v>1137</v>
      </c>
      <c r="BD680" s="81" t="s">
        <v>1213</v>
      </c>
      <c r="BE680" s="77"/>
      <c r="BF680" s="77"/>
      <c r="BG680" s="77"/>
      <c r="BH680" s="77"/>
      <c r="BI680" s="77"/>
      <c r="BJ680">
        <v>13</v>
      </c>
      <c r="BK680" s="76" t="str">
        <f>REPLACE(INDEX(GroupVertices[Group],MATCH(Edges[[#This Row],[Vertex 1]],GroupVertices[Vertex],0)),1,1,"")</f>
        <v>7</v>
      </c>
      <c r="BL680" s="76" t="str">
        <f>REPLACE(INDEX(GroupVertices[Group],MATCH(Edges[[#This Row],[Vertex 2]],GroupVertices[Vertex],0)),1,1,"")</f>
        <v>7</v>
      </c>
      <c r="BM680" s="45"/>
      <c r="BN680" s="46"/>
      <c r="BO680" s="45"/>
      <c r="BP680" s="46"/>
      <c r="BQ680" s="45"/>
      <c r="BR680" s="46"/>
      <c r="BS680" s="45"/>
      <c r="BT680" s="46"/>
      <c r="BU680" s="45"/>
    </row>
    <row r="681" spans="1:73" ht="15">
      <c r="A681" s="61" t="s">
        <v>257</v>
      </c>
      <c r="B681" s="61" t="s">
        <v>530</v>
      </c>
      <c r="C681" s="62" t="s">
        <v>11697</v>
      </c>
      <c r="D681" s="63">
        <v>10</v>
      </c>
      <c r="E681" s="64" t="s">
        <v>136</v>
      </c>
      <c r="F681" s="65">
        <v>10</v>
      </c>
      <c r="G681" s="62"/>
      <c r="H681" s="66"/>
      <c r="I681" s="67"/>
      <c r="J681" s="67"/>
      <c r="K681" s="31" t="s">
        <v>65</v>
      </c>
      <c r="L681" s="75">
        <v>681</v>
      </c>
      <c r="M681" s="75"/>
      <c r="N681" s="69"/>
      <c r="O681" s="77" t="s">
        <v>539</v>
      </c>
      <c r="P681" s="79">
        <v>45169.20508101852</v>
      </c>
      <c r="Q681" s="77" t="s">
        <v>654</v>
      </c>
      <c r="R681" s="77">
        <v>4</v>
      </c>
      <c r="S681" s="77">
        <v>6</v>
      </c>
      <c r="T681" s="77">
        <v>0</v>
      </c>
      <c r="U681" s="77">
        <v>0</v>
      </c>
      <c r="V681" s="77">
        <v>298</v>
      </c>
      <c r="W681" s="81" t="s">
        <v>721</v>
      </c>
      <c r="X681" s="83" t="str">
        <f>HYPERLINK("https://www.linkedin.com/posts/pinakilaskar_confidentialcomputing-generativeai-dataleakage-activity-7102874255679270912-H5ac")</f>
        <v>https://www.linkedin.com/posts/pinakilaskar_confidentialcomputing-generativeai-dataleakage-activity-7102874255679270912-H5ac</v>
      </c>
      <c r="Y681" s="77" t="s">
        <v>749</v>
      </c>
      <c r="Z681" s="77" t="s">
        <v>814</v>
      </c>
      <c r="AA681" s="77"/>
      <c r="AB681" s="77"/>
      <c r="AC681" s="81" t="s">
        <v>855</v>
      </c>
      <c r="AD681" s="77" t="s">
        <v>859</v>
      </c>
      <c r="AE681" s="83" t="str">
        <f>HYPERLINK("https://twitter.com/pinakilaskar/status/1697110798269866486")</f>
        <v>https://twitter.com/pinakilaskar/status/1697110798269866486</v>
      </c>
      <c r="AF681" s="79">
        <v>45169.20508101852</v>
      </c>
      <c r="AG681" s="85">
        <v>45169</v>
      </c>
      <c r="AH681" s="81" t="s">
        <v>982</v>
      </c>
      <c r="AI681" s="77" t="b">
        <v>0</v>
      </c>
      <c r="AJ681" s="77"/>
      <c r="AK681" s="77"/>
      <c r="AL681" s="77"/>
      <c r="AM681" s="77"/>
      <c r="AN681" s="77"/>
      <c r="AO681" s="77"/>
      <c r="AP681" s="77"/>
      <c r="AQ681" s="77"/>
      <c r="AR681" s="77"/>
      <c r="AS681" s="77"/>
      <c r="AT681" s="77"/>
      <c r="AU681" s="77"/>
      <c r="AV681" s="83" t="str">
        <f>HYPERLINK("https://pbs.twimg.com/profile_images/1277223966705192966/aIT6N-WJ_normal.jpg")</f>
        <v>https://pbs.twimg.com/profile_images/1277223966705192966/aIT6N-WJ_normal.jpg</v>
      </c>
      <c r="AW681" s="81" t="s">
        <v>1137</v>
      </c>
      <c r="AX681" s="81" t="s">
        <v>1137</v>
      </c>
      <c r="AY681" s="77"/>
      <c r="AZ681" s="81" t="s">
        <v>1190</v>
      </c>
      <c r="BA681" s="81" t="s">
        <v>1190</v>
      </c>
      <c r="BB681" s="81" t="s">
        <v>1190</v>
      </c>
      <c r="BC681" s="81" t="s">
        <v>1137</v>
      </c>
      <c r="BD681" s="81" t="s">
        <v>1213</v>
      </c>
      <c r="BE681" s="77"/>
      <c r="BF681" s="77"/>
      <c r="BG681" s="77"/>
      <c r="BH681" s="77"/>
      <c r="BI681" s="77"/>
      <c r="BJ681">
        <v>10</v>
      </c>
      <c r="BK681" s="76" t="str">
        <f>REPLACE(INDEX(GroupVertices[Group],MATCH(Edges[[#This Row],[Vertex 1]],GroupVertices[Vertex],0)),1,1,"")</f>
        <v>7</v>
      </c>
      <c r="BL681" s="76" t="str">
        <f>REPLACE(INDEX(GroupVertices[Group],MATCH(Edges[[#This Row],[Vertex 2]],GroupVertices[Vertex],0)),1,1,"")</f>
        <v>7</v>
      </c>
      <c r="BM681" s="45"/>
      <c r="BN681" s="46"/>
      <c r="BO681" s="45"/>
      <c r="BP681" s="46"/>
      <c r="BQ681" s="45"/>
      <c r="BR681" s="46"/>
      <c r="BS681" s="45"/>
      <c r="BT681" s="46"/>
      <c r="BU681" s="45"/>
    </row>
    <row r="682" spans="1:73" ht="15">
      <c r="A682" s="61" t="s">
        <v>257</v>
      </c>
      <c r="B682" s="61" t="s">
        <v>532</v>
      </c>
      <c r="C682" s="62" t="s">
        <v>11697</v>
      </c>
      <c r="D682" s="63">
        <v>10</v>
      </c>
      <c r="E682" s="64" t="s">
        <v>136</v>
      </c>
      <c r="F682" s="65">
        <v>10</v>
      </c>
      <c r="G682" s="62"/>
      <c r="H682" s="66"/>
      <c r="I682" s="67"/>
      <c r="J682" s="67"/>
      <c r="K682" s="31" t="s">
        <v>65</v>
      </c>
      <c r="L682" s="75">
        <v>682</v>
      </c>
      <c r="M682" s="75"/>
      <c r="N682" s="69"/>
      <c r="O682" s="77" t="s">
        <v>539</v>
      </c>
      <c r="P682" s="79">
        <v>45169.20508101852</v>
      </c>
      <c r="Q682" s="77" t="s">
        <v>654</v>
      </c>
      <c r="R682" s="77">
        <v>4</v>
      </c>
      <c r="S682" s="77">
        <v>6</v>
      </c>
      <c r="T682" s="77">
        <v>0</v>
      </c>
      <c r="U682" s="77">
        <v>0</v>
      </c>
      <c r="V682" s="77">
        <v>298</v>
      </c>
      <c r="W682" s="81" t="s">
        <v>721</v>
      </c>
      <c r="X682" s="83" t="str">
        <f>HYPERLINK("https://www.linkedin.com/posts/pinakilaskar_confidentialcomputing-generativeai-dataleakage-activity-7102874255679270912-H5ac")</f>
        <v>https://www.linkedin.com/posts/pinakilaskar_confidentialcomputing-generativeai-dataleakage-activity-7102874255679270912-H5ac</v>
      </c>
      <c r="Y682" s="77" t="s">
        <v>749</v>
      </c>
      <c r="Z682" s="77" t="s">
        <v>814</v>
      </c>
      <c r="AA682" s="77"/>
      <c r="AB682" s="77"/>
      <c r="AC682" s="81" t="s">
        <v>855</v>
      </c>
      <c r="AD682" s="77" t="s">
        <v>859</v>
      </c>
      <c r="AE682" s="83" t="str">
        <f>HYPERLINK("https://twitter.com/pinakilaskar/status/1697110798269866486")</f>
        <v>https://twitter.com/pinakilaskar/status/1697110798269866486</v>
      </c>
      <c r="AF682" s="79">
        <v>45169.20508101852</v>
      </c>
      <c r="AG682" s="85">
        <v>45169</v>
      </c>
      <c r="AH682" s="81" t="s">
        <v>982</v>
      </c>
      <c r="AI682" s="77" t="b">
        <v>0</v>
      </c>
      <c r="AJ682" s="77"/>
      <c r="AK682" s="77"/>
      <c r="AL682" s="77"/>
      <c r="AM682" s="77"/>
      <c r="AN682" s="77"/>
      <c r="AO682" s="77"/>
      <c r="AP682" s="77"/>
      <c r="AQ682" s="77"/>
      <c r="AR682" s="77"/>
      <c r="AS682" s="77"/>
      <c r="AT682" s="77"/>
      <c r="AU682" s="77"/>
      <c r="AV682" s="83" t="str">
        <f>HYPERLINK("https://pbs.twimg.com/profile_images/1277223966705192966/aIT6N-WJ_normal.jpg")</f>
        <v>https://pbs.twimg.com/profile_images/1277223966705192966/aIT6N-WJ_normal.jpg</v>
      </c>
      <c r="AW682" s="81" t="s">
        <v>1137</v>
      </c>
      <c r="AX682" s="81" t="s">
        <v>1137</v>
      </c>
      <c r="AY682" s="77"/>
      <c r="AZ682" s="81" t="s">
        <v>1190</v>
      </c>
      <c r="BA682" s="81" t="s">
        <v>1190</v>
      </c>
      <c r="BB682" s="81" t="s">
        <v>1190</v>
      </c>
      <c r="BC682" s="81" t="s">
        <v>1137</v>
      </c>
      <c r="BD682" s="81" t="s">
        <v>1213</v>
      </c>
      <c r="BE682" s="77"/>
      <c r="BF682" s="77"/>
      <c r="BG682" s="77"/>
      <c r="BH682" s="77"/>
      <c r="BI682" s="77"/>
      <c r="BJ682">
        <v>13</v>
      </c>
      <c r="BK682" s="76" t="str">
        <f>REPLACE(INDEX(GroupVertices[Group],MATCH(Edges[[#This Row],[Vertex 1]],GroupVertices[Vertex],0)),1,1,"")</f>
        <v>7</v>
      </c>
      <c r="BL682" s="76" t="str">
        <f>REPLACE(INDEX(GroupVertices[Group],MATCH(Edges[[#This Row],[Vertex 2]],GroupVertices[Vertex],0)),1,1,"")</f>
        <v>7</v>
      </c>
      <c r="BM682" s="45"/>
      <c r="BN682" s="46"/>
      <c r="BO682" s="45"/>
      <c r="BP682" s="46"/>
      <c r="BQ682" s="45"/>
      <c r="BR682" s="46"/>
      <c r="BS682" s="45"/>
      <c r="BT682" s="46"/>
      <c r="BU682" s="45"/>
    </row>
    <row r="683" spans="1:73" ht="15">
      <c r="A683" s="61" t="s">
        <v>257</v>
      </c>
      <c r="B683" s="61" t="s">
        <v>533</v>
      </c>
      <c r="C683" s="62" t="s">
        <v>11697</v>
      </c>
      <c r="D683" s="63">
        <v>10</v>
      </c>
      <c r="E683" s="64" t="s">
        <v>136</v>
      </c>
      <c r="F683" s="65">
        <v>10</v>
      </c>
      <c r="G683" s="62"/>
      <c r="H683" s="66"/>
      <c r="I683" s="67"/>
      <c r="J683" s="67"/>
      <c r="K683" s="31" t="s">
        <v>65</v>
      </c>
      <c r="L683" s="75">
        <v>683</v>
      </c>
      <c r="M683" s="75"/>
      <c r="N683" s="69"/>
      <c r="O683" s="77" t="s">
        <v>539</v>
      </c>
      <c r="P683" s="79">
        <v>45169.20508101852</v>
      </c>
      <c r="Q683" s="77" t="s">
        <v>654</v>
      </c>
      <c r="R683" s="77">
        <v>4</v>
      </c>
      <c r="S683" s="77">
        <v>6</v>
      </c>
      <c r="T683" s="77">
        <v>0</v>
      </c>
      <c r="U683" s="77">
        <v>0</v>
      </c>
      <c r="V683" s="77">
        <v>298</v>
      </c>
      <c r="W683" s="81" t="s">
        <v>721</v>
      </c>
      <c r="X683" s="83" t="str">
        <f>HYPERLINK("https://www.linkedin.com/posts/pinakilaskar_confidentialcomputing-generativeai-dataleakage-activity-7102874255679270912-H5ac")</f>
        <v>https://www.linkedin.com/posts/pinakilaskar_confidentialcomputing-generativeai-dataleakage-activity-7102874255679270912-H5ac</v>
      </c>
      <c r="Y683" s="77" t="s">
        <v>749</v>
      </c>
      <c r="Z683" s="77" t="s">
        <v>814</v>
      </c>
      <c r="AA683" s="77"/>
      <c r="AB683" s="77"/>
      <c r="AC683" s="81" t="s">
        <v>855</v>
      </c>
      <c r="AD683" s="77" t="s">
        <v>859</v>
      </c>
      <c r="AE683" s="83" t="str">
        <f>HYPERLINK("https://twitter.com/pinakilaskar/status/1697110798269866486")</f>
        <v>https://twitter.com/pinakilaskar/status/1697110798269866486</v>
      </c>
      <c r="AF683" s="79">
        <v>45169.20508101852</v>
      </c>
      <c r="AG683" s="85">
        <v>45169</v>
      </c>
      <c r="AH683" s="81" t="s">
        <v>982</v>
      </c>
      <c r="AI683" s="77" t="b">
        <v>0</v>
      </c>
      <c r="AJ683" s="77"/>
      <c r="AK683" s="77"/>
      <c r="AL683" s="77"/>
      <c r="AM683" s="77"/>
      <c r="AN683" s="77"/>
      <c r="AO683" s="77"/>
      <c r="AP683" s="77"/>
      <c r="AQ683" s="77"/>
      <c r="AR683" s="77"/>
      <c r="AS683" s="77"/>
      <c r="AT683" s="77"/>
      <c r="AU683" s="77"/>
      <c r="AV683" s="83" t="str">
        <f>HYPERLINK("https://pbs.twimg.com/profile_images/1277223966705192966/aIT6N-WJ_normal.jpg")</f>
        <v>https://pbs.twimg.com/profile_images/1277223966705192966/aIT6N-WJ_normal.jpg</v>
      </c>
      <c r="AW683" s="81" t="s">
        <v>1137</v>
      </c>
      <c r="AX683" s="81" t="s">
        <v>1137</v>
      </c>
      <c r="AY683" s="77"/>
      <c r="AZ683" s="81" t="s">
        <v>1190</v>
      </c>
      <c r="BA683" s="81" t="s">
        <v>1190</v>
      </c>
      <c r="BB683" s="81" t="s">
        <v>1190</v>
      </c>
      <c r="BC683" s="81" t="s">
        <v>1137</v>
      </c>
      <c r="BD683" s="81" t="s">
        <v>1213</v>
      </c>
      <c r="BE683" s="77"/>
      <c r="BF683" s="77"/>
      <c r="BG683" s="77"/>
      <c r="BH683" s="77"/>
      <c r="BI683" s="77"/>
      <c r="BJ683">
        <v>13</v>
      </c>
      <c r="BK683" s="76" t="str">
        <f>REPLACE(INDEX(GroupVertices[Group],MATCH(Edges[[#This Row],[Vertex 1]],GroupVertices[Vertex],0)),1,1,"")</f>
        <v>7</v>
      </c>
      <c r="BL683" s="76" t="str">
        <f>REPLACE(INDEX(GroupVertices[Group],MATCH(Edges[[#This Row],[Vertex 2]],GroupVertices[Vertex],0)),1,1,"")</f>
        <v>7</v>
      </c>
      <c r="BM683" s="45"/>
      <c r="BN683" s="46"/>
      <c r="BO683" s="45"/>
      <c r="BP683" s="46"/>
      <c r="BQ683" s="45"/>
      <c r="BR683" s="46"/>
      <c r="BS683" s="45"/>
      <c r="BT683" s="46"/>
      <c r="BU683" s="45"/>
    </row>
    <row r="684" spans="1:73" ht="15">
      <c r="A684" s="61" t="s">
        <v>257</v>
      </c>
      <c r="B684" s="61" t="s">
        <v>534</v>
      </c>
      <c r="C684" s="62" t="s">
        <v>11697</v>
      </c>
      <c r="D684" s="63">
        <v>10</v>
      </c>
      <c r="E684" s="64" t="s">
        <v>136</v>
      </c>
      <c r="F684" s="65">
        <v>10</v>
      </c>
      <c r="G684" s="62"/>
      <c r="H684" s="66"/>
      <c r="I684" s="67"/>
      <c r="J684" s="67"/>
      <c r="K684" s="31" t="s">
        <v>65</v>
      </c>
      <c r="L684" s="75">
        <v>684</v>
      </c>
      <c r="M684" s="75"/>
      <c r="N684" s="69"/>
      <c r="O684" s="77" t="s">
        <v>539</v>
      </c>
      <c r="P684" s="79">
        <v>45169.20508101852</v>
      </c>
      <c r="Q684" s="77" t="s">
        <v>654</v>
      </c>
      <c r="R684" s="77">
        <v>4</v>
      </c>
      <c r="S684" s="77">
        <v>6</v>
      </c>
      <c r="T684" s="77">
        <v>0</v>
      </c>
      <c r="U684" s="77">
        <v>0</v>
      </c>
      <c r="V684" s="77">
        <v>298</v>
      </c>
      <c r="W684" s="81" t="s">
        <v>721</v>
      </c>
      <c r="X684" s="83" t="str">
        <f>HYPERLINK("https://www.linkedin.com/posts/pinakilaskar_confidentialcomputing-generativeai-dataleakage-activity-7102874255679270912-H5ac")</f>
        <v>https://www.linkedin.com/posts/pinakilaskar_confidentialcomputing-generativeai-dataleakage-activity-7102874255679270912-H5ac</v>
      </c>
      <c r="Y684" s="77" t="s">
        <v>749</v>
      </c>
      <c r="Z684" s="77" t="s">
        <v>814</v>
      </c>
      <c r="AA684" s="77"/>
      <c r="AB684" s="77"/>
      <c r="AC684" s="81" t="s">
        <v>855</v>
      </c>
      <c r="AD684" s="77" t="s">
        <v>859</v>
      </c>
      <c r="AE684" s="83" t="str">
        <f>HYPERLINK("https://twitter.com/pinakilaskar/status/1697110798269866486")</f>
        <v>https://twitter.com/pinakilaskar/status/1697110798269866486</v>
      </c>
      <c r="AF684" s="79">
        <v>45169.20508101852</v>
      </c>
      <c r="AG684" s="85">
        <v>45169</v>
      </c>
      <c r="AH684" s="81" t="s">
        <v>982</v>
      </c>
      <c r="AI684" s="77" t="b">
        <v>0</v>
      </c>
      <c r="AJ684" s="77"/>
      <c r="AK684" s="77"/>
      <c r="AL684" s="77"/>
      <c r="AM684" s="77"/>
      <c r="AN684" s="77"/>
      <c r="AO684" s="77"/>
      <c r="AP684" s="77"/>
      <c r="AQ684" s="77"/>
      <c r="AR684" s="77"/>
      <c r="AS684" s="77"/>
      <c r="AT684" s="77"/>
      <c r="AU684" s="77"/>
      <c r="AV684" s="83" t="str">
        <f>HYPERLINK("https://pbs.twimg.com/profile_images/1277223966705192966/aIT6N-WJ_normal.jpg")</f>
        <v>https://pbs.twimg.com/profile_images/1277223966705192966/aIT6N-WJ_normal.jpg</v>
      </c>
      <c r="AW684" s="81" t="s">
        <v>1137</v>
      </c>
      <c r="AX684" s="81" t="s">
        <v>1137</v>
      </c>
      <c r="AY684" s="77"/>
      <c r="AZ684" s="81" t="s">
        <v>1190</v>
      </c>
      <c r="BA684" s="81" t="s">
        <v>1190</v>
      </c>
      <c r="BB684" s="81" t="s">
        <v>1190</v>
      </c>
      <c r="BC684" s="81" t="s">
        <v>1137</v>
      </c>
      <c r="BD684" s="81" t="s">
        <v>1213</v>
      </c>
      <c r="BE684" s="77"/>
      <c r="BF684" s="77"/>
      <c r="BG684" s="77"/>
      <c r="BH684" s="77"/>
      <c r="BI684" s="77"/>
      <c r="BJ684">
        <v>9</v>
      </c>
      <c r="BK684" s="76" t="str">
        <f>REPLACE(INDEX(GroupVertices[Group],MATCH(Edges[[#This Row],[Vertex 1]],GroupVertices[Vertex],0)),1,1,"")</f>
        <v>7</v>
      </c>
      <c r="BL684" s="76" t="str">
        <f>REPLACE(INDEX(GroupVertices[Group],MATCH(Edges[[#This Row],[Vertex 2]],GroupVertices[Vertex],0)),1,1,"")</f>
        <v>7</v>
      </c>
      <c r="BM684" s="45"/>
      <c r="BN684" s="46"/>
      <c r="BO684" s="45"/>
      <c r="BP684" s="46"/>
      <c r="BQ684" s="45"/>
      <c r="BR684" s="46"/>
      <c r="BS684" s="45"/>
      <c r="BT684" s="46"/>
      <c r="BU684" s="45"/>
    </row>
    <row r="685" spans="1:73" ht="15">
      <c r="A685" s="61" t="s">
        <v>257</v>
      </c>
      <c r="B685" s="61" t="s">
        <v>535</v>
      </c>
      <c r="C685" s="62" t="s">
        <v>11697</v>
      </c>
      <c r="D685" s="63">
        <v>10</v>
      </c>
      <c r="E685" s="64" t="s">
        <v>136</v>
      </c>
      <c r="F685" s="65">
        <v>10</v>
      </c>
      <c r="G685" s="62"/>
      <c r="H685" s="66"/>
      <c r="I685" s="67"/>
      <c r="J685" s="67"/>
      <c r="K685" s="31" t="s">
        <v>65</v>
      </c>
      <c r="L685" s="75">
        <v>685</v>
      </c>
      <c r="M685" s="75"/>
      <c r="N685" s="69"/>
      <c r="O685" s="77" t="s">
        <v>539</v>
      </c>
      <c r="P685" s="79">
        <v>45169.20508101852</v>
      </c>
      <c r="Q685" s="77" t="s">
        <v>654</v>
      </c>
      <c r="R685" s="77">
        <v>4</v>
      </c>
      <c r="S685" s="77">
        <v>6</v>
      </c>
      <c r="T685" s="77">
        <v>0</v>
      </c>
      <c r="U685" s="77">
        <v>0</v>
      </c>
      <c r="V685" s="77">
        <v>298</v>
      </c>
      <c r="W685" s="81" t="s">
        <v>721</v>
      </c>
      <c r="X685" s="83" t="str">
        <f>HYPERLINK("https://www.linkedin.com/posts/pinakilaskar_confidentialcomputing-generativeai-dataleakage-activity-7102874255679270912-H5ac")</f>
        <v>https://www.linkedin.com/posts/pinakilaskar_confidentialcomputing-generativeai-dataleakage-activity-7102874255679270912-H5ac</v>
      </c>
      <c r="Y685" s="77" t="s">
        <v>749</v>
      </c>
      <c r="Z685" s="77" t="s">
        <v>814</v>
      </c>
      <c r="AA685" s="77"/>
      <c r="AB685" s="77"/>
      <c r="AC685" s="81" t="s">
        <v>855</v>
      </c>
      <c r="AD685" s="77" t="s">
        <v>859</v>
      </c>
      <c r="AE685" s="83" t="str">
        <f>HYPERLINK("https://twitter.com/pinakilaskar/status/1697110798269866486")</f>
        <v>https://twitter.com/pinakilaskar/status/1697110798269866486</v>
      </c>
      <c r="AF685" s="79">
        <v>45169.20508101852</v>
      </c>
      <c r="AG685" s="85">
        <v>45169</v>
      </c>
      <c r="AH685" s="81" t="s">
        <v>982</v>
      </c>
      <c r="AI685" s="77" t="b">
        <v>0</v>
      </c>
      <c r="AJ685" s="77"/>
      <c r="AK685" s="77"/>
      <c r="AL685" s="77"/>
      <c r="AM685" s="77"/>
      <c r="AN685" s="77"/>
      <c r="AO685" s="77"/>
      <c r="AP685" s="77"/>
      <c r="AQ685" s="77"/>
      <c r="AR685" s="77"/>
      <c r="AS685" s="77"/>
      <c r="AT685" s="77"/>
      <c r="AU685" s="77"/>
      <c r="AV685" s="83" t="str">
        <f>HYPERLINK("https://pbs.twimg.com/profile_images/1277223966705192966/aIT6N-WJ_normal.jpg")</f>
        <v>https://pbs.twimg.com/profile_images/1277223966705192966/aIT6N-WJ_normal.jpg</v>
      </c>
      <c r="AW685" s="81" t="s">
        <v>1137</v>
      </c>
      <c r="AX685" s="81" t="s">
        <v>1137</v>
      </c>
      <c r="AY685" s="77"/>
      <c r="AZ685" s="81" t="s">
        <v>1190</v>
      </c>
      <c r="BA685" s="81" t="s">
        <v>1190</v>
      </c>
      <c r="BB685" s="81" t="s">
        <v>1190</v>
      </c>
      <c r="BC685" s="81" t="s">
        <v>1137</v>
      </c>
      <c r="BD685" s="81" t="s">
        <v>1213</v>
      </c>
      <c r="BE685" s="77"/>
      <c r="BF685" s="77"/>
      <c r="BG685" s="77"/>
      <c r="BH685" s="77"/>
      <c r="BI685" s="77"/>
      <c r="BJ685">
        <v>13</v>
      </c>
      <c r="BK685" s="76" t="str">
        <f>REPLACE(INDEX(GroupVertices[Group],MATCH(Edges[[#This Row],[Vertex 1]],GroupVertices[Vertex],0)),1,1,"")</f>
        <v>7</v>
      </c>
      <c r="BL685" s="76" t="str">
        <f>REPLACE(INDEX(GroupVertices[Group],MATCH(Edges[[#This Row],[Vertex 2]],GroupVertices[Vertex],0)),1,1,"")</f>
        <v>7</v>
      </c>
      <c r="BM685" s="45"/>
      <c r="BN685" s="46"/>
      <c r="BO685" s="45"/>
      <c r="BP685" s="46"/>
      <c r="BQ685" s="45"/>
      <c r="BR685" s="46"/>
      <c r="BS685" s="45"/>
      <c r="BT685" s="46"/>
      <c r="BU685" s="45"/>
    </row>
    <row r="686" spans="1:73" ht="15">
      <c r="A686" s="61" t="s">
        <v>257</v>
      </c>
      <c r="B686" s="61" t="s">
        <v>537</v>
      </c>
      <c r="C686" s="62" t="s">
        <v>11697</v>
      </c>
      <c r="D686" s="63">
        <v>10</v>
      </c>
      <c r="E686" s="64" t="s">
        <v>136</v>
      </c>
      <c r="F686" s="65">
        <v>10</v>
      </c>
      <c r="G686" s="62"/>
      <c r="H686" s="66"/>
      <c r="I686" s="67"/>
      <c r="J686" s="67"/>
      <c r="K686" s="31" t="s">
        <v>65</v>
      </c>
      <c r="L686" s="75">
        <v>686</v>
      </c>
      <c r="M686" s="75"/>
      <c r="N686" s="69"/>
      <c r="O686" s="77" t="s">
        <v>539</v>
      </c>
      <c r="P686" s="79">
        <v>45169.20508101852</v>
      </c>
      <c r="Q686" s="77" t="s">
        <v>654</v>
      </c>
      <c r="R686" s="77">
        <v>4</v>
      </c>
      <c r="S686" s="77">
        <v>6</v>
      </c>
      <c r="T686" s="77">
        <v>0</v>
      </c>
      <c r="U686" s="77">
        <v>0</v>
      </c>
      <c r="V686" s="77">
        <v>298</v>
      </c>
      <c r="W686" s="81" t="s">
        <v>721</v>
      </c>
      <c r="X686" s="83" t="str">
        <f>HYPERLINK("https://www.linkedin.com/posts/pinakilaskar_confidentialcomputing-generativeai-dataleakage-activity-7102874255679270912-H5ac")</f>
        <v>https://www.linkedin.com/posts/pinakilaskar_confidentialcomputing-generativeai-dataleakage-activity-7102874255679270912-H5ac</v>
      </c>
      <c r="Y686" s="77" t="s">
        <v>749</v>
      </c>
      <c r="Z686" s="77" t="s">
        <v>814</v>
      </c>
      <c r="AA686" s="77"/>
      <c r="AB686" s="77"/>
      <c r="AC686" s="81" t="s">
        <v>855</v>
      </c>
      <c r="AD686" s="77" t="s">
        <v>859</v>
      </c>
      <c r="AE686" s="83" t="str">
        <f>HYPERLINK("https://twitter.com/pinakilaskar/status/1697110798269866486")</f>
        <v>https://twitter.com/pinakilaskar/status/1697110798269866486</v>
      </c>
      <c r="AF686" s="79">
        <v>45169.20508101852</v>
      </c>
      <c r="AG686" s="85">
        <v>45169</v>
      </c>
      <c r="AH686" s="81" t="s">
        <v>982</v>
      </c>
      <c r="AI686" s="77" t="b">
        <v>0</v>
      </c>
      <c r="AJ686" s="77"/>
      <c r="AK686" s="77"/>
      <c r="AL686" s="77"/>
      <c r="AM686" s="77"/>
      <c r="AN686" s="77"/>
      <c r="AO686" s="77"/>
      <c r="AP686" s="77"/>
      <c r="AQ686" s="77"/>
      <c r="AR686" s="77"/>
      <c r="AS686" s="77"/>
      <c r="AT686" s="77"/>
      <c r="AU686" s="77"/>
      <c r="AV686" s="83" t="str">
        <f>HYPERLINK("https://pbs.twimg.com/profile_images/1277223966705192966/aIT6N-WJ_normal.jpg")</f>
        <v>https://pbs.twimg.com/profile_images/1277223966705192966/aIT6N-WJ_normal.jpg</v>
      </c>
      <c r="AW686" s="81" t="s">
        <v>1137</v>
      </c>
      <c r="AX686" s="81" t="s">
        <v>1137</v>
      </c>
      <c r="AY686" s="77"/>
      <c r="AZ686" s="81" t="s">
        <v>1190</v>
      </c>
      <c r="BA686" s="81" t="s">
        <v>1190</v>
      </c>
      <c r="BB686" s="81" t="s">
        <v>1190</v>
      </c>
      <c r="BC686" s="81" t="s">
        <v>1137</v>
      </c>
      <c r="BD686" s="81" t="s">
        <v>1213</v>
      </c>
      <c r="BE686" s="77"/>
      <c r="BF686" s="77"/>
      <c r="BG686" s="77"/>
      <c r="BH686" s="77"/>
      <c r="BI686" s="77"/>
      <c r="BJ686">
        <v>10</v>
      </c>
      <c r="BK686" s="76" t="str">
        <f>REPLACE(INDEX(GroupVertices[Group],MATCH(Edges[[#This Row],[Vertex 1]],GroupVertices[Vertex],0)),1,1,"")</f>
        <v>7</v>
      </c>
      <c r="BL686" s="76" t="str">
        <f>REPLACE(INDEX(GroupVertices[Group],MATCH(Edges[[#This Row],[Vertex 2]],GroupVertices[Vertex],0)),1,1,"")</f>
        <v>7</v>
      </c>
      <c r="BM686" s="45"/>
      <c r="BN686" s="46"/>
      <c r="BO686" s="45"/>
      <c r="BP686" s="46"/>
      <c r="BQ686" s="45"/>
      <c r="BR686" s="46"/>
      <c r="BS686" s="45"/>
      <c r="BT686" s="46"/>
      <c r="BU686" s="45"/>
    </row>
    <row r="687" spans="1:73" ht="15">
      <c r="A687" s="61" t="s">
        <v>257</v>
      </c>
      <c r="B687" s="61" t="s">
        <v>538</v>
      </c>
      <c r="C687" s="62" t="s">
        <v>11697</v>
      </c>
      <c r="D687" s="63">
        <v>10</v>
      </c>
      <c r="E687" s="64" t="s">
        <v>136</v>
      </c>
      <c r="F687" s="65">
        <v>10</v>
      </c>
      <c r="G687" s="62"/>
      <c r="H687" s="66"/>
      <c r="I687" s="67"/>
      <c r="J687" s="67"/>
      <c r="K687" s="31" t="s">
        <v>65</v>
      </c>
      <c r="L687" s="75">
        <v>687</v>
      </c>
      <c r="M687" s="75"/>
      <c r="N687" s="69"/>
      <c r="O687" s="77" t="s">
        <v>539</v>
      </c>
      <c r="P687" s="79">
        <v>45169.20508101852</v>
      </c>
      <c r="Q687" s="77" t="s">
        <v>654</v>
      </c>
      <c r="R687" s="77">
        <v>4</v>
      </c>
      <c r="S687" s="77">
        <v>6</v>
      </c>
      <c r="T687" s="77">
        <v>0</v>
      </c>
      <c r="U687" s="77">
        <v>0</v>
      </c>
      <c r="V687" s="77">
        <v>298</v>
      </c>
      <c r="W687" s="81" t="s">
        <v>721</v>
      </c>
      <c r="X687" s="83" t="str">
        <f>HYPERLINK("https://www.linkedin.com/posts/pinakilaskar_confidentialcomputing-generativeai-dataleakage-activity-7102874255679270912-H5ac")</f>
        <v>https://www.linkedin.com/posts/pinakilaskar_confidentialcomputing-generativeai-dataleakage-activity-7102874255679270912-H5ac</v>
      </c>
      <c r="Y687" s="77" t="s">
        <v>749</v>
      </c>
      <c r="Z687" s="77" t="s">
        <v>814</v>
      </c>
      <c r="AA687" s="77"/>
      <c r="AB687" s="77"/>
      <c r="AC687" s="81" t="s">
        <v>855</v>
      </c>
      <c r="AD687" s="77" t="s">
        <v>859</v>
      </c>
      <c r="AE687" s="83" t="str">
        <f>HYPERLINK("https://twitter.com/pinakilaskar/status/1697110798269866486")</f>
        <v>https://twitter.com/pinakilaskar/status/1697110798269866486</v>
      </c>
      <c r="AF687" s="79">
        <v>45169.20508101852</v>
      </c>
      <c r="AG687" s="85">
        <v>45169</v>
      </c>
      <c r="AH687" s="81" t="s">
        <v>982</v>
      </c>
      <c r="AI687" s="77" t="b">
        <v>0</v>
      </c>
      <c r="AJ687" s="77"/>
      <c r="AK687" s="77"/>
      <c r="AL687" s="77"/>
      <c r="AM687" s="77"/>
      <c r="AN687" s="77"/>
      <c r="AO687" s="77"/>
      <c r="AP687" s="77"/>
      <c r="AQ687" s="77"/>
      <c r="AR687" s="77"/>
      <c r="AS687" s="77"/>
      <c r="AT687" s="77"/>
      <c r="AU687" s="77"/>
      <c r="AV687" s="83" t="str">
        <f>HYPERLINK("https://pbs.twimg.com/profile_images/1277223966705192966/aIT6N-WJ_normal.jpg")</f>
        <v>https://pbs.twimg.com/profile_images/1277223966705192966/aIT6N-WJ_normal.jpg</v>
      </c>
      <c r="AW687" s="81" t="s">
        <v>1137</v>
      </c>
      <c r="AX687" s="81" t="s">
        <v>1137</v>
      </c>
      <c r="AY687" s="77"/>
      <c r="AZ687" s="81" t="s">
        <v>1190</v>
      </c>
      <c r="BA687" s="81" t="s">
        <v>1190</v>
      </c>
      <c r="BB687" s="81" t="s">
        <v>1190</v>
      </c>
      <c r="BC687" s="81" t="s">
        <v>1137</v>
      </c>
      <c r="BD687" s="81" t="s">
        <v>1213</v>
      </c>
      <c r="BE687" s="77"/>
      <c r="BF687" s="77"/>
      <c r="BG687" s="77"/>
      <c r="BH687" s="77"/>
      <c r="BI687" s="77"/>
      <c r="BJ687">
        <v>13</v>
      </c>
      <c r="BK687" s="76" t="str">
        <f>REPLACE(INDEX(GroupVertices[Group],MATCH(Edges[[#This Row],[Vertex 1]],GroupVertices[Vertex],0)),1,1,"")</f>
        <v>7</v>
      </c>
      <c r="BL687" s="76" t="str">
        <f>REPLACE(INDEX(GroupVertices[Group],MATCH(Edges[[#This Row],[Vertex 2]],GroupVertices[Vertex],0)),1,1,"")</f>
        <v>7</v>
      </c>
      <c r="BM687" s="45">
        <v>0</v>
      </c>
      <c r="BN687" s="46">
        <v>0</v>
      </c>
      <c r="BO687" s="45">
        <v>0</v>
      </c>
      <c r="BP687" s="46">
        <v>0</v>
      </c>
      <c r="BQ687" s="45">
        <v>0</v>
      </c>
      <c r="BR687" s="46">
        <v>0</v>
      </c>
      <c r="BS687" s="45">
        <v>19</v>
      </c>
      <c r="BT687" s="46">
        <v>90.47619047619048</v>
      </c>
      <c r="BU687" s="45">
        <v>21</v>
      </c>
    </row>
    <row r="688" spans="1:73" ht="15">
      <c r="A688" s="61" t="s">
        <v>257</v>
      </c>
      <c r="B688" s="61" t="s">
        <v>228</v>
      </c>
      <c r="C688" s="62" t="s">
        <v>11697</v>
      </c>
      <c r="D688" s="63">
        <v>10</v>
      </c>
      <c r="E688" s="64" t="s">
        <v>136</v>
      </c>
      <c r="F688" s="65">
        <v>10</v>
      </c>
      <c r="G688" s="62"/>
      <c r="H688" s="66"/>
      <c r="I688" s="67"/>
      <c r="J688" s="67"/>
      <c r="K688" s="31" t="s">
        <v>65</v>
      </c>
      <c r="L688" s="75">
        <v>688</v>
      </c>
      <c r="M688" s="75"/>
      <c r="N688" s="69"/>
      <c r="O688" s="77" t="s">
        <v>539</v>
      </c>
      <c r="P688" s="79">
        <v>45157.13497685185</v>
      </c>
      <c r="Q688" s="77" t="s">
        <v>655</v>
      </c>
      <c r="R688" s="77">
        <v>3</v>
      </c>
      <c r="S688" s="77">
        <v>5</v>
      </c>
      <c r="T688" s="77">
        <v>0</v>
      </c>
      <c r="U688" s="77">
        <v>0</v>
      </c>
      <c r="V688" s="77">
        <v>92</v>
      </c>
      <c r="W688" s="81" t="s">
        <v>722</v>
      </c>
      <c r="X688" s="83" t="str">
        <f>HYPERLINK("https://www.linkedin.com/posts/pinakilaskar_ai-rationalsystem-aisystem-activity-7098499497281896448-n3mE")</f>
        <v>https://www.linkedin.com/posts/pinakilaskar_ai-rationalsystem-aisystem-activity-7098499497281896448-n3mE</v>
      </c>
      <c r="Y688" s="77" t="s">
        <v>749</v>
      </c>
      <c r="Z688" s="77" t="s">
        <v>816</v>
      </c>
      <c r="AA688" s="77"/>
      <c r="AB688" s="77"/>
      <c r="AC688" s="81" t="s">
        <v>855</v>
      </c>
      <c r="AD688" s="77" t="s">
        <v>859</v>
      </c>
      <c r="AE688" s="83" t="str">
        <f>HYPERLINK("https://twitter.com/pinakilaskar/status/1692736736835854491")</f>
        <v>https://twitter.com/pinakilaskar/status/1692736736835854491</v>
      </c>
      <c r="AF688" s="79">
        <v>45157.13497685185</v>
      </c>
      <c r="AG688" s="85">
        <v>45157</v>
      </c>
      <c r="AH688" s="81" t="s">
        <v>983</v>
      </c>
      <c r="AI688" s="77" t="b">
        <v>0</v>
      </c>
      <c r="AJ688" s="77"/>
      <c r="AK688" s="77"/>
      <c r="AL688" s="77"/>
      <c r="AM688" s="77"/>
      <c r="AN688" s="77"/>
      <c r="AO688" s="77"/>
      <c r="AP688" s="77"/>
      <c r="AQ688" s="77"/>
      <c r="AR688" s="77"/>
      <c r="AS688" s="77"/>
      <c r="AT688" s="77"/>
      <c r="AU688" s="77"/>
      <c r="AV688" s="83" t="str">
        <f>HYPERLINK("https://pbs.twimg.com/profile_images/1277223966705192966/aIT6N-WJ_normal.jpg")</f>
        <v>https://pbs.twimg.com/profile_images/1277223966705192966/aIT6N-WJ_normal.jpg</v>
      </c>
      <c r="AW688" s="81" t="s">
        <v>1138</v>
      </c>
      <c r="AX688" s="81" t="s">
        <v>1138</v>
      </c>
      <c r="AY688" s="77"/>
      <c r="AZ688" s="81" t="s">
        <v>1190</v>
      </c>
      <c r="BA688" s="81" t="s">
        <v>1190</v>
      </c>
      <c r="BB688" s="81" t="s">
        <v>1190</v>
      </c>
      <c r="BC688" s="81" t="s">
        <v>1138</v>
      </c>
      <c r="BD688" s="81" t="s">
        <v>1213</v>
      </c>
      <c r="BE688" s="77"/>
      <c r="BF688" s="77"/>
      <c r="BG688" s="77"/>
      <c r="BH688" s="77"/>
      <c r="BI688" s="77"/>
      <c r="BJ688">
        <v>13</v>
      </c>
      <c r="BK688" s="76" t="str">
        <f>REPLACE(INDEX(GroupVertices[Group],MATCH(Edges[[#This Row],[Vertex 1]],GroupVertices[Vertex],0)),1,1,"")</f>
        <v>7</v>
      </c>
      <c r="BL688" s="76" t="str">
        <f>REPLACE(INDEX(GroupVertices[Group],MATCH(Edges[[#This Row],[Vertex 2]],GroupVertices[Vertex],0)),1,1,"")</f>
        <v>2</v>
      </c>
      <c r="BM688" s="45"/>
      <c r="BN688" s="46"/>
      <c r="BO688" s="45"/>
      <c r="BP688" s="46"/>
      <c r="BQ688" s="45"/>
      <c r="BR688" s="46"/>
      <c r="BS688" s="45"/>
      <c r="BT688" s="46"/>
      <c r="BU688" s="45"/>
    </row>
    <row r="689" spans="1:73" ht="15">
      <c r="A689" s="61" t="s">
        <v>257</v>
      </c>
      <c r="B689" s="61" t="s">
        <v>529</v>
      </c>
      <c r="C689" s="62" t="s">
        <v>11697</v>
      </c>
      <c r="D689" s="63">
        <v>10</v>
      </c>
      <c r="E689" s="64" t="s">
        <v>136</v>
      </c>
      <c r="F689" s="65">
        <v>10</v>
      </c>
      <c r="G689" s="62"/>
      <c r="H689" s="66"/>
      <c r="I689" s="67"/>
      <c r="J689" s="67"/>
      <c r="K689" s="31" t="s">
        <v>65</v>
      </c>
      <c r="L689" s="75">
        <v>689</v>
      </c>
      <c r="M689" s="75"/>
      <c r="N689" s="69"/>
      <c r="O689" s="77" t="s">
        <v>539</v>
      </c>
      <c r="P689" s="79">
        <v>45157.13497685185</v>
      </c>
      <c r="Q689" s="77" t="s">
        <v>655</v>
      </c>
      <c r="R689" s="77">
        <v>3</v>
      </c>
      <c r="S689" s="77">
        <v>5</v>
      </c>
      <c r="T689" s="77">
        <v>0</v>
      </c>
      <c r="U689" s="77">
        <v>0</v>
      </c>
      <c r="V689" s="77">
        <v>92</v>
      </c>
      <c r="W689" s="81" t="s">
        <v>722</v>
      </c>
      <c r="X689" s="83" t="str">
        <f>HYPERLINK("https://www.linkedin.com/posts/pinakilaskar_ai-rationalsystem-aisystem-activity-7098499497281896448-n3mE")</f>
        <v>https://www.linkedin.com/posts/pinakilaskar_ai-rationalsystem-aisystem-activity-7098499497281896448-n3mE</v>
      </c>
      <c r="Y689" s="77" t="s">
        <v>749</v>
      </c>
      <c r="Z689" s="77" t="s">
        <v>816</v>
      </c>
      <c r="AA689" s="77"/>
      <c r="AB689" s="77"/>
      <c r="AC689" s="81" t="s">
        <v>855</v>
      </c>
      <c r="AD689" s="77" t="s">
        <v>859</v>
      </c>
      <c r="AE689" s="83" t="str">
        <f>HYPERLINK("https://twitter.com/pinakilaskar/status/1692736736835854491")</f>
        <v>https://twitter.com/pinakilaskar/status/1692736736835854491</v>
      </c>
      <c r="AF689" s="79">
        <v>45157.13497685185</v>
      </c>
      <c r="AG689" s="85">
        <v>45157</v>
      </c>
      <c r="AH689" s="81" t="s">
        <v>983</v>
      </c>
      <c r="AI689" s="77" t="b">
        <v>0</v>
      </c>
      <c r="AJ689" s="77"/>
      <c r="AK689" s="77"/>
      <c r="AL689" s="77"/>
      <c r="AM689" s="77"/>
      <c r="AN689" s="77"/>
      <c r="AO689" s="77"/>
      <c r="AP689" s="77"/>
      <c r="AQ689" s="77"/>
      <c r="AR689" s="77"/>
      <c r="AS689" s="77"/>
      <c r="AT689" s="77"/>
      <c r="AU689" s="77"/>
      <c r="AV689" s="83" t="str">
        <f>HYPERLINK("https://pbs.twimg.com/profile_images/1277223966705192966/aIT6N-WJ_normal.jpg")</f>
        <v>https://pbs.twimg.com/profile_images/1277223966705192966/aIT6N-WJ_normal.jpg</v>
      </c>
      <c r="AW689" s="81" t="s">
        <v>1138</v>
      </c>
      <c r="AX689" s="81" t="s">
        <v>1138</v>
      </c>
      <c r="AY689" s="77"/>
      <c r="AZ689" s="81" t="s">
        <v>1190</v>
      </c>
      <c r="BA689" s="81" t="s">
        <v>1190</v>
      </c>
      <c r="BB689" s="81" t="s">
        <v>1190</v>
      </c>
      <c r="BC689" s="81" t="s">
        <v>1138</v>
      </c>
      <c r="BD689" s="81" t="s">
        <v>1213</v>
      </c>
      <c r="BE689" s="77"/>
      <c r="BF689" s="77"/>
      <c r="BG689" s="77"/>
      <c r="BH689" s="77"/>
      <c r="BI689" s="77"/>
      <c r="BJ689">
        <v>13</v>
      </c>
      <c r="BK689" s="76" t="str">
        <f>REPLACE(INDEX(GroupVertices[Group],MATCH(Edges[[#This Row],[Vertex 1]],GroupVertices[Vertex],0)),1,1,"")</f>
        <v>7</v>
      </c>
      <c r="BL689" s="76" t="str">
        <f>REPLACE(INDEX(GroupVertices[Group],MATCH(Edges[[#This Row],[Vertex 2]],GroupVertices[Vertex],0)),1,1,"")</f>
        <v>7</v>
      </c>
      <c r="BM689" s="45"/>
      <c r="BN689" s="46"/>
      <c r="BO689" s="45"/>
      <c r="BP689" s="46"/>
      <c r="BQ689" s="45"/>
      <c r="BR689" s="46"/>
      <c r="BS689" s="45"/>
      <c r="BT689" s="46"/>
      <c r="BU689" s="45"/>
    </row>
    <row r="690" spans="1:73" ht="15">
      <c r="A690" s="61" t="s">
        <v>257</v>
      </c>
      <c r="B690" s="61" t="s">
        <v>530</v>
      </c>
      <c r="C690" s="62" t="s">
        <v>11697</v>
      </c>
      <c r="D690" s="63">
        <v>10</v>
      </c>
      <c r="E690" s="64" t="s">
        <v>136</v>
      </c>
      <c r="F690" s="65">
        <v>10</v>
      </c>
      <c r="G690" s="62"/>
      <c r="H690" s="66"/>
      <c r="I690" s="67"/>
      <c r="J690" s="67"/>
      <c r="K690" s="31" t="s">
        <v>65</v>
      </c>
      <c r="L690" s="75">
        <v>690</v>
      </c>
      <c r="M690" s="75"/>
      <c r="N690" s="69"/>
      <c r="O690" s="77" t="s">
        <v>539</v>
      </c>
      <c r="P690" s="79">
        <v>45157.13497685185</v>
      </c>
      <c r="Q690" s="77" t="s">
        <v>655</v>
      </c>
      <c r="R690" s="77">
        <v>3</v>
      </c>
      <c r="S690" s="77">
        <v>5</v>
      </c>
      <c r="T690" s="77">
        <v>0</v>
      </c>
      <c r="U690" s="77">
        <v>0</v>
      </c>
      <c r="V690" s="77">
        <v>92</v>
      </c>
      <c r="W690" s="81" t="s">
        <v>722</v>
      </c>
      <c r="X690" s="83" t="str">
        <f>HYPERLINK("https://www.linkedin.com/posts/pinakilaskar_ai-rationalsystem-aisystem-activity-7098499497281896448-n3mE")</f>
        <v>https://www.linkedin.com/posts/pinakilaskar_ai-rationalsystem-aisystem-activity-7098499497281896448-n3mE</v>
      </c>
      <c r="Y690" s="77" t="s">
        <v>749</v>
      </c>
      <c r="Z690" s="77" t="s">
        <v>816</v>
      </c>
      <c r="AA690" s="77"/>
      <c r="AB690" s="77"/>
      <c r="AC690" s="81" t="s">
        <v>855</v>
      </c>
      <c r="AD690" s="77" t="s">
        <v>859</v>
      </c>
      <c r="AE690" s="83" t="str">
        <f>HYPERLINK("https://twitter.com/pinakilaskar/status/1692736736835854491")</f>
        <v>https://twitter.com/pinakilaskar/status/1692736736835854491</v>
      </c>
      <c r="AF690" s="79">
        <v>45157.13497685185</v>
      </c>
      <c r="AG690" s="85">
        <v>45157</v>
      </c>
      <c r="AH690" s="81" t="s">
        <v>983</v>
      </c>
      <c r="AI690" s="77" t="b">
        <v>0</v>
      </c>
      <c r="AJ690" s="77"/>
      <c r="AK690" s="77"/>
      <c r="AL690" s="77"/>
      <c r="AM690" s="77"/>
      <c r="AN690" s="77"/>
      <c r="AO690" s="77"/>
      <c r="AP690" s="77"/>
      <c r="AQ690" s="77"/>
      <c r="AR690" s="77"/>
      <c r="AS690" s="77"/>
      <c r="AT690" s="77"/>
      <c r="AU690" s="77"/>
      <c r="AV690" s="83" t="str">
        <f>HYPERLINK("https://pbs.twimg.com/profile_images/1277223966705192966/aIT6N-WJ_normal.jpg")</f>
        <v>https://pbs.twimg.com/profile_images/1277223966705192966/aIT6N-WJ_normal.jpg</v>
      </c>
      <c r="AW690" s="81" t="s">
        <v>1138</v>
      </c>
      <c r="AX690" s="81" t="s">
        <v>1138</v>
      </c>
      <c r="AY690" s="77"/>
      <c r="AZ690" s="81" t="s">
        <v>1190</v>
      </c>
      <c r="BA690" s="81" t="s">
        <v>1190</v>
      </c>
      <c r="BB690" s="81" t="s">
        <v>1190</v>
      </c>
      <c r="BC690" s="81" t="s">
        <v>1138</v>
      </c>
      <c r="BD690" s="81" t="s">
        <v>1213</v>
      </c>
      <c r="BE690" s="77"/>
      <c r="BF690" s="77"/>
      <c r="BG690" s="77"/>
      <c r="BH690" s="77"/>
      <c r="BI690" s="77"/>
      <c r="BJ690">
        <v>10</v>
      </c>
      <c r="BK690" s="76" t="str">
        <f>REPLACE(INDEX(GroupVertices[Group],MATCH(Edges[[#This Row],[Vertex 1]],GroupVertices[Vertex],0)),1,1,"")</f>
        <v>7</v>
      </c>
      <c r="BL690" s="76" t="str">
        <f>REPLACE(INDEX(GroupVertices[Group],MATCH(Edges[[#This Row],[Vertex 2]],GroupVertices[Vertex],0)),1,1,"")</f>
        <v>7</v>
      </c>
      <c r="BM690" s="45"/>
      <c r="BN690" s="46"/>
      <c r="BO690" s="45"/>
      <c r="BP690" s="46"/>
      <c r="BQ690" s="45"/>
      <c r="BR690" s="46"/>
      <c r="BS690" s="45"/>
      <c r="BT690" s="46"/>
      <c r="BU690" s="45"/>
    </row>
    <row r="691" spans="1:73" ht="15">
      <c r="A691" s="61" t="s">
        <v>257</v>
      </c>
      <c r="B691" s="61" t="s">
        <v>531</v>
      </c>
      <c r="C691" s="62" t="s">
        <v>11697</v>
      </c>
      <c r="D691" s="63">
        <v>10</v>
      </c>
      <c r="E691" s="64" t="s">
        <v>136</v>
      </c>
      <c r="F691" s="65">
        <v>10</v>
      </c>
      <c r="G691" s="62"/>
      <c r="H691" s="66"/>
      <c r="I691" s="67"/>
      <c r="J691" s="67"/>
      <c r="K691" s="31" t="s">
        <v>65</v>
      </c>
      <c r="L691" s="75">
        <v>691</v>
      </c>
      <c r="M691" s="75"/>
      <c r="N691" s="69"/>
      <c r="O691" s="77" t="s">
        <v>539</v>
      </c>
      <c r="P691" s="79">
        <v>45157.13497685185</v>
      </c>
      <c r="Q691" s="77" t="s">
        <v>655</v>
      </c>
      <c r="R691" s="77">
        <v>3</v>
      </c>
      <c r="S691" s="77">
        <v>5</v>
      </c>
      <c r="T691" s="77">
        <v>0</v>
      </c>
      <c r="U691" s="77">
        <v>0</v>
      </c>
      <c r="V691" s="77">
        <v>92</v>
      </c>
      <c r="W691" s="81" t="s">
        <v>722</v>
      </c>
      <c r="X691" s="83" t="str">
        <f>HYPERLINK("https://www.linkedin.com/posts/pinakilaskar_ai-rationalsystem-aisystem-activity-7098499497281896448-n3mE")</f>
        <v>https://www.linkedin.com/posts/pinakilaskar_ai-rationalsystem-aisystem-activity-7098499497281896448-n3mE</v>
      </c>
      <c r="Y691" s="77" t="s">
        <v>749</v>
      </c>
      <c r="Z691" s="77" t="s">
        <v>816</v>
      </c>
      <c r="AA691" s="77"/>
      <c r="AB691" s="77"/>
      <c r="AC691" s="81" t="s">
        <v>855</v>
      </c>
      <c r="AD691" s="77" t="s">
        <v>859</v>
      </c>
      <c r="AE691" s="83" t="str">
        <f>HYPERLINK("https://twitter.com/pinakilaskar/status/1692736736835854491")</f>
        <v>https://twitter.com/pinakilaskar/status/1692736736835854491</v>
      </c>
      <c r="AF691" s="79">
        <v>45157.13497685185</v>
      </c>
      <c r="AG691" s="85">
        <v>45157</v>
      </c>
      <c r="AH691" s="81" t="s">
        <v>983</v>
      </c>
      <c r="AI691" s="77" t="b">
        <v>0</v>
      </c>
      <c r="AJ691" s="77"/>
      <c r="AK691" s="77"/>
      <c r="AL691" s="77"/>
      <c r="AM691" s="77"/>
      <c r="AN691" s="77"/>
      <c r="AO691" s="77"/>
      <c r="AP691" s="77"/>
      <c r="AQ691" s="77"/>
      <c r="AR691" s="77"/>
      <c r="AS691" s="77"/>
      <c r="AT691" s="77"/>
      <c r="AU691" s="77"/>
      <c r="AV691" s="83" t="str">
        <f>HYPERLINK("https://pbs.twimg.com/profile_images/1277223966705192966/aIT6N-WJ_normal.jpg")</f>
        <v>https://pbs.twimg.com/profile_images/1277223966705192966/aIT6N-WJ_normal.jpg</v>
      </c>
      <c r="AW691" s="81" t="s">
        <v>1138</v>
      </c>
      <c r="AX691" s="81" t="s">
        <v>1138</v>
      </c>
      <c r="AY691" s="77"/>
      <c r="AZ691" s="81" t="s">
        <v>1190</v>
      </c>
      <c r="BA691" s="81" t="s">
        <v>1190</v>
      </c>
      <c r="BB691" s="81" t="s">
        <v>1190</v>
      </c>
      <c r="BC691" s="81" t="s">
        <v>1138</v>
      </c>
      <c r="BD691" s="81" t="s">
        <v>1213</v>
      </c>
      <c r="BE691" s="77"/>
      <c r="BF691" s="77"/>
      <c r="BG691" s="77"/>
      <c r="BH691" s="77"/>
      <c r="BI691" s="77"/>
      <c r="BJ691">
        <v>9</v>
      </c>
      <c r="BK691" s="76" t="str">
        <f>REPLACE(INDEX(GroupVertices[Group],MATCH(Edges[[#This Row],[Vertex 1]],GroupVertices[Vertex],0)),1,1,"")</f>
        <v>7</v>
      </c>
      <c r="BL691" s="76" t="str">
        <f>REPLACE(INDEX(GroupVertices[Group],MATCH(Edges[[#This Row],[Vertex 2]],GroupVertices[Vertex],0)),1,1,"")</f>
        <v>7</v>
      </c>
      <c r="BM691" s="45"/>
      <c r="BN691" s="46"/>
      <c r="BO691" s="45"/>
      <c r="BP691" s="46"/>
      <c r="BQ691" s="45"/>
      <c r="BR691" s="46"/>
      <c r="BS691" s="45"/>
      <c r="BT691" s="46"/>
      <c r="BU691" s="45"/>
    </row>
    <row r="692" spans="1:73" ht="15">
      <c r="A692" s="61" t="s">
        <v>257</v>
      </c>
      <c r="B692" s="61" t="s">
        <v>532</v>
      </c>
      <c r="C692" s="62" t="s">
        <v>11697</v>
      </c>
      <c r="D692" s="63">
        <v>10</v>
      </c>
      <c r="E692" s="64" t="s">
        <v>136</v>
      </c>
      <c r="F692" s="65">
        <v>10</v>
      </c>
      <c r="G692" s="62"/>
      <c r="H692" s="66"/>
      <c r="I692" s="67"/>
      <c r="J692" s="67"/>
      <c r="K692" s="31" t="s">
        <v>65</v>
      </c>
      <c r="L692" s="75">
        <v>692</v>
      </c>
      <c r="M692" s="75"/>
      <c r="N692" s="69"/>
      <c r="O692" s="77" t="s">
        <v>539</v>
      </c>
      <c r="P692" s="79">
        <v>45157.13497685185</v>
      </c>
      <c r="Q692" s="77" t="s">
        <v>655</v>
      </c>
      <c r="R692" s="77">
        <v>3</v>
      </c>
      <c r="S692" s="77">
        <v>5</v>
      </c>
      <c r="T692" s="77">
        <v>0</v>
      </c>
      <c r="U692" s="77">
        <v>0</v>
      </c>
      <c r="V692" s="77">
        <v>92</v>
      </c>
      <c r="W692" s="81" t="s">
        <v>722</v>
      </c>
      <c r="X692" s="83" t="str">
        <f>HYPERLINK("https://www.linkedin.com/posts/pinakilaskar_ai-rationalsystem-aisystem-activity-7098499497281896448-n3mE")</f>
        <v>https://www.linkedin.com/posts/pinakilaskar_ai-rationalsystem-aisystem-activity-7098499497281896448-n3mE</v>
      </c>
      <c r="Y692" s="77" t="s">
        <v>749</v>
      </c>
      <c r="Z692" s="77" t="s">
        <v>816</v>
      </c>
      <c r="AA692" s="77"/>
      <c r="AB692" s="77"/>
      <c r="AC692" s="81" t="s">
        <v>855</v>
      </c>
      <c r="AD692" s="77" t="s">
        <v>859</v>
      </c>
      <c r="AE692" s="83" t="str">
        <f>HYPERLINK("https://twitter.com/pinakilaskar/status/1692736736835854491")</f>
        <v>https://twitter.com/pinakilaskar/status/1692736736835854491</v>
      </c>
      <c r="AF692" s="79">
        <v>45157.13497685185</v>
      </c>
      <c r="AG692" s="85">
        <v>45157</v>
      </c>
      <c r="AH692" s="81" t="s">
        <v>983</v>
      </c>
      <c r="AI692" s="77" t="b">
        <v>0</v>
      </c>
      <c r="AJ692" s="77"/>
      <c r="AK692" s="77"/>
      <c r="AL692" s="77"/>
      <c r="AM692" s="77"/>
      <c r="AN692" s="77"/>
      <c r="AO692" s="77"/>
      <c r="AP692" s="77"/>
      <c r="AQ692" s="77"/>
      <c r="AR692" s="77"/>
      <c r="AS692" s="77"/>
      <c r="AT692" s="77"/>
      <c r="AU692" s="77"/>
      <c r="AV692" s="83" t="str">
        <f>HYPERLINK("https://pbs.twimg.com/profile_images/1277223966705192966/aIT6N-WJ_normal.jpg")</f>
        <v>https://pbs.twimg.com/profile_images/1277223966705192966/aIT6N-WJ_normal.jpg</v>
      </c>
      <c r="AW692" s="81" t="s">
        <v>1138</v>
      </c>
      <c r="AX692" s="81" t="s">
        <v>1138</v>
      </c>
      <c r="AY692" s="77"/>
      <c r="AZ692" s="81" t="s">
        <v>1190</v>
      </c>
      <c r="BA692" s="81" t="s">
        <v>1190</v>
      </c>
      <c r="BB692" s="81" t="s">
        <v>1190</v>
      </c>
      <c r="BC692" s="81" t="s">
        <v>1138</v>
      </c>
      <c r="BD692" s="81" t="s">
        <v>1213</v>
      </c>
      <c r="BE692" s="77"/>
      <c r="BF692" s="77"/>
      <c r="BG692" s="77"/>
      <c r="BH692" s="77"/>
      <c r="BI692" s="77"/>
      <c r="BJ692">
        <v>13</v>
      </c>
      <c r="BK692" s="76" t="str">
        <f>REPLACE(INDEX(GroupVertices[Group],MATCH(Edges[[#This Row],[Vertex 1]],GroupVertices[Vertex],0)),1,1,"")</f>
        <v>7</v>
      </c>
      <c r="BL692" s="76" t="str">
        <f>REPLACE(INDEX(GroupVertices[Group],MATCH(Edges[[#This Row],[Vertex 2]],GroupVertices[Vertex],0)),1,1,"")</f>
        <v>7</v>
      </c>
      <c r="BM692" s="45"/>
      <c r="BN692" s="46"/>
      <c r="BO692" s="45"/>
      <c r="BP692" s="46"/>
      <c r="BQ692" s="45"/>
      <c r="BR692" s="46"/>
      <c r="BS692" s="45"/>
      <c r="BT692" s="46"/>
      <c r="BU692" s="45"/>
    </row>
    <row r="693" spans="1:73" ht="15">
      <c r="A693" s="61" t="s">
        <v>257</v>
      </c>
      <c r="B693" s="61" t="s">
        <v>533</v>
      </c>
      <c r="C693" s="62" t="s">
        <v>11697</v>
      </c>
      <c r="D693" s="63">
        <v>10</v>
      </c>
      <c r="E693" s="64" t="s">
        <v>136</v>
      </c>
      <c r="F693" s="65">
        <v>10</v>
      </c>
      <c r="G693" s="62"/>
      <c r="H693" s="66"/>
      <c r="I693" s="67"/>
      <c r="J693" s="67"/>
      <c r="K693" s="31" t="s">
        <v>65</v>
      </c>
      <c r="L693" s="75">
        <v>693</v>
      </c>
      <c r="M693" s="75"/>
      <c r="N693" s="69"/>
      <c r="O693" s="77" t="s">
        <v>539</v>
      </c>
      <c r="P693" s="79">
        <v>45157.13497685185</v>
      </c>
      <c r="Q693" s="77" t="s">
        <v>655</v>
      </c>
      <c r="R693" s="77">
        <v>3</v>
      </c>
      <c r="S693" s="77">
        <v>5</v>
      </c>
      <c r="T693" s="77">
        <v>0</v>
      </c>
      <c r="U693" s="77">
        <v>0</v>
      </c>
      <c r="V693" s="77">
        <v>92</v>
      </c>
      <c r="W693" s="81" t="s">
        <v>722</v>
      </c>
      <c r="X693" s="83" t="str">
        <f>HYPERLINK("https://www.linkedin.com/posts/pinakilaskar_ai-rationalsystem-aisystem-activity-7098499497281896448-n3mE")</f>
        <v>https://www.linkedin.com/posts/pinakilaskar_ai-rationalsystem-aisystem-activity-7098499497281896448-n3mE</v>
      </c>
      <c r="Y693" s="77" t="s">
        <v>749</v>
      </c>
      <c r="Z693" s="77" t="s">
        <v>816</v>
      </c>
      <c r="AA693" s="77"/>
      <c r="AB693" s="77"/>
      <c r="AC693" s="81" t="s">
        <v>855</v>
      </c>
      <c r="AD693" s="77" t="s">
        <v>859</v>
      </c>
      <c r="AE693" s="83" t="str">
        <f>HYPERLINK("https://twitter.com/pinakilaskar/status/1692736736835854491")</f>
        <v>https://twitter.com/pinakilaskar/status/1692736736835854491</v>
      </c>
      <c r="AF693" s="79">
        <v>45157.13497685185</v>
      </c>
      <c r="AG693" s="85">
        <v>45157</v>
      </c>
      <c r="AH693" s="81" t="s">
        <v>983</v>
      </c>
      <c r="AI693" s="77" t="b">
        <v>0</v>
      </c>
      <c r="AJ693" s="77"/>
      <c r="AK693" s="77"/>
      <c r="AL693" s="77"/>
      <c r="AM693" s="77"/>
      <c r="AN693" s="77"/>
      <c r="AO693" s="77"/>
      <c r="AP693" s="77"/>
      <c r="AQ693" s="77"/>
      <c r="AR693" s="77"/>
      <c r="AS693" s="77"/>
      <c r="AT693" s="77"/>
      <c r="AU693" s="77"/>
      <c r="AV693" s="83" t="str">
        <f>HYPERLINK("https://pbs.twimg.com/profile_images/1277223966705192966/aIT6N-WJ_normal.jpg")</f>
        <v>https://pbs.twimg.com/profile_images/1277223966705192966/aIT6N-WJ_normal.jpg</v>
      </c>
      <c r="AW693" s="81" t="s">
        <v>1138</v>
      </c>
      <c r="AX693" s="81" t="s">
        <v>1138</v>
      </c>
      <c r="AY693" s="77"/>
      <c r="AZ693" s="81" t="s">
        <v>1190</v>
      </c>
      <c r="BA693" s="81" t="s">
        <v>1190</v>
      </c>
      <c r="BB693" s="81" t="s">
        <v>1190</v>
      </c>
      <c r="BC693" s="81" t="s">
        <v>1138</v>
      </c>
      <c r="BD693" s="81" t="s">
        <v>1213</v>
      </c>
      <c r="BE693" s="77"/>
      <c r="BF693" s="77"/>
      <c r="BG693" s="77"/>
      <c r="BH693" s="77"/>
      <c r="BI693" s="77"/>
      <c r="BJ693">
        <v>13</v>
      </c>
      <c r="BK693" s="76" t="str">
        <f>REPLACE(INDEX(GroupVertices[Group],MATCH(Edges[[#This Row],[Vertex 1]],GroupVertices[Vertex],0)),1,1,"")</f>
        <v>7</v>
      </c>
      <c r="BL693" s="76" t="str">
        <f>REPLACE(INDEX(GroupVertices[Group],MATCH(Edges[[#This Row],[Vertex 2]],GroupVertices[Vertex],0)),1,1,"")</f>
        <v>7</v>
      </c>
      <c r="BM693" s="45"/>
      <c r="BN693" s="46"/>
      <c r="BO693" s="45"/>
      <c r="BP693" s="46"/>
      <c r="BQ693" s="45"/>
      <c r="BR693" s="46"/>
      <c r="BS693" s="45"/>
      <c r="BT693" s="46"/>
      <c r="BU693" s="45"/>
    </row>
    <row r="694" spans="1:73" ht="15">
      <c r="A694" s="61" t="s">
        <v>257</v>
      </c>
      <c r="B694" s="61" t="s">
        <v>535</v>
      </c>
      <c r="C694" s="62" t="s">
        <v>11697</v>
      </c>
      <c r="D694" s="63">
        <v>10</v>
      </c>
      <c r="E694" s="64" t="s">
        <v>136</v>
      </c>
      <c r="F694" s="65">
        <v>10</v>
      </c>
      <c r="G694" s="62"/>
      <c r="H694" s="66"/>
      <c r="I694" s="67"/>
      <c r="J694" s="67"/>
      <c r="K694" s="31" t="s">
        <v>65</v>
      </c>
      <c r="L694" s="75">
        <v>694</v>
      </c>
      <c r="M694" s="75"/>
      <c r="N694" s="69"/>
      <c r="O694" s="77" t="s">
        <v>539</v>
      </c>
      <c r="P694" s="79">
        <v>45157.13497685185</v>
      </c>
      <c r="Q694" s="77" t="s">
        <v>655</v>
      </c>
      <c r="R694" s="77">
        <v>3</v>
      </c>
      <c r="S694" s="77">
        <v>5</v>
      </c>
      <c r="T694" s="77">
        <v>0</v>
      </c>
      <c r="U694" s="77">
        <v>0</v>
      </c>
      <c r="V694" s="77">
        <v>92</v>
      </c>
      <c r="W694" s="81" t="s">
        <v>722</v>
      </c>
      <c r="X694" s="83" t="str">
        <f>HYPERLINK("https://www.linkedin.com/posts/pinakilaskar_ai-rationalsystem-aisystem-activity-7098499497281896448-n3mE")</f>
        <v>https://www.linkedin.com/posts/pinakilaskar_ai-rationalsystem-aisystem-activity-7098499497281896448-n3mE</v>
      </c>
      <c r="Y694" s="77" t="s">
        <v>749</v>
      </c>
      <c r="Z694" s="77" t="s">
        <v>816</v>
      </c>
      <c r="AA694" s="77"/>
      <c r="AB694" s="77"/>
      <c r="AC694" s="81" t="s">
        <v>855</v>
      </c>
      <c r="AD694" s="77" t="s">
        <v>859</v>
      </c>
      <c r="AE694" s="83" t="str">
        <f>HYPERLINK("https://twitter.com/pinakilaskar/status/1692736736835854491")</f>
        <v>https://twitter.com/pinakilaskar/status/1692736736835854491</v>
      </c>
      <c r="AF694" s="79">
        <v>45157.13497685185</v>
      </c>
      <c r="AG694" s="85">
        <v>45157</v>
      </c>
      <c r="AH694" s="81" t="s">
        <v>983</v>
      </c>
      <c r="AI694" s="77" t="b">
        <v>0</v>
      </c>
      <c r="AJ694" s="77"/>
      <c r="AK694" s="77"/>
      <c r="AL694" s="77"/>
      <c r="AM694" s="77"/>
      <c r="AN694" s="77"/>
      <c r="AO694" s="77"/>
      <c r="AP694" s="77"/>
      <c r="AQ694" s="77"/>
      <c r="AR694" s="77"/>
      <c r="AS694" s="77"/>
      <c r="AT694" s="77"/>
      <c r="AU694" s="77"/>
      <c r="AV694" s="83" t="str">
        <f>HYPERLINK("https://pbs.twimg.com/profile_images/1277223966705192966/aIT6N-WJ_normal.jpg")</f>
        <v>https://pbs.twimg.com/profile_images/1277223966705192966/aIT6N-WJ_normal.jpg</v>
      </c>
      <c r="AW694" s="81" t="s">
        <v>1138</v>
      </c>
      <c r="AX694" s="81" t="s">
        <v>1138</v>
      </c>
      <c r="AY694" s="77"/>
      <c r="AZ694" s="81" t="s">
        <v>1190</v>
      </c>
      <c r="BA694" s="81" t="s">
        <v>1190</v>
      </c>
      <c r="BB694" s="81" t="s">
        <v>1190</v>
      </c>
      <c r="BC694" s="81" t="s">
        <v>1138</v>
      </c>
      <c r="BD694" s="81" t="s">
        <v>1213</v>
      </c>
      <c r="BE694" s="77"/>
      <c r="BF694" s="77"/>
      <c r="BG694" s="77"/>
      <c r="BH694" s="77"/>
      <c r="BI694" s="77"/>
      <c r="BJ694">
        <v>13</v>
      </c>
      <c r="BK694" s="76" t="str">
        <f>REPLACE(INDEX(GroupVertices[Group],MATCH(Edges[[#This Row],[Vertex 1]],GroupVertices[Vertex],0)),1,1,"")</f>
        <v>7</v>
      </c>
      <c r="BL694" s="76" t="str">
        <f>REPLACE(INDEX(GroupVertices[Group],MATCH(Edges[[#This Row],[Vertex 2]],GroupVertices[Vertex],0)),1,1,"")</f>
        <v>7</v>
      </c>
      <c r="BM694" s="45"/>
      <c r="BN694" s="46"/>
      <c r="BO694" s="45"/>
      <c r="BP694" s="46"/>
      <c r="BQ694" s="45"/>
      <c r="BR694" s="46"/>
      <c r="BS694" s="45"/>
      <c r="BT694" s="46"/>
      <c r="BU694" s="45"/>
    </row>
    <row r="695" spans="1:73" ht="15">
      <c r="A695" s="61" t="s">
        <v>257</v>
      </c>
      <c r="B695" s="61" t="s">
        <v>536</v>
      </c>
      <c r="C695" s="62" t="s">
        <v>11696</v>
      </c>
      <c r="D695" s="63">
        <v>8.6</v>
      </c>
      <c r="E695" s="64" t="s">
        <v>136</v>
      </c>
      <c r="F695" s="65">
        <v>14.399999999999999</v>
      </c>
      <c r="G695" s="62"/>
      <c r="H695" s="66"/>
      <c r="I695" s="67"/>
      <c r="J695" s="67"/>
      <c r="K695" s="31" t="s">
        <v>65</v>
      </c>
      <c r="L695" s="75">
        <v>695</v>
      </c>
      <c r="M695" s="75"/>
      <c r="N695" s="69"/>
      <c r="O695" s="77" t="s">
        <v>539</v>
      </c>
      <c r="P695" s="79">
        <v>45157.13497685185</v>
      </c>
      <c r="Q695" s="77" t="s">
        <v>655</v>
      </c>
      <c r="R695" s="77">
        <v>3</v>
      </c>
      <c r="S695" s="77">
        <v>5</v>
      </c>
      <c r="T695" s="77">
        <v>0</v>
      </c>
      <c r="U695" s="77">
        <v>0</v>
      </c>
      <c r="V695" s="77">
        <v>92</v>
      </c>
      <c r="W695" s="81" t="s">
        <v>722</v>
      </c>
      <c r="X695" s="83" t="str">
        <f>HYPERLINK("https://www.linkedin.com/posts/pinakilaskar_ai-rationalsystem-aisystem-activity-7098499497281896448-n3mE")</f>
        <v>https://www.linkedin.com/posts/pinakilaskar_ai-rationalsystem-aisystem-activity-7098499497281896448-n3mE</v>
      </c>
      <c r="Y695" s="77" t="s">
        <v>749</v>
      </c>
      <c r="Z695" s="77" t="s">
        <v>816</v>
      </c>
      <c r="AA695" s="77"/>
      <c r="AB695" s="77"/>
      <c r="AC695" s="81" t="s">
        <v>855</v>
      </c>
      <c r="AD695" s="77" t="s">
        <v>859</v>
      </c>
      <c r="AE695" s="83" t="str">
        <f>HYPERLINK("https://twitter.com/pinakilaskar/status/1692736736835854491")</f>
        <v>https://twitter.com/pinakilaskar/status/1692736736835854491</v>
      </c>
      <c r="AF695" s="79">
        <v>45157.13497685185</v>
      </c>
      <c r="AG695" s="85">
        <v>45157</v>
      </c>
      <c r="AH695" s="81" t="s">
        <v>983</v>
      </c>
      <c r="AI695" s="77" t="b">
        <v>0</v>
      </c>
      <c r="AJ695" s="77"/>
      <c r="AK695" s="77"/>
      <c r="AL695" s="77"/>
      <c r="AM695" s="77"/>
      <c r="AN695" s="77"/>
      <c r="AO695" s="77"/>
      <c r="AP695" s="77"/>
      <c r="AQ695" s="77"/>
      <c r="AR695" s="77"/>
      <c r="AS695" s="77"/>
      <c r="AT695" s="77"/>
      <c r="AU695" s="77"/>
      <c r="AV695" s="83" t="str">
        <f>HYPERLINK("https://pbs.twimg.com/profile_images/1277223966705192966/aIT6N-WJ_normal.jpg")</f>
        <v>https://pbs.twimg.com/profile_images/1277223966705192966/aIT6N-WJ_normal.jpg</v>
      </c>
      <c r="AW695" s="81" t="s">
        <v>1138</v>
      </c>
      <c r="AX695" s="81" t="s">
        <v>1138</v>
      </c>
      <c r="AY695" s="77"/>
      <c r="AZ695" s="81" t="s">
        <v>1190</v>
      </c>
      <c r="BA695" s="81" t="s">
        <v>1190</v>
      </c>
      <c r="BB695" s="81" t="s">
        <v>1190</v>
      </c>
      <c r="BC695" s="81" t="s">
        <v>1138</v>
      </c>
      <c r="BD695" s="81" t="s">
        <v>1213</v>
      </c>
      <c r="BE695" s="77"/>
      <c r="BF695" s="77"/>
      <c r="BG695" s="77"/>
      <c r="BH695" s="77"/>
      <c r="BI695" s="77"/>
      <c r="BJ695">
        <v>5</v>
      </c>
      <c r="BK695" s="76" t="str">
        <f>REPLACE(INDEX(GroupVertices[Group],MATCH(Edges[[#This Row],[Vertex 1]],GroupVertices[Vertex],0)),1,1,"")</f>
        <v>7</v>
      </c>
      <c r="BL695" s="76" t="str">
        <f>REPLACE(INDEX(GroupVertices[Group],MATCH(Edges[[#This Row],[Vertex 2]],GroupVertices[Vertex],0)),1,1,"")</f>
        <v>7</v>
      </c>
      <c r="BM695" s="45"/>
      <c r="BN695" s="46"/>
      <c r="BO695" s="45"/>
      <c r="BP695" s="46"/>
      <c r="BQ695" s="45"/>
      <c r="BR695" s="46"/>
      <c r="BS695" s="45"/>
      <c r="BT695" s="46"/>
      <c r="BU695" s="45"/>
    </row>
    <row r="696" spans="1:73" ht="15">
      <c r="A696" s="61" t="s">
        <v>257</v>
      </c>
      <c r="B696" s="61" t="s">
        <v>537</v>
      </c>
      <c r="C696" s="62" t="s">
        <v>11697</v>
      </c>
      <c r="D696" s="63">
        <v>10</v>
      </c>
      <c r="E696" s="64" t="s">
        <v>136</v>
      </c>
      <c r="F696" s="65">
        <v>10</v>
      </c>
      <c r="G696" s="62"/>
      <c r="H696" s="66"/>
      <c r="I696" s="67"/>
      <c r="J696" s="67"/>
      <c r="K696" s="31" t="s">
        <v>65</v>
      </c>
      <c r="L696" s="75">
        <v>696</v>
      </c>
      <c r="M696" s="75"/>
      <c r="N696" s="69"/>
      <c r="O696" s="77" t="s">
        <v>539</v>
      </c>
      <c r="P696" s="79">
        <v>45157.13497685185</v>
      </c>
      <c r="Q696" s="77" t="s">
        <v>655</v>
      </c>
      <c r="R696" s="77">
        <v>3</v>
      </c>
      <c r="S696" s="77">
        <v>5</v>
      </c>
      <c r="T696" s="77">
        <v>0</v>
      </c>
      <c r="U696" s="77">
        <v>0</v>
      </c>
      <c r="V696" s="77">
        <v>92</v>
      </c>
      <c r="W696" s="81" t="s">
        <v>722</v>
      </c>
      <c r="X696" s="83" t="str">
        <f>HYPERLINK("https://www.linkedin.com/posts/pinakilaskar_ai-rationalsystem-aisystem-activity-7098499497281896448-n3mE")</f>
        <v>https://www.linkedin.com/posts/pinakilaskar_ai-rationalsystem-aisystem-activity-7098499497281896448-n3mE</v>
      </c>
      <c r="Y696" s="77" t="s">
        <v>749</v>
      </c>
      <c r="Z696" s="77" t="s">
        <v>816</v>
      </c>
      <c r="AA696" s="77"/>
      <c r="AB696" s="77"/>
      <c r="AC696" s="81" t="s">
        <v>855</v>
      </c>
      <c r="AD696" s="77" t="s">
        <v>859</v>
      </c>
      <c r="AE696" s="83" t="str">
        <f>HYPERLINK("https://twitter.com/pinakilaskar/status/1692736736835854491")</f>
        <v>https://twitter.com/pinakilaskar/status/1692736736835854491</v>
      </c>
      <c r="AF696" s="79">
        <v>45157.13497685185</v>
      </c>
      <c r="AG696" s="85">
        <v>45157</v>
      </c>
      <c r="AH696" s="81" t="s">
        <v>983</v>
      </c>
      <c r="AI696" s="77" t="b">
        <v>0</v>
      </c>
      <c r="AJ696" s="77"/>
      <c r="AK696" s="77"/>
      <c r="AL696" s="77"/>
      <c r="AM696" s="77"/>
      <c r="AN696" s="77"/>
      <c r="AO696" s="77"/>
      <c r="AP696" s="77"/>
      <c r="AQ696" s="77"/>
      <c r="AR696" s="77"/>
      <c r="AS696" s="77"/>
      <c r="AT696" s="77"/>
      <c r="AU696" s="77"/>
      <c r="AV696" s="83" t="str">
        <f>HYPERLINK("https://pbs.twimg.com/profile_images/1277223966705192966/aIT6N-WJ_normal.jpg")</f>
        <v>https://pbs.twimg.com/profile_images/1277223966705192966/aIT6N-WJ_normal.jpg</v>
      </c>
      <c r="AW696" s="81" t="s">
        <v>1138</v>
      </c>
      <c r="AX696" s="81" t="s">
        <v>1138</v>
      </c>
      <c r="AY696" s="77"/>
      <c r="AZ696" s="81" t="s">
        <v>1190</v>
      </c>
      <c r="BA696" s="81" t="s">
        <v>1190</v>
      </c>
      <c r="BB696" s="81" t="s">
        <v>1190</v>
      </c>
      <c r="BC696" s="81" t="s">
        <v>1138</v>
      </c>
      <c r="BD696" s="81" t="s">
        <v>1213</v>
      </c>
      <c r="BE696" s="77"/>
      <c r="BF696" s="77"/>
      <c r="BG696" s="77"/>
      <c r="BH696" s="77"/>
      <c r="BI696" s="77"/>
      <c r="BJ696">
        <v>10</v>
      </c>
      <c r="BK696" s="76" t="str">
        <f>REPLACE(INDEX(GroupVertices[Group],MATCH(Edges[[#This Row],[Vertex 1]],GroupVertices[Vertex],0)),1,1,"")</f>
        <v>7</v>
      </c>
      <c r="BL696" s="76" t="str">
        <f>REPLACE(INDEX(GroupVertices[Group],MATCH(Edges[[#This Row],[Vertex 2]],GroupVertices[Vertex],0)),1,1,"")</f>
        <v>7</v>
      </c>
      <c r="BM696" s="45"/>
      <c r="BN696" s="46"/>
      <c r="BO696" s="45"/>
      <c r="BP696" s="46"/>
      <c r="BQ696" s="45"/>
      <c r="BR696" s="46"/>
      <c r="BS696" s="45"/>
      <c r="BT696" s="46"/>
      <c r="BU696" s="45"/>
    </row>
    <row r="697" spans="1:73" ht="15">
      <c r="A697" s="61" t="s">
        <v>257</v>
      </c>
      <c r="B697" s="61" t="s">
        <v>538</v>
      </c>
      <c r="C697" s="62" t="s">
        <v>11697</v>
      </c>
      <c r="D697" s="63">
        <v>10</v>
      </c>
      <c r="E697" s="64" t="s">
        <v>136</v>
      </c>
      <c r="F697" s="65">
        <v>10</v>
      </c>
      <c r="G697" s="62"/>
      <c r="H697" s="66"/>
      <c r="I697" s="67"/>
      <c r="J697" s="67"/>
      <c r="K697" s="31" t="s">
        <v>65</v>
      </c>
      <c r="L697" s="75">
        <v>697</v>
      </c>
      <c r="M697" s="75"/>
      <c r="N697" s="69"/>
      <c r="O697" s="77" t="s">
        <v>539</v>
      </c>
      <c r="P697" s="79">
        <v>45157.13497685185</v>
      </c>
      <c r="Q697" s="77" t="s">
        <v>655</v>
      </c>
      <c r="R697" s="77">
        <v>3</v>
      </c>
      <c r="S697" s="77">
        <v>5</v>
      </c>
      <c r="T697" s="77">
        <v>0</v>
      </c>
      <c r="U697" s="77">
        <v>0</v>
      </c>
      <c r="V697" s="77">
        <v>92</v>
      </c>
      <c r="W697" s="81" t="s">
        <v>722</v>
      </c>
      <c r="X697" s="83" t="str">
        <f>HYPERLINK("https://www.linkedin.com/posts/pinakilaskar_ai-rationalsystem-aisystem-activity-7098499497281896448-n3mE")</f>
        <v>https://www.linkedin.com/posts/pinakilaskar_ai-rationalsystem-aisystem-activity-7098499497281896448-n3mE</v>
      </c>
      <c r="Y697" s="77" t="s">
        <v>749</v>
      </c>
      <c r="Z697" s="77" t="s">
        <v>816</v>
      </c>
      <c r="AA697" s="77"/>
      <c r="AB697" s="77"/>
      <c r="AC697" s="81" t="s">
        <v>855</v>
      </c>
      <c r="AD697" s="77" t="s">
        <v>859</v>
      </c>
      <c r="AE697" s="83" t="str">
        <f>HYPERLINK("https://twitter.com/pinakilaskar/status/1692736736835854491")</f>
        <v>https://twitter.com/pinakilaskar/status/1692736736835854491</v>
      </c>
      <c r="AF697" s="79">
        <v>45157.13497685185</v>
      </c>
      <c r="AG697" s="85">
        <v>45157</v>
      </c>
      <c r="AH697" s="81" t="s">
        <v>983</v>
      </c>
      <c r="AI697" s="77" t="b">
        <v>0</v>
      </c>
      <c r="AJ697" s="77"/>
      <c r="AK697" s="77"/>
      <c r="AL697" s="77"/>
      <c r="AM697" s="77"/>
      <c r="AN697" s="77"/>
      <c r="AO697" s="77"/>
      <c r="AP697" s="77"/>
      <c r="AQ697" s="77"/>
      <c r="AR697" s="77"/>
      <c r="AS697" s="77"/>
      <c r="AT697" s="77"/>
      <c r="AU697" s="77"/>
      <c r="AV697" s="83" t="str">
        <f>HYPERLINK("https://pbs.twimg.com/profile_images/1277223966705192966/aIT6N-WJ_normal.jpg")</f>
        <v>https://pbs.twimg.com/profile_images/1277223966705192966/aIT6N-WJ_normal.jpg</v>
      </c>
      <c r="AW697" s="81" t="s">
        <v>1138</v>
      </c>
      <c r="AX697" s="81" t="s">
        <v>1138</v>
      </c>
      <c r="AY697" s="77"/>
      <c r="AZ697" s="81" t="s">
        <v>1190</v>
      </c>
      <c r="BA697" s="81" t="s">
        <v>1190</v>
      </c>
      <c r="BB697" s="81" t="s">
        <v>1190</v>
      </c>
      <c r="BC697" s="81" t="s">
        <v>1138</v>
      </c>
      <c r="BD697" s="81" t="s">
        <v>1213</v>
      </c>
      <c r="BE697" s="77"/>
      <c r="BF697" s="77"/>
      <c r="BG697" s="77"/>
      <c r="BH697" s="77"/>
      <c r="BI697" s="77"/>
      <c r="BJ697">
        <v>13</v>
      </c>
      <c r="BK697" s="76" t="str">
        <f>REPLACE(INDEX(GroupVertices[Group],MATCH(Edges[[#This Row],[Vertex 1]],GroupVertices[Vertex],0)),1,1,"")</f>
        <v>7</v>
      </c>
      <c r="BL697" s="76" t="str">
        <f>REPLACE(INDEX(GroupVertices[Group],MATCH(Edges[[#This Row],[Vertex 2]],GroupVertices[Vertex],0)),1,1,"")</f>
        <v>7</v>
      </c>
      <c r="BM697" s="45">
        <v>1</v>
      </c>
      <c r="BN697" s="46">
        <v>4.761904761904762</v>
      </c>
      <c r="BO697" s="45">
        <v>0</v>
      </c>
      <c r="BP697" s="46">
        <v>0</v>
      </c>
      <c r="BQ697" s="45">
        <v>0</v>
      </c>
      <c r="BR697" s="46">
        <v>0</v>
      </c>
      <c r="BS697" s="45">
        <v>18</v>
      </c>
      <c r="BT697" s="46">
        <v>85.71428571428571</v>
      </c>
      <c r="BU697" s="45">
        <v>21</v>
      </c>
    </row>
    <row r="698" spans="1:73" ht="15">
      <c r="A698" s="61" t="s">
        <v>257</v>
      </c>
      <c r="B698" s="61" t="s">
        <v>258</v>
      </c>
      <c r="C698" s="62" t="s">
        <v>11695</v>
      </c>
      <c r="D698" s="63">
        <v>7.2</v>
      </c>
      <c r="E698" s="64" t="s">
        <v>132</v>
      </c>
      <c r="F698" s="65">
        <v>18.8</v>
      </c>
      <c r="G698" s="62"/>
      <c r="H698" s="66"/>
      <c r="I698" s="67"/>
      <c r="J698" s="67"/>
      <c r="K698" s="31" t="s">
        <v>65</v>
      </c>
      <c r="L698" s="75">
        <v>698</v>
      </c>
      <c r="M698" s="75"/>
      <c r="N698" s="69"/>
      <c r="O698" s="77" t="s">
        <v>539</v>
      </c>
      <c r="P698" s="79">
        <v>45169.663298611114</v>
      </c>
      <c r="Q698" s="77" t="s">
        <v>656</v>
      </c>
      <c r="R698" s="77">
        <v>3</v>
      </c>
      <c r="S698" s="77">
        <v>3</v>
      </c>
      <c r="T698" s="77">
        <v>0</v>
      </c>
      <c r="U698" s="77">
        <v>0</v>
      </c>
      <c r="V698" s="77">
        <v>129</v>
      </c>
      <c r="W698" s="81" t="s">
        <v>723</v>
      </c>
      <c r="X698" s="77"/>
      <c r="Y698" s="77"/>
      <c r="Z698" s="77" t="s">
        <v>810</v>
      </c>
      <c r="AA698" s="77" t="s">
        <v>843</v>
      </c>
      <c r="AB698" s="77" t="s">
        <v>848</v>
      </c>
      <c r="AC698" s="81" t="s">
        <v>855</v>
      </c>
      <c r="AD698" s="77" t="s">
        <v>859</v>
      </c>
      <c r="AE698" s="83" t="str">
        <f>HYPERLINK("https://twitter.com/pinakilaskar/status/1697276848760373530")</f>
        <v>https://twitter.com/pinakilaskar/status/1697276848760373530</v>
      </c>
      <c r="AF698" s="79">
        <v>45169.663298611114</v>
      </c>
      <c r="AG698" s="85">
        <v>45169</v>
      </c>
      <c r="AH698" s="81" t="s">
        <v>984</v>
      </c>
      <c r="AI698" s="77" t="b">
        <v>0</v>
      </c>
      <c r="AJ698" s="77"/>
      <c r="AK698" s="77"/>
      <c r="AL698" s="77"/>
      <c r="AM698" s="77"/>
      <c r="AN698" s="77"/>
      <c r="AO698" s="77"/>
      <c r="AP698" s="77"/>
      <c r="AQ698" s="77" t="s">
        <v>1022</v>
      </c>
      <c r="AR698" s="77"/>
      <c r="AS698" s="77"/>
      <c r="AT698" s="77"/>
      <c r="AU698" s="77"/>
      <c r="AV698" s="83" t="str">
        <f>HYPERLINK("https://pbs.twimg.com/media/F43wTHLaYAAPouw.jpg")</f>
        <v>https://pbs.twimg.com/media/F43wTHLaYAAPouw.jpg</v>
      </c>
      <c r="AW698" s="81" t="s">
        <v>1139</v>
      </c>
      <c r="AX698" s="81" t="s">
        <v>1139</v>
      </c>
      <c r="AY698" s="77"/>
      <c r="AZ698" s="81" t="s">
        <v>1190</v>
      </c>
      <c r="BA698" s="81" t="s">
        <v>1190</v>
      </c>
      <c r="BB698" s="81" t="s">
        <v>1190</v>
      </c>
      <c r="BC698" s="81" t="s">
        <v>1139</v>
      </c>
      <c r="BD698" s="81" t="s">
        <v>1213</v>
      </c>
      <c r="BE698" s="77"/>
      <c r="BF698" s="77"/>
      <c r="BG698" s="77"/>
      <c r="BH698" s="77"/>
      <c r="BI698" s="77"/>
      <c r="BJ698">
        <v>4</v>
      </c>
      <c r="BK698" s="76" t="str">
        <f>REPLACE(INDEX(GroupVertices[Group],MATCH(Edges[[#This Row],[Vertex 1]],GroupVertices[Vertex],0)),1,1,"")</f>
        <v>7</v>
      </c>
      <c r="BL698" s="76" t="str">
        <f>REPLACE(INDEX(GroupVertices[Group],MATCH(Edges[[#This Row],[Vertex 2]],GroupVertices[Vertex],0)),1,1,"")</f>
        <v>7</v>
      </c>
      <c r="BM698" s="45">
        <v>1</v>
      </c>
      <c r="BN698" s="46">
        <v>4.3478260869565215</v>
      </c>
      <c r="BO698" s="45">
        <v>0</v>
      </c>
      <c r="BP698" s="46">
        <v>0</v>
      </c>
      <c r="BQ698" s="45">
        <v>0</v>
      </c>
      <c r="BR698" s="46">
        <v>0</v>
      </c>
      <c r="BS698" s="45">
        <v>18</v>
      </c>
      <c r="BT698" s="46">
        <v>78.26086956521739</v>
      </c>
      <c r="BU698" s="45">
        <v>23</v>
      </c>
    </row>
    <row r="699" spans="1:73" ht="15">
      <c r="A699" s="61" t="s">
        <v>257</v>
      </c>
      <c r="B699" s="61" t="s">
        <v>526</v>
      </c>
      <c r="C699" s="62" t="s">
        <v>11696</v>
      </c>
      <c r="D699" s="63">
        <v>8.6</v>
      </c>
      <c r="E699" s="64" t="s">
        <v>136</v>
      </c>
      <c r="F699" s="65">
        <v>14.399999999999999</v>
      </c>
      <c r="G699" s="62"/>
      <c r="H699" s="66"/>
      <c r="I699" s="67"/>
      <c r="J699" s="67"/>
      <c r="K699" s="31" t="s">
        <v>65</v>
      </c>
      <c r="L699" s="75">
        <v>699</v>
      </c>
      <c r="M699" s="75"/>
      <c r="N699" s="69"/>
      <c r="O699" s="77" t="s">
        <v>539</v>
      </c>
      <c r="P699" s="79">
        <v>45169.663298611114</v>
      </c>
      <c r="Q699" s="77" t="s">
        <v>656</v>
      </c>
      <c r="R699" s="77">
        <v>3</v>
      </c>
      <c r="S699" s="77">
        <v>3</v>
      </c>
      <c r="T699" s="77">
        <v>0</v>
      </c>
      <c r="U699" s="77">
        <v>0</v>
      </c>
      <c r="V699" s="77">
        <v>129</v>
      </c>
      <c r="W699" s="81" t="s">
        <v>723</v>
      </c>
      <c r="X699" s="77"/>
      <c r="Y699" s="77"/>
      <c r="Z699" s="77" t="s">
        <v>810</v>
      </c>
      <c r="AA699" s="77" t="s">
        <v>843</v>
      </c>
      <c r="AB699" s="77" t="s">
        <v>848</v>
      </c>
      <c r="AC699" s="81" t="s">
        <v>855</v>
      </c>
      <c r="AD699" s="77" t="s">
        <v>859</v>
      </c>
      <c r="AE699" s="83" t="str">
        <f>HYPERLINK("https://twitter.com/pinakilaskar/status/1697276848760373530")</f>
        <v>https://twitter.com/pinakilaskar/status/1697276848760373530</v>
      </c>
      <c r="AF699" s="79">
        <v>45169.663298611114</v>
      </c>
      <c r="AG699" s="85">
        <v>45169</v>
      </c>
      <c r="AH699" s="81" t="s">
        <v>984</v>
      </c>
      <c r="AI699" s="77" t="b">
        <v>0</v>
      </c>
      <c r="AJ699" s="77"/>
      <c r="AK699" s="77"/>
      <c r="AL699" s="77"/>
      <c r="AM699" s="77"/>
      <c r="AN699" s="77"/>
      <c r="AO699" s="77"/>
      <c r="AP699" s="77"/>
      <c r="AQ699" s="77" t="s">
        <v>1022</v>
      </c>
      <c r="AR699" s="77"/>
      <c r="AS699" s="77"/>
      <c r="AT699" s="77"/>
      <c r="AU699" s="77"/>
      <c r="AV699" s="83" t="str">
        <f>HYPERLINK("https://pbs.twimg.com/media/F43wTHLaYAAPouw.jpg")</f>
        <v>https://pbs.twimg.com/media/F43wTHLaYAAPouw.jpg</v>
      </c>
      <c r="AW699" s="81" t="s">
        <v>1139</v>
      </c>
      <c r="AX699" s="81" t="s">
        <v>1139</v>
      </c>
      <c r="AY699" s="77"/>
      <c r="AZ699" s="81" t="s">
        <v>1190</v>
      </c>
      <c r="BA699" s="81" t="s">
        <v>1190</v>
      </c>
      <c r="BB699" s="81" t="s">
        <v>1190</v>
      </c>
      <c r="BC699" s="81" t="s">
        <v>1139</v>
      </c>
      <c r="BD699" s="81" t="s">
        <v>1213</v>
      </c>
      <c r="BE699" s="77"/>
      <c r="BF699" s="77"/>
      <c r="BG699" s="77"/>
      <c r="BH699" s="77"/>
      <c r="BI699" s="77"/>
      <c r="BJ699">
        <v>5</v>
      </c>
      <c r="BK699" s="76" t="str">
        <f>REPLACE(INDEX(GroupVertices[Group],MATCH(Edges[[#This Row],[Vertex 1]],GroupVertices[Vertex],0)),1,1,"")</f>
        <v>7</v>
      </c>
      <c r="BL699" s="76" t="str">
        <f>REPLACE(INDEX(GroupVertices[Group],MATCH(Edges[[#This Row],[Vertex 2]],GroupVertices[Vertex],0)),1,1,"")</f>
        <v>7</v>
      </c>
      <c r="BM699" s="45"/>
      <c r="BN699" s="46"/>
      <c r="BO699" s="45"/>
      <c r="BP699" s="46"/>
      <c r="BQ699" s="45"/>
      <c r="BR699" s="46"/>
      <c r="BS699" s="45"/>
      <c r="BT699" s="46"/>
      <c r="BU699" s="45"/>
    </row>
    <row r="700" spans="1:73" ht="15">
      <c r="A700" s="61" t="s">
        <v>257</v>
      </c>
      <c r="B700" s="61" t="s">
        <v>527</v>
      </c>
      <c r="C700" s="62" t="s">
        <v>11695</v>
      </c>
      <c r="D700" s="63">
        <v>7.2</v>
      </c>
      <c r="E700" s="64" t="s">
        <v>132</v>
      </c>
      <c r="F700" s="65">
        <v>18.8</v>
      </c>
      <c r="G700" s="62"/>
      <c r="H700" s="66"/>
      <c r="I700" s="67"/>
      <c r="J700" s="67"/>
      <c r="K700" s="31" t="s">
        <v>65</v>
      </c>
      <c r="L700" s="75">
        <v>700</v>
      </c>
      <c r="M700" s="75"/>
      <c r="N700" s="69"/>
      <c r="O700" s="77" t="s">
        <v>539</v>
      </c>
      <c r="P700" s="79">
        <v>45169.663298611114</v>
      </c>
      <c r="Q700" s="77" t="s">
        <v>656</v>
      </c>
      <c r="R700" s="77">
        <v>3</v>
      </c>
      <c r="S700" s="77">
        <v>3</v>
      </c>
      <c r="T700" s="77">
        <v>0</v>
      </c>
      <c r="U700" s="77">
        <v>0</v>
      </c>
      <c r="V700" s="77">
        <v>129</v>
      </c>
      <c r="W700" s="81" t="s">
        <v>723</v>
      </c>
      <c r="X700" s="77"/>
      <c r="Y700" s="77"/>
      <c r="Z700" s="77" t="s">
        <v>810</v>
      </c>
      <c r="AA700" s="77" t="s">
        <v>843</v>
      </c>
      <c r="AB700" s="77" t="s">
        <v>848</v>
      </c>
      <c r="AC700" s="81" t="s">
        <v>855</v>
      </c>
      <c r="AD700" s="77" t="s">
        <v>859</v>
      </c>
      <c r="AE700" s="83" t="str">
        <f>HYPERLINK("https://twitter.com/pinakilaskar/status/1697276848760373530")</f>
        <v>https://twitter.com/pinakilaskar/status/1697276848760373530</v>
      </c>
      <c r="AF700" s="79">
        <v>45169.663298611114</v>
      </c>
      <c r="AG700" s="85">
        <v>45169</v>
      </c>
      <c r="AH700" s="81" t="s">
        <v>984</v>
      </c>
      <c r="AI700" s="77" t="b">
        <v>0</v>
      </c>
      <c r="AJ700" s="77"/>
      <c r="AK700" s="77"/>
      <c r="AL700" s="77"/>
      <c r="AM700" s="77"/>
      <c r="AN700" s="77"/>
      <c r="AO700" s="77"/>
      <c r="AP700" s="77"/>
      <c r="AQ700" s="77" t="s">
        <v>1022</v>
      </c>
      <c r="AR700" s="77"/>
      <c r="AS700" s="77"/>
      <c r="AT700" s="77"/>
      <c r="AU700" s="77"/>
      <c r="AV700" s="83" t="str">
        <f>HYPERLINK("https://pbs.twimg.com/media/F43wTHLaYAAPouw.jpg")</f>
        <v>https://pbs.twimg.com/media/F43wTHLaYAAPouw.jpg</v>
      </c>
      <c r="AW700" s="81" t="s">
        <v>1139</v>
      </c>
      <c r="AX700" s="81" t="s">
        <v>1139</v>
      </c>
      <c r="AY700" s="77"/>
      <c r="AZ700" s="81" t="s">
        <v>1190</v>
      </c>
      <c r="BA700" s="81" t="s">
        <v>1190</v>
      </c>
      <c r="BB700" s="81" t="s">
        <v>1190</v>
      </c>
      <c r="BC700" s="81" t="s">
        <v>1139</v>
      </c>
      <c r="BD700" s="81" t="s">
        <v>1213</v>
      </c>
      <c r="BE700" s="77"/>
      <c r="BF700" s="77"/>
      <c r="BG700" s="77"/>
      <c r="BH700" s="77"/>
      <c r="BI700" s="77"/>
      <c r="BJ700">
        <v>4</v>
      </c>
      <c r="BK700" s="76" t="str">
        <f>REPLACE(INDEX(GroupVertices[Group],MATCH(Edges[[#This Row],[Vertex 1]],GroupVertices[Vertex],0)),1,1,"")</f>
        <v>7</v>
      </c>
      <c r="BL700" s="76" t="str">
        <f>REPLACE(INDEX(GroupVertices[Group],MATCH(Edges[[#This Row],[Vertex 2]],GroupVertices[Vertex],0)),1,1,"")</f>
        <v>7</v>
      </c>
      <c r="BM700" s="45"/>
      <c r="BN700" s="46"/>
      <c r="BO700" s="45"/>
      <c r="BP700" s="46"/>
      <c r="BQ700" s="45"/>
      <c r="BR700" s="46"/>
      <c r="BS700" s="45"/>
      <c r="BT700" s="46"/>
      <c r="BU700" s="45"/>
    </row>
    <row r="701" spans="1:73" ht="15">
      <c r="A701" s="61" t="s">
        <v>257</v>
      </c>
      <c r="B701" s="61" t="s">
        <v>228</v>
      </c>
      <c r="C701" s="62" t="s">
        <v>11697</v>
      </c>
      <c r="D701" s="63">
        <v>10</v>
      </c>
      <c r="E701" s="64" t="s">
        <v>136</v>
      </c>
      <c r="F701" s="65">
        <v>10</v>
      </c>
      <c r="G701" s="62"/>
      <c r="H701" s="66"/>
      <c r="I701" s="67"/>
      <c r="J701" s="67"/>
      <c r="K701" s="31" t="s">
        <v>65</v>
      </c>
      <c r="L701" s="75">
        <v>701</v>
      </c>
      <c r="M701" s="75"/>
      <c r="N701" s="69"/>
      <c r="O701" s="77" t="s">
        <v>539</v>
      </c>
      <c r="P701" s="79">
        <v>45169.663298611114</v>
      </c>
      <c r="Q701" s="77" t="s">
        <v>656</v>
      </c>
      <c r="R701" s="77">
        <v>3</v>
      </c>
      <c r="S701" s="77">
        <v>3</v>
      </c>
      <c r="T701" s="77">
        <v>0</v>
      </c>
      <c r="U701" s="77">
        <v>0</v>
      </c>
      <c r="V701" s="77">
        <v>129</v>
      </c>
      <c r="W701" s="81" t="s">
        <v>723</v>
      </c>
      <c r="X701" s="77"/>
      <c r="Y701" s="77"/>
      <c r="Z701" s="77" t="s">
        <v>810</v>
      </c>
      <c r="AA701" s="77" t="s">
        <v>843</v>
      </c>
      <c r="AB701" s="77" t="s">
        <v>848</v>
      </c>
      <c r="AC701" s="81" t="s">
        <v>855</v>
      </c>
      <c r="AD701" s="77" t="s">
        <v>859</v>
      </c>
      <c r="AE701" s="83" t="str">
        <f>HYPERLINK("https://twitter.com/pinakilaskar/status/1697276848760373530")</f>
        <v>https://twitter.com/pinakilaskar/status/1697276848760373530</v>
      </c>
      <c r="AF701" s="79">
        <v>45169.663298611114</v>
      </c>
      <c r="AG701" s="85">
        <v>45169</v>
      </c>
      <c r="AH701" s="81" t="s">
        <v>984</v>
      </c>
      <c r="AI701" s="77" t="b">
        <v>0</v>
      </c>
      <c r="AJ701" s="77"/>
      <c r="AK701" s="77"/>
      <c r="AL701" s="77"/>
      <c r="AM701" s="77"/>
      <c r="AN701" s="77"/>
      <c r="AO701" s="77"/>
      <c r="AP701" s="77"/>
      <c r="AQ701" s="77" t="s">
        <v>1022</v>
      </c>
      <c r="AR701" s="77"/>
      <c r="AS701" s="77"/>
      <c r="AT701" s="77"/>
      <c r="AU701" s="77"/>
      <c r="AV701" s="83" t="str">
        <f>HYPERLINK("https://pbs.twimg.com/media/F43wTHLaYAAPouw.jpg")</f>
        <v>https://pbs.twimg.com/media/F43wTHLaYAAPouw.jpg</v>
      </c>
      <c r="AW701" s="81" t="s">
        <v>1139</v>
      </c>
      <c r="AX701" s="81" t="s">
        <v>1139</v>
      </c>
      <c r="AY701" s="77"/>
      <c r="AZ701" s="81" t="s">
        <v>1190</v>
      </c>
      <c r="BA701" s="81" t="s">
        <v>1190</v>
      </c>
      <c r="BB701" s="81" t="s">
        <v>1190</v>
      </c>
      <c r="BC701" s="81" t="s">
        <v>1139</v>
      </c>
      <c r="BD701" s="81" t="s">
        <v>1213</v>
      </c>
      <c r="BE701" s="77"/>
      <c r="BF701" s="77"/>
      <c r="BG701" s="77"/>
      <c r="BH701" s="77"/>
      <c r="BI701" s="77"/>
      <c r="BJ701">
        <v>13</v>
      </c>
      <c r="BK701" s="76" t="str">
        <f>REPLACE(INDEX(GroupVertices[Group],MATCH(Edges[[#This Row],[Vertex 1]],GroupVertices[Vertex],0)),1,1,"")</f>
        <v>7</v>
      </c>
      <c r="BL701" s="76" t="str">
        <f>REPLACE(INDEX(GroupVertices[Group],MATCH(Edges[[#This Row],[Vertex 2]],GroupVertices[Vertex],0)),1,1,"")</f>
        <v>2</v>
      </c>
      <c r="BM701" s="45"/>
      <c r="BN701" s="46"/>
      <c r="BO701" s="45"/>
      <c r="BP701" s="46"/>
      <c r="BQ701" s="45"/>
      <c r="BR701" s="46"/>
      <c r="BS701" s="45"/>
      <c r="BT701" s="46"/>
      <c r="BU701" s="45"/>
    </row>
    <row r="702" spans="1:73" ht="15">
      <c r="A702" s="61" t="s">
        <v>257</v>
      </c>
      <c r="B702" s="61" t="s">
        <v>528</v>
      </c>
      <c r="C702" s="62" t="s">
        <v>11697</v>
      </c>
      <c r="D702" s="63">
        <v>10</v>
      </c>
      <c r="E702" s="64" t="s">
        <v>136</v>
      </c>
      <c r="F702" s="65">
        <v>10</v>
      </c>
      <c r="G702" s="62"/>
      <c r="H702" s="66"/>
      <c r="I702" s="67"/>
      <c r="J702" s="67"/>
      <c r="K702" s="31" t="s">
        <v>65</v>
      </c>
      <c r="L702" s="75">
        <v>702</v>
      </c>
      <c r="M702" s="75"/>
      <c r="N702" s="69"/>
      <c r="O702" s="77" t="s">
        <v>539</v>
      </c>
      <c r="P702" s="79">
        <v>45169.663298611114</v>
      </c>
      <c r="Q702" s="77" t="s">
        <v>656</v>
      </c>
      <c r="R702" s="77">
        <v>3</v>
      </c>
      <c r="S702" s="77">
        <v>3</v>
      </c>
      <c r="T702" s="77">
        <v>0</v>
      </c>
      <c r="U702" s="77">
        <v>0</v>
      </c>
      <c r="V702" s="77">
        <v>129</v>
      </c>
      <c r="W702" s="81" t="s">
        <v>723</v>
      </c>
      <c r="X702" s="77"/>
      <c r="Y702" s="77"/>
      <c r="Z702" s="77" t="s">
        <v>810</v>
      </c>
      <c r="AA702" s="77" t="s">
        <v>843</v>
      </c>
      <c r="AB702" s="77" t="s">
        <v>848</v>
      </c>
      <c r="AC702" s="81" t="s">
        <v>855</v>
      </c>
      <c r="AD702" s="77" t="s">
        <v>859</v>
      </c>
      <c r="AE702" s="83" t="str">
        <f>HYPERLINK("https://twitter.com/pinakilaskar/status/1697276848760373530")</f>
        <v>https://twitter.com/pinakilaskar/status/1697276848760373530</v>
      </c>
      <c r="AF702" s="79">
        <v>45169.663298611114</v>
      </c>
      <c r="AG702" s="85">
        <v>45169</v>
      </c>
      <c r="AH702" s="81" t="s">
        <v>984</v>
      </c>
      <c r="AI702" s="77" t="b">
        <v>0</v>
      </c>
      <c r="AJ702" s="77"/>
      <c r="AK702" s="77"/>
      <c r="AL702" s="77"/>
      <c r="AM702" s="77"/>
      <c r="AN702" s="77"/>
      <c r="AO702" s="77"/>
      <c r="AP702" s="77"/>
      <c r="AQ702" s="77" t="s">
        <v>1022</v>
      </c>
      <c r="AR702" s="77"/>
      <c r="AS702" s="77"/>
      <c r="AT702" s="77"/>
      <c r="AU702" s="77"/>
      <c r="AV702" s="83" t="str">
        <f>HYPERLINK("https://pbs.twimg.com/media/F43wTHLaYAAPouw.jpg")</f>
        <v>https://pbs.twimg.com/media/F43wTHLaYAAPouw.jpg</v>
      </c>
      <c r="AW702" s="81" t="s">
        <v>1139</v>
      </c>
      <c r="AX702" s="81" t="s">
        <v>1139</v>
      </c>
      <c r="AY702" s="77"/>
      <c r="AZ702" s="81" t="s">
        <v>1190</v>
      </c>
      <c r="BA702" s="81" t="s">
        <v>1190</v>
      </c>
      <c r="BB702" s="81" t="s">
        <v>1190</v>
      </c>
      <c r="BC702" s="81" t="s">
        <v>1139</v>
      </c>
      <c r="BD702" s="81" t="s">
        <v>1213</v>
      </c>
      <c r="BE702" s="77"/>
      <c r="BF702" s="77"/>
      <c r="BG702" s="77"/>
      <c r="BH702" s="77"/>
      <c r="BI702" s="77"/>
      <c r="BJ702">
        <v>8</v>
      </c>
      <c r="BK702" s="76" t="str">
        <f>REPLACE(INDEX(GroupVertices[Group],MATCH(Edges[[#This Row],[Vertex 1]],GroupVertices[Vertex],0)),1,1,"")</f>
        <v>7</v>
      </c>
      <c r="BL702" s="76" t="str">
        <f>REPLACE(INDEX(GroupVertices[Group],MATCH(Edges[[#This Row],[Vertex 2]],GroupVertices[Vertex],0)),1,1,"")</f>
        <v>7</v>
      </c>
      <c r="BM702" s="45"/>
      <c r="BN702" s="46"/>
      <c r="BO702" s="45"/>
      <c r="BP702" s="46"/>
      <c r="BQ702" s="45"/>
      <c r="BR702" s="46"/>
      <c r="BS702" s="45"/>
      <c r="BT702" s="46"/>
      <c r="BU702" s="45"/>
    </row>
    <row r="703" spans="1:73" ht="15">
      <c r="A703" s="61" t="s">
        <v>257</v>
      </c>
      <c r="B703" s="61" t="s">
        <v>529</v>
      </c>
      <c r="C703" s="62" t="s">
        <v>11697</v>
      </c>
      <c r="D703" s="63">
        <v>10</v>
      </c>
      <c r="E703" s="64" t="s">
        <v>136</v>
      </c>
      <c r="F703" s="65">
        <v>10</v>
      </c>
      <c r="G703" s="62"/>
      <c r="H703" s="66"/>
      <c r="I703" s="67"/>
      <c r="J703" s="67"/>
      <c r="K703" s="31" t="s">
        <v>65</v>
      </c>
      <c r="L703" s="75">
        <v>703</v>
      </c>
      <c r="M703" s="75"/>
      <c r="N703" s="69"/>
      <c r="O703" s="77" t="s">
        <v>539</v>
      </c>
      <c r="P703" s="79">
        <v>45169.663298611114</v>
      </c>
      <c r="Q703" s="77" t="s">
        <v>656</v>
      </c>
      <c r="R703" s="77">
        <v>3</v>
      </c>
      <c r="S703" s="77">
        <v>3</v>
      </c>
      <c r="T703" s="77">
        <v>0</v>
      </c>
      <c r="U703" s="77">
        <v>0</v>
      </c>
      <c r="V703" s="77">
        <v>129</v>
      </c>
      <c r="W703" s="81" t="s">
        <v>723</v>
      </c>
      <c r="X703" s="77"/>
      <c r="Y703" s="77"/>
      <c r="Z703" s="77" t="s">
        <v>810</v>
      </c>
      <c r="AA703" s="77" t="s">
        <v>843</v>
      </c>
      <c r="AB703" s="77" t="s">
        <v>848</v>
      </c>
      <c r="AC703" s="81" t="s">
        <v>855</v>
      </c>
      <c r="AD703" s="77" t="s">
        <v>859</v>
      </c>
      <c r="AE703" s="83" t="str">
        <f>HYPERLINK("https://twitter.com/pinakilaskar/status/1697276848760373530")</f>
        <v>https://twitter.com/pinakilaskar/status/1697276848760373530</v>
      </c>
      <c r="AF703" s="79">
        <v>45169.663298611114</v>
      </c>
      <c r="AG703" s="85">
        <v>45169</v>
      </c>
      <c r="AH703" s="81" t="s">
        <v>984</v>
      </c>
      <c r="AI703" s="77" t="b">
        <v>0</v>
      </c>
      <c r="AJ703" s="77"/>
      <c r="AK703" s="77"/>
      <c r="AL703" s="77"/>
      <c r="AM703" s="77"/>
      <c r="AN703" s="77"/>
      <c r="AO703" s="77"/>
      <c r="AP703" s="77"/>
      <c r="AQ703" s="77" t="s">
        <v>1022</v>
      </c>
      <c r="AR703" s="77"/>
      <c r="AS703" s="77"/>
      <c r="AT703" s="77"/>
      <c r="AU703" s="77"/>
      <c r="AV703" s="83" t="str">
        <f>HYPERLINK("https://pbs.twimg.com/media/F43wTHLaYAAPouw.jpg")</f>
        <v>https://pbs.twimg.com/media/F43wTHLaYAAPouw.jpg</v>
      </c>
      <c r="AW703" s="81" t="s">
        <v>1139</v>
      </c>
      <c r="AX703" s="81" t="s">
        <v>1139</v>
      </c>
      <c r="AY703" s="77"/>
      <c r="AZ703" s="81" t="s">
        <v>1190</v>
      </c>
      <c r="BA703" s="81" t="s">
        <v>1190</v>
      </c>
      <c r="BB703" s="81" t="s">
        <v>1190</v>
      </c>
      <c r="BC703" s="81" t="s">
        <v>1139</v>
      </c>
      <c r="BD703" s="81" t="s">
        <v>1213</v>
      </c>
      <c r="BE703" s="77"/>
      <c r="BF703" s="77"/>
      <c r="BG703" s="77"/>
      <c r="BH703" s="77"/>
      <c r="BI703" s="77"/>
      <c r="BJ703">
        <v>13</v>
      </c>
      <c r="BK703" s="76" t="str">
        <f>REPLACE(INDEX(GroupVertices[Group],MATCH(Edges[[#This Row],[Vertex 1]],GroupVertices[Vertex],0)),1,1,"")</f>
        <v>7</v>
      </c>
      <c r="BL703" s="76" t="str">
        <f>REPLACE(INDEX(GroupVertices[Group],MATCH(Edges[[#This Row],[Vertex 2]],GroupVertices[Vertex],0)),1,1,"")</f>
        <v>7</v>
      </c>
      <c r="BM703" s="45"/>
      <c r="BN703" s="46"/>
      <c r="BO703" s="45"/>
      <c r="BP703" s="46"/>
      <c r="BQ703" s="45"/>
      <c r="BR703" s="46"/>
      <c r="BS703" s="45"/>
      <c r="BT703" s="46"/>
      <c r="BU703" s="45"/>
    </row>
    <row r="704" spans="1:73" ht="15">
      <c r="A704" s="61" t="s">
        <v>257</v>
      </c>
      <c r="B704" s="61" t="s">
        <v>530</v>
      </c>
      <c r="C704" s="62" t="s">
        <v>11697</v>
      </c>
      <c r="D704" s="63">
        <v>10</v>
      </c>
      <c r="E704" s="64" t="s">
        <v>136</v>
      </c>
      <c r="F704" s="65">
        <v>10</v>
      </c>
      <c r="G704" s="62"/>
      <c r="H704" s="66"/>
      <c r="I704" s="67"/>
      <c r="J704" s="67"/>
      <c r="K704" s="31" t="s">
        <v>65</v>
      </c>
      <c r="L704" s="75">
        <v>704</v>
      </c>
      <c r="M704" s="75"/>
      <c r="N704" s="69"/>
      <c r="O704" s="77" t="s">
        <v>539</v>
      </c>
      <c r="P704" s="79">
        <v>45169.663298611114</v>
      </c>
      <c r="Q704" s="77" t="s">
        <v>656</v>
      </c>
      <c r="R704" s="77">
        <v>3</v>
      </c>
      <c r="S704" s="77">
        <v>3</v>
      </c>
      <c r="T704" s="77">
        <v>0</v>
      </c>
      <c r="U704" s="77">
        <v>0</v>
      </c>
      <c r="V704" s="77">
        <v>129</v>
      </c>
      <c r="W704" s="81" t="s">
        <v>723</v>
      </c>
      <c r="X704" s="77"/>
      <c r="Y704" s="77"/>
      <c r="Z704" s="77" t="s">
        <v>810</v>
      </c>
      <c r="AA704" s="77" t="s">
        <v>843</v>
      </c>
      <c r="AB704" s="77" t="s">
        <v>848</v>
      </c>
      <c r="AC704" s="81" t="s">
        <v>855</v>
      </c>
      <c r="AD704" s="77" t="s">
        <v>859</v>
      </c>
      <c r="AE704" s="83" t="str">
        <f>HYPERLINK("https://twitter.com/pinakilaskar/status/1697276848760373530")</f>
        <v>https://twitter.com/pinakilaskar/status/1697276848760373530</v>
      </c>
      <c r="AF704" s="79">
        <v>45169.663298611114</v>
      </c>
      <c r="AG704" s="85">
        <v>45169</v>
      </c>
      <c r="AH704" s="81" t="s">
        <v>984</v>
      </c>
      <c r="AI704" s="77" t="b">
        <v>0</v>
      </c>
      <c r="AJ704" s="77"/>
      <c r="AK704" s="77"/>
      <c r="AL704" s="77"/>
      <c r="AM704" s="77"/>
      <c r="AN704" s="77"/>
      <c r="AO704" s="77"/>
      <c r="AP704" s="77"/>
      <c r="AQ704" s="77" t="s">
        <v>1022</v>
      </c>
      <c r="AR704" s="77"/>
      <c r="AS704" s="77"/>
      <c r="AT704" s="77"/>
      <c r="AU704" s="77"/>
      <c r="AV704" s="83" t="str">
        <f>HYPERLINK("https://pbs.twimg.com/media/F43wTHLaYAAPouw.jpg")</f>
        <v>https://pbs.twimg.com/media/F43wTHLaYAAPouw.jpg</v>
      </c>
      <c r="AW704" s="81" t="s">
        <v>1139</v>
      </c>
      <c r="AX704" s="81" t="s">
        <v>1139</v>
      </c>
      <c r="AY704" s="77"/>
      <c r="AZ704" s="81" t="s">
        <v>1190</v>
      </c>
      <c r="BA704" s="81" t="s">
        <v>1190</v>
      </c>
      <c r="BB704" s="81" t="s">
        <v>1190</v>
      </c>
      <c r="BC704" s="81" t="s">
        <v>1139</v>
      </c>
      <c r="BD704" s="81" t="s">
        <v>1213</v>
      </c>
      <c r="BE704" s="77"/>
      <c r="BF704" s="77"/>
      <c r="BG704" s="77"/>
      <c r="BH704" s="77"/>
      <c r="BI704" s="77"/>
      <c r="BJ704">
        <v>10</v>
      </c>
      <c r="BK704" s="76" t="str">
        <f>REPLACE(INDEX(GroupVertices[Group],MATCH(Edges[[#This Row],[Vertex 1]],GroupVertices[Vertex],0)),1,1,"")</f>
        <v>7</v>
      </c>
      <c r="BL704" s="76" t="str">
        <f>REPLACE(INDEX(GroupVertices[Group],MATCH(Edges[[#This Row],[Vertex 2]],GroupVertices[Vertex],0)),1,1,"")</f>
        <v>7</v>
      </c>
      <c r="BM704" s="45"/>
      <c r="BN704" s="46"/>
      <c r="BO704" s="45"/>
      <c r="BP704" s="46"/>
      <c r="BQ704" s="45"/>
      <c r="BR704" s="46"/>
      <c r="BS704" s="45"/>
      <c r="BT704" s="46"/>
      <c r="BU704" s="45"/>
    </row>
    <row r="705" spans="1:73" ht="15">
      <c r="A705" s="61" t="s">
        <v>257</v>
      </c>
      <c r="B705" s="61" t="s">
        <v>531</v>
      </c>
      <c r="C705" s="62" t="s">
        <v>11697</v>
      </c>
      <c r="D705" s="63">
        <v>10</v>
      </c>
      <c r="E705" s="64" t="s">
        <v>136</v>
      </c>
      <c r="F705" s="65">
        <v>10</v>
      </c>
      <c r="G705" s="62"/>
      <c r="H705" s="66"/>
      <c r="I705" s="67"/>
      <c r="J705" s="67"/>
      <c r="K705" s="31" t="s">
        <v>65</v>
      </c>
      <c r="L705" s="75">
        <v>705</v>
      </c>
      <c r="M705" s="75"/>
      <c r="N705" s="69"/>
      <c r="O705" s="77" t="s">
        <v>539</v>
      </c>
      <c r="P705" s="79">
        <v>45169.663298611114</v>
      </c>
      <c r="Q705" s="77" t="s">
        <v>656</v>
      </c>
      <c r="R705" s="77">
        <v>3</v>
      </c>
      <c r="S705" s="77">
        <v>3</v>
      </c>
      <c r="T705" s="77">
        <v>0</v>
      </c>
      <c r="U705" s="77">
        <v>0</v>
      </c>
      <c r="V705" s="77">
        <v>129</v>
      </c>
      <c r="W705" s="81" t="s">
        <v>723</v>
      </c>
      <c r="X705" s="77"/>
      <c r="Y705" s="77"/>
      <c r="Z705" s="77" t="s">
        <v>810</v>
      </c>
      <c r="AA705" s="77" t="s">
        <v>843</v>
      </c>
      <c r="AB705" s="77" t="s">
        <v>848</v>
      </c>
      <c r="AC705" s="81" t="s">
        <v>855</v>
      </c>
      <c r="AD705" s="77" t="s">
        <v>859</v>
      </c>
      <c r="AE705" s="83" t="str">
        <f>HYPERLINK("https://twitter.com/pinakilaskar/status/1697276848760373530")</f>
        <v>https://twitter.com/pinakilaskar/status/1697276848760373530</v>
      </c>
      <c r="AF705" s="79">
        <v>45169.663298611114</v>
      </c>
      <c r="AG705" s="85">
        <v>45169</v>
      </c>
      <c r="AH705" s="81" t="s">
        <v>984</v>
      </c>
      <c r="AI705" s="77" t="b">
        <v>0</v>
      </c>
      <c r="AJ705" s="77"/>
      <c r="AK705" s="77"/>
      <c r="AL705" s="77"/>
      <c r="AM705" s="77"/>
      <c r="AN705" s="77"/>
      <c r="AO705" s="77"/>
      <c r="AP705" s="77"/>
      <c r="AQ705" s="77" t="s">
        <v>1022</v>
      </c>
      <c r="AR705" s="77"/>
      <c r="AS705" s="77"/>
      <c r="AT705" s="77"/>
      <c r="AU705" s="77"/>
      <c r="AV705" s="83" t="str">
        <f>HYPERLINK("https://pbs.twimg.com/media/F43wTHLaYAAPouw.jpg")</f>
        <v>https://pbs.twimg.com/media/F43wTHLaYAAPouw.jpg</v>
      </c>
      <c r="AW705" s="81" t="s">
        <v>1139</v>
      </c>
      <c r="AX705" s="81" t="s">
        <v>1139</v>
      </c>
      <c r="AY705" s="77"/>
      <c r="AZ705" s="81" t="s">
        <v>1190</v>
      </c>
      <c r="BA705" s="81" t="s">
        <v>1190</v>
      </c>
      <c r="BB705" s="81" t="s">
        <v>1190</v>
      </c>
      <c r="BC705" s="81" t="s">
        <v>1139</v>
      </c>
      <c r="BD705" s="81" t="s">
        <v>1213</v>
      </c>
      <c r="BE705" s="77"/>
      <c r="BF705" s="77"/>
      <c r="BG705" s="77"/>
      <c r="BH705" s="77"/>
      <c r="BI705" s="77"/>
      <c r="BJ705">
        <v>9</v>
      </c>
      <c r="BK705" s="76" t="str">
        <f>REPLACE(INDEX(GroupVertices[Group],MATCH(Edges[[#This Row],[Vertex 1]],GroupVertices[Vertex],0)),1,1,"")</f>
        <v>7</v>
      </c>
      <c r="BL705" s="76" t="str">
        <f>REPLACE(INDEX(GroupVertices[Group],MATCH(Edges[[#This Row],[Vertex 2]],GroupVertices[Vertex],0)),1,1,"")</f>
        <v>7</v>
      </c>
      <c r="BM705" s="45"/>
      <c r="BN705" s="46"/>
      <c r="BO705" s="45"/>
      <c r="BP705" s="46"/>
      <c r="BQ705" s="45"/>
      <c r="BR705" s="46"/>
      <c r="BS705" s="45"/>
      <c r="BT705" s="46"/>
      <c r="BU705" s="45"/>
    </row>
    <row r="706" spans="1:73" ht="15">
      <c r="A706" s="61" t="s">
        <v>257</v>
      </c>
      <c r="B706" s="61" t="s">
        <v>532</v>
      </c>
      <c r="C706" s="62" t="s">
        <v>11697</v>
      </c>
      <c r="D706" s="63">
        <v>10</v>
      </c>
      <c r="E706" s="64" t="s">
        <v>136</v>
      </c>
      <c r="F706" s="65">
        <v>10</v>
      </c>
      <c r="G706" s="62"/>
      <c r="H706" s="66"/>
      <c r="I706" s="67"/>
      <c r="J706" s="67"/>
      <c r="K706" s="31" t="s">
        <v>65</v>
      </c>
      <c r="L706" s="75">
        <v>706</v>
      </c>
      <c r="M706" s="75"/>
      <c r="N706" s="69"/>
      <c r="O706" s="77" t="s">
        <v>539</v>
      </c>
      <c r="P706" s="79">
        <v>45169.663298611114</v>
      </c>
      <c r="Q706" s="77" t="s">
        <v>656</v>
      </c>
      <c r="R706" s="77">
        <v>3</v>
      </c>
      <c r="S706" s="77">
        <v>3</v>
      </c>
      <c r="T706" s="77">
        <v>0</v>
      </c>
      <c r="U706" s="77">
        <v>0</v>
      </c>
      <c r="V706" s="77">
        <v>129</v>
      </c>
      <c r="W706" s="81" t="s">
        <v>723</v>
      </c>
      <c r="X706" s="77"/>
      <c r="Y706" s="77"/>
      <c r="Z706" s="77" t="s">
        <v>810</v>
      </c>
      <c r="AA706" s="77" t="s">
        <v>843</v>
      </c>
      <c r="AB706" s="77" t="s">
        <v>848</v>
      </c>
      <c r="AC706" s="81" t="s">
        <v>855</v>
      </c>
      <c r="AD706" s="77" t="s">
        <v>859</v>
      </c>
      <c r="AE706" s="83" t="str">
        <f>HYPERLINK("https://twitter.com/pinakilaskar/status/1697276848760373530")</f>
        <v>https://twitter.com/pinakilaskar/status/1697276848760373530</v>
      </c>
      <c r="AF706" s="79">
        <v>45169.663298611114</v>
      </c>
      <c r="AG706" s="85">
        <v>45169</v>
      </c>
      <c r="AH706" s="81" t="s">
        <v>984</v>
      </c>
      <c r="AI706" s="77" t="b">
        <v>0</v>
      </c>
      <c r="AJ706" s="77"/>
      <c r="AK706" s="77"/>
      <c r="AL706" s="77"/>
      <c r="AM706" s="77"/>
      <c r="AN706" s="77"/>
      <c r="AO706" s="77"/>
      <c r="AP706" s="77"/>
      <c r="AQ706" s="77" t="s">
        <v>1022</v>
      </c>
      <c r="AR706" s="77"/>
      <c r="AS706" s="77"/>
      <c r="AT706" s="77"/>
      <c r="AU706" s="77"/>
      <c r="AV706" s="83" t="str">
        <f>HYPERLINK("https://pbs.twimg.com/media/F43wTHLaYAAPouw.jpg")</f>
        <v>https://pbs.twimg.com/media/F43wTHLaYAAPouw.jpg</v>
      </c>
      <c r="AW706" s="81" t="s">
        <v>1139</v>
      </c>
      <c r="AX706" s="81" t="s">
        <v>1139</v>
      </c>
      <c r="AY706" s="77"/>
      <c r="AZ706" s="81" t="s">
        <v>1190</v>
      </c>
      <c r="BA706" s="81" t="s">
        <v>1190</v>
      </c>
      <c r="BB706" s="81" t="s">
        <v>1190</v>
      </c>
      <c r="BC706" s="81" t="s">
        <v>1139</v>
      </c>
      <c r="BD706" s="81" t="s">
        <v>1213</v>
      </c>
      <c r="BE706" s="77"/>
      <c r="BF706" s="77"/>
      <c r="BG706" s="77"/>
      <c r="BH706" s="77"/>
      <c r="BI706" s="77"/>
      <c r="BJ706">
        <v>13</v>
      </c>
      <c r="BK706" s="76" t="str">
        <f>REPLACE(INDEX(GroupVertices[Group],MATCH(Edges[[#This Row],[Vertex 1]],GroupVertices[Vertex],0)),1,1,"")</f>
        <v>7</v>
      </c>
      <c r="BL706" s="76" t="str">
        <f>REPLACE(INDEX(GroupVertices[Group],MATCH(Edges[[#This Row],[Vertex 2]],GroupVertices[Vertex],0)),1,1,"")</f>
        <v>7</v>
      </c>
      <c r="BM706" s="45"/>
      <c r="BN706" s="46"/>
      <c r="BO706" s="45"/>
      <c r="BP706" s="46"/>
      <c r="BQ706" s="45"/>
      <c r="BR706" s="46"/>
      <c r="BS706" s="45"/>
      <c r="BT706" s="46"/>
      <c r="BU706" s="45"/>
    </row>
    <row r="707" spans="1:73" ht="15">
      <c r="A707" s="61" t="s">
        <v>257</v>
      </c>
      <c r="B707" s="61" t="s">
        <v>533</v>
      </c>
      <c r="C707" s="62" t="s">
        <v>11697</v>
      </c>
      <c r="D707" s="63">
        <v>10</v>
      </c>
      <c r="E707" s="64" t="s">
        <v>136</v>
      </c>
      <c r="F707" s="65">
        <v>10</v>
      </c>
      <c r="G707" s="62"/>
      <c r="H707" s="66"/>
      <c r="I707" s="67"/>
      <c r="J707" s="67"/>
      <c r="K707" s="31" t="s">
        <v>65</v>
      </c>
      <c r="L707" s="75">
        <v>707</v>
      </c>
      <c r="M707" s="75"/>
      <c r="N707" s="69"/>
      <c r="O707" s="77" t="s">
        <v>539</v>
      </c>
      <c r="P707" s="79">
        <v>45169.663298611114</v>
      </c>
      <c r="Q707" s="77" t="s">
        <v>656</v>
      </c>
      <c r="R707" s="77">
        <v>3</v>
      </c>
      <c r="S707" s="77">
        <v>3</v>
      </c>
      <c r="T707" s="77">
        <v>0</v>
      </c>
      <c r="U707" s="77">
        <v>0</v>
      </c>
      <c r="V707" s="77">
        <v>129</v>
      </c>
      <c r="W707" s="81" t="s">
        <v>723</v>
      </c>
      <c r="X707" s="77"/>
      <c r="Y707" s="77"/>
      <c r="Z707" s="77" t="s">
        <v>810</v>
      </c>
      <c r="AA707" s="77" t="s">
        <v>843</v>
      </c>
      <c r="AB707" s="77" t="s">
        <v>848</v>
      </c>
      <c r="AC707" s="81" t="s">
        <v>855</v>
      </c>
      <c r="AD707" s="77" t="s">
        <v>859</v>
      </c>
      <c r="AE707" s="83" t="str">
        <f>HYPERLINK("https://twitter.com/pinakilaskar/status/1697276848760373530")</f>
        <v>https://twitter.com/pinakilaskar/status/1697276848760373530</v>
      </c>
      <c r="AF707" s="79">
        <v>45169.663298611114</v>
      </c>
      <c r="AG707" s="85">
        <v>45169</v>
      </c>
      <c r="AH707" s="81" t="s">
        <v>984</v>
      </c>
      <c r="AI707" s="77" t="b">
        <v>0</v>
      </c>
      <c r="AJ707" s="77"/>
      <c r="AK707" s="77"/>
      <c r="AL707" s="77"/>
      <c r="AM707" s="77"/>
      <c r="AN707" s="77"/>
      <c r="AO707" s="77"/>
      <c r="AP707" s="77"/>
      <c r="AQ707" s="77" t="s">
        <v>1022</v>
      </c>
      <c r="AR707" s="77"/>
      <c r="AS707" s="77"/>
      <c r="AT707" s="77"/>
      <c r="AU707" s="77"/>
      <c r="AV707" s="83" t="str">
        <f>HYPERLINK("https://pbs.twimg.com/media/F43wTHLaYAAPouw.jpg")</f>
        <v>https://pbs.twimg.com/media/F43wTHLaYAAPouw.jpg</v>
      </c>
      <c r="AW707" s="81" t="s">
        <v>1139</v>
      </c>
      <c r="AX707" s="81" t="s">
        <v>1139</v>
      </c>
      <c r="AY707" s="77"/>
      <c r="AZ707" s="81" t="s">
        <v>1190</v>
      </c>
      <c r="BA707" s="81" t="s">
        <v>1190</v>
      </c>
      <c r="BB707" s="81" t="s">
        <v>1190</v>
      </c>
      <c r="BC707" s="81" t="s">
        <v>1139</v>
      </c>
      <c r="BD707" s="81" t="s">
        <v>1213</v>
      </c>
      <c r="BE707" s="77"/>
      <c r="BF707" s="77"/>
      <c r="BG707" s="77"/>
      <c r="BH707" s="77"/>
      <c r="BI707" s="77"/>
      <c r="BJ707">
        <v>13</v>
      </c>
      <c r="BK707" s="76" t="str">
        <f>REPLACE(INDEX(GroupVertices[Group],MATCH(Edges[[#This Row],[Vertex 1]],GroupVertices[Vertex],0)),1,1,"")</f>
        <v>7</v>
      </c>
      <c r="BL707" s="76" t="str">
        <f>REPLACE(INDEX(GroupVertices[Group],MATCH(Edges[[#This Row],[Vertex 2]],GroupVertices[Vertex],0)),1,1,"")</f>
        <v>7</v>
      </c>
      <c r="BM707" s="45"/>
      <c r="BN707" s="46"/>
      <c r="BO707" s="45"/>
      <c r="BP707" s="46"/>
      <c r="BQ707" s="45"/>
      <c r="BR707" s="46"/>
      <c r="BS707" s="45"/>
      <c r="BT707" s="46"/>
      <c r="BU707" s="45"/>
    </row>
    <row r="708" spans="1:73" ht="15">
      <c r="A708" s="61" t="s">
        <v>257</v>
      </c>
      <c r="B708" s="61" t="s">
        <v>534</v>
      </c>
      <c r="C708" s="62" t="s">
        <v>11697</v>
      </c>
      <c r="D708" s="63">
        <v>10</v>
      </c>
      <c r="E708" s="64" t="s">
        <v>136</v>
      </c>
      <c r="F708" s="65">
        <v>10</v>
      </c>
      <c r="G708" s="62"/>
      <c r="H708" s="66"/>
      <c r="I708" s="67"/>
      <c r="J708" s="67"/>
      <c r="K708" s="31" t="s">
        <v>65</v>
      </c>
      <c r="L708" s="75">
        <v>708</v>
      </c>
      <c r="M708" s="75"/>
      <c r="N708" s="69"/>
      <c r="O708" s="77" t="s">
        <v>539</v>
      </c>
      <c r="P708" s="79">
        <v>45169.663298611114</v>
      </c>
      <c r="Q708" s="77" t="s">
        <v>656</v>
      </c>
      <c r="R708" s="77">
        <v>3</v>
      </c>
      <c r="S708" s="77">
        <v>3</v>
      </c>
      <c r="T708" s="77">
        <v>0</v>
      </c>
      <c r="U708" s="77">
        <v>0</v>
      </c>
      <c r="V708" s="77">
        <v>129</v>
      </c>
      <c r="W708" s="81" t="s">
        <v>723</v>
      </c>
      <c r="X708" s="77"/>
      <c r="Y708" s="77"/>
      <c r="Z708" s="77" t="s">
        <v>810</v>
      </c>
      <c r="AA708" s="77" t="s">
        <v>843</v>
      </c>
      <c r="AB708" s="77" t="s">
        <v>848</v>
      </c>
      <c r="AC708" s="81" t="s">
        <v>855</v>
      </c>
      <c r="AD708" s="77" t="s">
        <v>859</v>
      </c>
      <c r="AE708" s="83" t="str">
        <f>HYPERLINK("https://twitter.com/pinakilaskar/status/1697276848760373530")</f>
        <v>https://twitter.com/pinakilaskar/status/1697276848760373530</v>
      </c>
      <c r="AF708" s="79">
        <v>45169.663298611114</v>
      </c>
      <c r="AG708" s="85">
        <v>45169</v>
      </c>
      <c r="AH708" s="81" t="s">
        <v>984</v>
      </c>
      <c r="AI708" s="77" t="b">
        <v>0</v>
      </c>
      <c r="AJ708" s="77"/>
      <c r="AK708" s="77"/>
      <c r="AL708" s="77"/>
      <c r="AM708" s="77"/>
      <c r="AN708" s="77"/>
      <c r="AO708" s="77"/>
      <c r="AP708" s="77"/>
      <c r="AQ708" s="77" t="s">
        <v>1022</v>
      </c>
      <c r="AR708" s="77"/>
      <c r="AS708" s="77"/>
      <c r="AT708" s="77"/>
      <c r="AU708" s="77"/>
      <c r="AV708" s="83" t="str">
        <f>HYPERLINK("https://pbs.twimg.com/media/F43wTHLaYAAPouw.jpg")</f>
        <v>https://pbs.twimg.com/media/F43wTHLaYAAPouw.jpg</v>
      </c>
      <c r="AW708" s="81" t="s">
        <v>1139</v>
      </c>
      <c r="AX708" s="81" t="s">
        <v>1139</v>
      </c>
      <c r="AY708" s="77"/>
      <c r="AZ708" s="81" t="s">
        <v>1190</v>
      </c>
      <c r="BA708" s="81" t="s">
        <v>1190</v>
      </c>
      <c r="BB708" s="81" t="s">
        <v>1190</v>
      </c>
      <c r="BC708" s="81" t="s">
        <v>1139</v>
      </c>
      <c r="BD708" s="81" t="s">
        <v>1213</v>
      </c>
      <c r="BE708" s="77"/>
      <c r="BF708" s="77"/>
      <c r="BG708" s="77"/>
      <c r="BH708" s="77"/>
      <c r="BI708" s="77"/>
      <c r="BJ708">
        <v>9</v>
      </c>
      <c r="BK708" s="76" t="str">
        <f>REPLACE(INDEX(GroupVertices[Group],MATCH(Edges[[#This Row],[Vertex 1]],GroupVertices[Vertex],0)),1,1,"")</f>
        <v>7</v>
      </c>
      <c r="BL708" s="76" t="str">
        <f>REPLACE(INDEX(GroupVertices[Group],MATCH(Edges[[#This Row],[Vertex 2]],GroupVertices[Vertex],0)),1,1,"")</f>
        <v>7</v>
      </c>
      <c r="BM708" s="45"/>
      <c r="BN708" s="46"/>
      <c r="BO708" s="45"/>
      <c r="BP708" s="46"/>
      <c r="BQ708" s="45"/>
      <c r="BR708" s="46"/>
      <c r="BS708" s="45"/>
      <c r="BT708" s="46"/>
      <c r="BU708" s="45"/>
    </row>
    <row r="709" spans="1:73" ht="15">
      <c r="A709" s="61" t="s">
        <v>257</v>
      </c>
      <c r="B709" s="61" t="s">
        <v>535</v>
      </c>
      <c r="C709" s="62" t="s">
        <v>11697</v>
      </c>
      <c r="D709" s="63">
        <v>10</v>
      </c>
      <c r="E709" s="64" t="s">
        <v>136</v>
      </c>
      <c r="F709" s="65">
        <v>10</v>
      </c>
      <c r="G709" s="62"/>
      <c r="H709" s="66"/>
      <c r="I709" s="67"/>
      <c r="J709" s="67"/>
      <c r="K709" s="31" t="s">
        <v>65</v>
      </c>
      <c r="L709" s="75">
        <v>709</v>
      </c>
      <c r="M709" s="75"/>
      <c r="N709" s="69"/>
      <c r="O709" s="77" t="s">
        <v>539</v>
      </c>
      <c r="P709" s="79">
        <v>45169.663298611114</v>
      </c>
      <c r="Q709" s="77" t="s">
        <v>656</v>
      </c>
      <c r="R709" s="77">
        <v>3</v>
      </c>
      <c r="S709" s="77">
        <v>3</v>
      </c>
      <c r="T709" s="77">
        <v>0</v>
      </c>
      <c r="U709" s="77">
        <v>0</v>
      </c>
      <c r="V709" s="77">
        <v>129</v>
      </c>
      <c r="W709" s="81" t="s">
        <v>723</v>
      </c>
      <c r="X709" s="77"/>
      <c r="Y709" s="77"/>
      <c r="Z709" s="77" t="s">
        <v>810</v>
      </c>
      <c r="AA709" s="77" t="s">
        <v>843</v>
      </c>
      <c r="AB709" s="77" t="s">
        <v>848</v>
      </c>
      <c r="AC709" s="81" t="s">
        <v>855</v>
      </c>
      <c r="AD709" s="77" t="s">
        <v>859</v>
      </c>
      <c r="AE709" s="83" t="str">
        <f>HYPERLINK("https://twitter.com/pinakilaskar/status/1697276848760373530")</f>
        <v>https://twitter.com/pinakilaskar/status/1697276848760373530</v>
      </c>
      <c r="AF709" s="79">
        <v>45169.663298611114</v>
      </c>
      <c r="AG709" s="85">
        <v>45169</v>
      </c>
      <c r="AH709" s="81" t="s">
        <v>984</v>
      </c>
      <c r="AI709" s="77" t="b">
        <v>0</v>
      </c>
      <c r="AJ709" s="77"/>
      <c r="AK709" s="77"/>
      <c r="AL709" s="77"/>
      <c r="AM709" s="77"/>
      <c r="AN709" s="77"/>
      <c r="AO709" s="77"/>
      <c r="AP709" s="77"/>
      <c r="AQ709" s="77" t="s">
        <v>1022</v>
      </c>
      <c r="AR709" s="77"/>
      <c r="AS709" s="77"/>
      <c r="AT709" s="77"/>
      <c r="AU709" s="77"/>
      <c r="AV709" s="83" t="str">
        <f>HYPERLINK("https://pbs.twimg.com/media/F43wTHLaYAAPouw.jpg")</f>
        <v>https://pbs.twimg.com/media/F43wTHLaYAAPouw.jpg</v>
      </c>
      <c r="AW709" s="81" t="s">
        <v>1139</v>
      </c>
      <c r="AX709" s="81" t="s">
        <v>1139</v>
      </c>
      <c r="AY709" s="77"/>
      <c r="AZ709" s="81" t="s">
        <v>1190</v>
      </c>
      <c r="BA709" s="81" t="s">
        <v>1190</v>
      </c>
      <c r="BB709" s="81" t="s">
        <v>1190</v>
      </c>
      <c r="BC709" s="81" t="s">
        <v>1139</v>
      </c>
      <c r="BD709" s="81" t="s">
        <v>1213</v>
      </c>
      <c r="BE709" s="77"/>
      <c r="BF709" s="77"/>
      <c r="BG709" s="77"/>
      <c r="BH709" s="77"/>
      <c r="BI709" s="77"/>
      <c r="BJ709">
        <v>13</v>
      </c>
      <c r="BK709" s="76" t="str">
        <f>REPLACE(INDEX(GroupVertices[Group],MATCH(Edges[[#This Row],[Vertex 1]],GroupVertices[Vertex],0)),1,1,"")</f>
        <v>7</v>
      </c>
      <c r="BL709" s="76" t="str">
        <f>REPLACE(INDEX(GroupVertices[Group],MATCH(Edges[[#This Row],[Vertex 2]],GroupVertices[Vertex],0)),1,1,"")</f>
        <v>7</v>
      </c>
      <c r="BM709" s="45"/>
      <c r="BN709" s="46"/>
      <c r="BO709" s="45"/>
      <c r="BP709" s="46"/>
      <c r="BQ709" s="45"/>
      <c r="BR709" s="46"/>
      <c r="BS709" s="45"/>
      <c r="BT709" s="46"/>
      <c r="BU709" s="45"/>
    </row>
    <row r="710" spans="1:73" ht="15">
      <c r="A710" s="61" t="s">
        <v>257</v>
      </c>
      <c r="B710" s="61" t="s">
        <v>536</v>
      </c>
      <c r="C710" s="62" t="s">
        <v>11696</v>
      </c>
      <c r="D710" s="63">
        <v>8.6</v>
      </c>
      <c r="E710" s="64" t="s">
        <v>136</v>
      </c>
      <c r="F710" s="65">
        <v>14.399999999999999</v>
      </c>
      <c r="G710" s="62"/>
      <c r="H710" s="66"/>
      <c r="I710" s="67"/>
      <c r="J710" s="67"/>
      <c r="K710" s="31" t="s">
        <v>65</v>
      </c>
      <c r="L710" s="75">
        <v>710</v>
      </c>
      <c r="M710" s="75"/>
      <c r="N710" s="69"/>
      <c r="O710" s="77" t="s">
        <v>539</v>
      </c>
      <c r="P710" s="79">
        <v>45169.663298611114</v>
      </c>
      <c r="Q710" s="77" t="s">
        <v>656</v>
      </c>
      <c r="R710" s="77">
        <v>3</v>
      </c>
      <c r="S710" s="77">
        <v>3</v>
      </c>
      <c r="T710" s="77">
        <v>0</v>
      </c>
      <c r="U710" s="77">
        <v>0</v>
      </c>
      <c r="V710" s="77">
        <v>129</v>
      </c>
      <c r="W710" s="81" t="s">
        <v>723</v>
      </c>
      <c r="X710" s="77"/>
      <c r="Y710" s="77"/>
      <c r="Z710" s="77" t="s">
        <v>810</v>
      </c>
      <c r="AA710" s="77" t="s">
        <v>843</v>
      </c>
      <c r="AB710" s="77" t="s">
        <v>848</v>
      </c>
      <c r="AC710" s="81" t="s">
        <v>855</v>
      </c>
      <c r="AD710" s="77" t="s">
        <v>859</v>
      </c>
      <c r="AE710" s="83" t="str">
        <f>HYPERLINK("https://twitter.com/pinakilaskar/status/1697276848760373530")</f>
        <v>https://twitter.com/pinakilaskar/status/1697276848760373530</v>
      </c>
      <c r="AF710" s="79">
        <v>45169.663298611114</v>
      </c>
      <c r="AG710" s="85">
        <v>45169</v>
      </c>
      <c r="AH710" s="81" t="s">
        <v>984</v>
      </c>
      <c r="AI710" s="77" t="b">
        <v>0</v>
      </c>
      <c r="AJ710" s="77"/>
      <c r="AK710" s="77"/>
      <c r="AL710" s="77"/>
      <c r="AM710" s="77"/>
      <c r="AN710" s="77"/>
      <c r="AO710" s="77"/>
      <c r="AP710" s="77"/>
      <c r="AQ710" s="77" t="s">
        <v>1022</v>
      </c>
      <c r="AR710" s="77"/>
      <c r="AS710" s="77"/>
      <c r="AT710" s="77"/>
      <c r="AU710" s="77"/>
      <c r="AV710" s="83" t="str">
        <f>HYPERLINK("https://pbs.twimg.com/media/F43wTHLaYAAPouw.jpg")</f>
        <v>https://pbs.twimg.com/media/F43wTHLaYAAPouw.jpg</v>
      </c>
      <c r="AW710" s="81" t="s">
        <v>1139</v>
      </c>
      <c r="AX710" s="81" t="s">
        <v>1139</v>
      </c>
      <c r="AY710" s="77"/>
      <c r="AZ710" s="81" t="s">
        <v>1190</v>
      </c>
      <c r="BA710" s="81" t="s">
        <v>1190</v>
      </c>
      <c r="BB710" s="81" t="s">
        <v>1190</v>
      </c>
      <c r="BC710" s="81" t="s">
        <v>1139</v>
      </c>
      <c r="BD710" s="81" t="s">
        <v>1213</v>
      </c>
      <c r="BE710" s="77"/>
      <c r="BF710" s="77"/>
      <c r="BG710" s="77"/>
      <c r="BH710" s="77"/>
      <c r="BI710" s="77"/>
      <c r="BJ710">
        <v>5</v>
      </c>
      <c r="BK710" s="76" t="str">
        <f>REPLACE(INDEX(GroupVertices[Group],MATCH(Edges[[#This Row],[Vertex 1]],GroupVertices[Vertex],0)),1,1,"")</f>
        <v>7</v>
      </c>
      <c r="BL710" s="76" t="str">
        <f>REPLACE(INDEX(GroupVertices[Group],MATCH(Edges[[#This Row],[Vertex 2]],GroupVertices[Vertex],0)),1,1,"")</f>
        <v>7</v>
      </c>
      <c r="BM710" s="45"/>
      <c r="BN710" s="46"/>
      <c r="BO710" s="45"/>
      <c r="BP710" s="46"/>
      <c r="BQ710" s="45"/>
      <c r="BR710" s="46"/>
      <c r="BS710" s="45"/>
      <c r="BT710" s="46"/>
      <c r="BU710" s="45"/>
    </row>
    <row r="711" spans="1:73" ht="15">
      <c r="A711" s="61" t="s">
        <v>257</v>
      </c>
      <c r="B711" s="61" t="s">
        <v>537</v>
      </c>
      <c r="C711" s="62" t="s">
        <v>11697</v>
      </c>
      <c r="D711" s="63">
        <v>10</v>
      </c>
      <c r="E711" s="64" t="s">
        <v>136</v>
      </c>
      <c r="F711" s="65">
        <v>10</v>
      </c>
      <c r="G711" s="62"/>
      <c r="H711" s="66"/>
      <c r="I711" s="67"/>
      <c r="J711" s="67"/>
      <c r="K711" s="31" t="s">
        <v>65</v>
      </c>
      <c r="L711" s="75">
        <v>711</v>
      </c>
      <c r="M711" s="75"/>
      <c r="N711" s="69"/>
      <c r="O711" s="77" t="s">
        <v>539</v>
      </c>
      <c r="P711" s="79">
        <v>45169.663298611114</v>
      </c>
      <c r="Q711" s="77" t="s">
        <v>656</v>
      </c>
      <c r="R711" s="77">
        <v>3</v>
      </c>
      <c r="S711" s="77">
        <v>3</v>
      </c>
      <c r="T711" s="77">
        <v>0</v>
      </c>
      <c r="U711" s="77">
        <v>0</v>
      </c>
      <c r="V711" s="77">
        <v>129</v>
      </c>
      <c r="W711" s="81" t="s">
        <v>723</v>
      </c>
      <c r="X711" s="77"/>
      <c r="Y711" s="77"/>
      <c r="Z711" s="77" t="s">
        <v>810</v>
      </c>
      <c r="AA711" s="77" t="s">
        <v>843</v>
      </c>
      <c r="AB711" s="77" t="s">
        <v>848</v>
      </c>
      <c r="AC711" s="81" t="s">
        <v>855</v>
      </c>
      <c r="AD711" s="77" t="s">
        <v>859</v>
      </c>
      <c r="AE711" s="83" t="str">
        <f>HYPERLINK("https://twitter.com/pinakilaskar/status/1697276848760373530")</f>
        <v>https://twitter.com/pinakilaskar/status/1697276848760373530</v>
      </c>
      <c r="AF711" s="79">
        <v>45169.663298611114</v>
      </c>
      <c r="AG711" s="85">
        <v>45169</v>
      </c>
      <c r="AH711" s="81" t="s">
        <v>984</v>
      </c>
      <c r="AI711" s="77" t="b">
        <v>0</v>
      </c>
      <c r="AJ711" s="77"/>
      <c r="AK711" s="77"/>
      <c r="AL711" s="77"/>
      <c r="AM711" s="77"/>
      <c r="AN711" s="77"/>
      <c r="AO711" s="77"/>
      <c r="AP711" s="77"/>
      <c r="AQ711" s="77" t="s">
        <v>1022</v>
      </c>
      <c r="AR711" s="77"/>
      <c r="AS711" s="77"/>
      <c r="AT711" s="77"/>
      <c r="AU711" s="77"/>
      <c r="AV711" s="83" t="str">
        <f>HYPERLINK("https://pbs.twimg.com/media/F43wTHLaYAAPouw.jpg")</f>
        <v>https://pbs.twimg.com/media/F43wTHLaYAAPouw.jpg</v>
      </c>
      <c r="AW711" s="81" t="s">
        <v>1139</v>
      </c>
      <c r="AX711" s="81" t="s">
        <v>1139</v>
      </c>
      <c r="AY711" s="77"/>
      <c r="AZ711" s="81" t="s">
        <v>1190</v>
      </c>
      <c r="BA711" s="81" t="s">
        <v>1190</v>
      </c>
      <c r="BB711" s="81" t="s">
        <v>1190</v>
      </c>
      <c r="BC711" s="81" t="s">
        <v>1139</v>
      </c>
      <c r="BD711" s="81" t="s">
        <v>1213</v>
      </c>
      <c r="BE711" s="77"/>
      <c r="BF711" s="77"/>
      <c r="BG711" s="77"/>
      <c r="BH711" s="77"/>
      <c r="BI711" s="77"/>
      <c r="BJ711">
        <v>10</v>
      </c>
      <c r="BK711" s="76" t="str">
        <f>REPLACE(INDEX(GroupVertices[Group],MATCH(Edges[[#This Row],[Vertex 1]],GroupVertices[Vertex],0)),1,1,"")</f>
        <v>7</v>
      </c>
      <c r="BL711" s="76" t="str">
        <f>REPLACE(INDEX(GroupVertices[Group],MATCH(Edges[[#This Row],[Vertex 2]],GroupVertices[Vertex],0)),1,1,"")</f>
        <v>7</v>
      </c>
      <c r="BM711" s="45"/>
      <c r="BN711" s="46"/>
      <c r="BO711" s="45"/>
      <c r="BP711" s="46"/>
      <c r="BQ711" s="45"/>
      <c r="BR711" s="46"/>
      <c r="BS711" s="45"/>
      <c r="BT711" s="46"/>
      <c r="BU711" s="45"/>
    </row>
    <row r="712" spans="1:73" ht="15">
      <c r="A712" s="61" t="s">
        <v>257</v>
      </c>
      <c r="B712" s="61" t="s">
        <v>538</v>
      </c>
      <c r="C712" s="62" t="s">
        <v>11697</v>
      </c>
      <c r="D712" s="63">
        <v>10</v>
      </c>
      <c r="E712" s="64" t="s">
        <v>136</v>
      </c>
      <c r="F712" s="65">
        <v>10</v>
      </c>
      <c r="G712" s="62"/>
      <c r="H712" s="66"/>
      <c r="I712" s="67"/>
      <c r="J712" s="67"/>
      <c r="K712" s="31" t="s">
        <v>65</v>
      </c>
      <c r="L712" s="75">
        <v>712</v>
      </c>
      <c r="M712" s="75"/>
      <c r="N712" s="69"/>
      <c r="O712" s="77" t="s">
        <v>539</v>
      </c>
      <c r="P712" s="79">
        <v>45169.663298611114</v>
      </c>
      <c r="Q712" s="77" t="s">
        <v>656</v>
      </c>
      <c r="R712" s="77">
        <v>3</v>
      </c>
      <c r="S712" s="77">
        <v>3</v>
      </c>
      <c r="T712" s="77">
        <v>0</v>
      </c>
      <c r="U712" s="77">
        <v>0</v>
      </c>
      <c r="V712" s="77">
        <v>129</v>
      </c>
      <c r="W712" s="81" t="s">
        <v>723</v>
      </c>
      <c r="X712" s="77"/>
      <c r="Y712" s="77"/>
      <c r="Z712" s="77" t="s">
        <v>810</v>
      </c>
      <c r="AA712" s="77" t="s">
        <v>843</v>
      </c>
      <c r="AB712" s="77" t="s">
        <v>848</v>
      </c>
      <c r="AC712" s="81" t="s">
        <v>855</v>
      </c>
      <c r="AD712" s="77" t="s">
        <v>859</v>
      </c>
      <c r="AE712" s="83" t="str">
        <f>HYPERLINK("https://twitter.com/pinakilaskar/status/1697276848760373530")</f>
        <v>https://twitter.com/pinakilaskar/status/1697276848760373530</v>
      </c>
      <c r="AF712" s="79">
        <v>45169.663298611114</v>
      </c>
      <c r="AG712" s="85">
        <v>45169</v>
      </c>
      <c r="AH712" s="81" t="s">
        <v>984</v>
      </c>
      <c r="AI712" s="77" t="b">
        <v>0</v>
      </c>
      <c r="AJ712" s="77"/>
      <c r="AK712" s="77"/>
      <c r="AL712" s="77"/>
      <c r="AM712" s="77"/>
      <c r="AN712" s="77"/>
      <c r="AO712" s="77"/>
      <c r="AP712" s="77"/>
      <c r="AQ712" s="77" t="s">
        <v>1022</v>
      </c>
      <c r="AR712" s="77"/>
      <c r="AS712" s="77"/>
      <c r="AT712" s="77"/>
      <c r="AU712" s="77"/>
      <c r="AV712" s="83" t="str">
        <f>HYPERLINK("https://pbs.twimg.com/media/F43wTHLaYAAPouw.jpg")</f>
        <v>https://pbs.twimg.com/media/F43wTHLaYAAPouw.jpg</v>
      </c>
      <c r="AW712" s="81" t="s">
        <v>1139</v>
      </c>
      <c r="AX712" s="81" t="s">
        <v>1139</v>
      </c>
      <c r="AY712" s="77"/>
      <c r="AZ712" s="81" t="s">
        <v>1190</v>
      </c>
      <c r="BA712" s="81" t="s">
        <v>1190</v>
      </c>
      <c r="BB712" s="81" t="s">
        <v>1190</v>
      </c>
      <c r="BC712" s="81" t="s">
        <v>1139</v>
      </c>
      <c r="BD712" s="81" t="s">
        <v>1213</v>
      </c>
      <c r="BE712" s="77"/>
      <c r="BF712" s="77"/>
      <c r="BG712" s="77"/>
      <c r="BH712" s="77"/>
      <c r="BI712" s="77"/>
      <c r="BJ712">
        <v>13</v>
      </c>
      <c r="BK712" s="76" t="str">
        <f>REPLACE(INDEX(GroupVertices[Group],MATCH(Edges[[#This Row],[Vertex 1]],GroupVertices[Vertex],0)),1,1,"")</f>
        <v>7</v>
      </c>
      <c r="BL712" s="76" t="str">
        <f>REPLACE(INDEX(GroupVertices[Group],MATCH(Edges[[#This Row],[Vertex 2]],GroupVertices[Vertex],0)),1,1,"")</f>
        <v>7</v>
      </c>
      <c r="BM712" s="45"/>
      <c r="BN712" s="46"/>
      <c r="BO712" s="45"/>
      <c r="BP712" s="46"/>
      <c r="BQ712" s="45"/>
      <c r="BR712" s="46"/>
      <c r="BS712" s="45"/>
      <c r="BT712" s="46"/>
      <c r="BU712" s="45"/>
    </row>
    <row r="713" spans="1:73" ht="15">
      <c r="A713" s="61" t="s">
        <v>257</v>
      </c>
      <c r="B713" s="61" t="s">
        <v>228</v>
      </c>
      <c r="C713" s="62" t="s">
        <v>11697</v>
      </c>
      <c r="D713" s="63">
        <v>10</v>
      </c>
      <c r="E713" s="64" t="s">
        <v>136</v>
      </c>
      <c r="F713" s="65">
        <v>10</v>
      </c>
      <c r="G713" s="62"/>
      <c r="H713" s="66"/>
      <c r="I713" s="67"/>
      <c r="J713" s="67"/>
      <c r="K713" s="31" t="s">
        <v>65</v>
      </c>
      <c r="L713" s="75">
        <v>713</v>
      </c>
      <c r="M713" s="75"/>
      <c r="N713" s="69"/>
      <c r="O713" s="77" t="s">
        <v>539</v>
      </c>
      <c r="P713" s="79">
        <v>45155.59253472222</v>
      </c>
      <c r="Q713" s="77" t="s">
        <v>657</v>
      </c>
      <c r="R713" s="77">
        <v>4</v>
      </c>
      <c r="S713" s="77">
        <v>8</v>
      </c>
      <c r="T713" s="77">
        <v>0</v>
      </c>
      <c r="U713" s="77">
        <v>0</v>
      </c>
      <c r="V713" s="77">
        <v>255</v>
      </c>
      <c r="W713" s="81" t="s">
        <v>724</v>
      </c>
      <c r="X713" s="77"/>
      <c r="Y713" s="77"/>
      <c r="Z713" s="77" t="s">
        <v>817</v>
      </c>
      <c r="AA713" s="77" t="s">
        <v>844</v>
      </c>
      <c r="AB713" s="77" t="s">
        <v>848</v>
      </c>
      <c r="AC713" s="81" t="s">
        <v>855</v>
      </c>
      <c r="AD713" s="77" t="s">
        <v>859</v>
      </c>
      <c r="AE713" s="83" t="str">
        <f>HYPERLINK("https://twitter.com/pinakilaskar/status/1692177776802185338")</f>
        <v>https://twitter.com/pinakilaskar/status/1692177776802185338</v>
      </c>
      <c r="AF713" s="79">
        <v>45155.59253472222</v>
      </c>
      <c r="AG713" s="85">
        <v>45155</v>
      </c>
      <c r="AH713" s="81" t="s">
        <v>985</v>
      </c>
      <c r="AI713" s="77" t="b">
        <v>0</v>
      </c>
      <c r="AJ713" s="77"/>
      <c r="AK713" s="77"/>
      <c r="AL713" s="77"/>
      <c r="AM713" s="77"/>
      <c r="AN713" s="77"/>
      <c r="AO713" s="77"/>
      <c r="AP713" s="77"/>
      <c r="AQ713" s="77" t="s">
        <v>1023</v>
      </c>
      <c r="AR713" s="77"/>
      <c r="AS713" s="77"/>
      <c r="AT713" s="77"/>
      <c r="AU713" s="77"/>
      <c r="AV713" s="83" t="str">
        <f>HYPERLINK("https://pbs.twimg.com/media/F3vSuEOaYAMxygV.jpg")</f>
        <v>https://pbs.twimg.com/media/F3vSuEOaYAMxygV.jpg</v>
      </c>
      <c r="AW713" s="81" t="s">
        <v>1140</v>
      </c>
      <c r="AX713" s="81" t="s">
        <v>1140</v>
      </c>
      <c r="AY713" s="77"/>
      <c r="AZ713" s="81" t="s">
        <v>1190</v>
      </c>
      <c r="BA713" s="81" t="s">
        <v>1190</v>
      </c>
      <c r="BB713" s="81" t="s">
        <v>1190</v>
      </c>
      <c r="BC713" s="81" t="s">
        <v>1140</v>
      </c>
      <c r="BD713" s="81" t="s">
        <v>1213</v>
      </c>
      <c r="BE713" s="77"/>
      <c r="BF713" s="77"/>
      <c r="BG713" s="77"/>
      <c r="BH713" s="77"/>
      <c r="BI713" s="77"/>
      <c r="BJ713">
        <v>13</v>
      </c>
      <c r="BK713" s="76" t="str">
        <f>REPLACE(INDEX(GroupVertices[Group],MATCH(Edges[[#This Row],[Vertex 1]],GroupVertices[Vertex],0)),1,1,"")</f>
        <v>7</v>
      </c>
      <c r="BL713" s="76" t="str">
        <f>REPLACE(INDEX(GroupVertices[Group],MATCH(Edges[[#This Row],[Vertex 2]],GroupVertices[Vertex],0)),1,1,"")</f>
        <v>2</v>
      </c>
      <c r="BM713" s="45"/>
      <c r="BN713" s="46"/>
      <c r="BO713" s="45"/>
      <c r="BP713" s="46"/>
      <c r="BQ713" s="45"/>
      <c r="BR713" s="46"/>
      <c r="BS713" s="45"/>
      <c r="BT713" s="46"/>
      <c r="BU713" s="45"/>
    </row>
    <row r="714" spans="1:73" ht="15">
      <c r="A714" s="61" t="s">
        <v>257</v>
      </c>
      <c r="B714" s="61" t="s">
        <v>529</v>
      </c>
      <c r="C714" s="62" t="s">
        <v>11697</v>
      </c>
      <c r="D714" s="63">
        <v>10</v>
      </c>
      <c r="E714" s="64" t="s">
        <v>136</v>
      </c>
      <c r="F714" s="65">
        <v>10</v>
      </c>
      <c r="G714" s="62"/>
      <c r="H714" s="66"/>
      <c r="I714" s="67"/>
      <c r="J714" s="67"/>
      <c r="K714" s="31" t="s">
        <v>65</v>
      </c>
      <c r="L714" s="75">
        <v>714</v>
      </c>
      <c r="M714" s="75"/>
      <c r="N714" s="69"/>
      <c r="O714" s="77" t="s">
        <v>539</v>
      </c>
      <c r="P714" s="79">
        <v>45155.59253472222</v>
      </c>
      <c r="Q714" s="77" t="s">
        <v>657</v>
      </c>
      <c r="R714" s="77">
        <v>4</v>
      </c>
      <c r="S714" s="77">
        <v>8</v>
      </c>
      <c r="T714" s="77">
        <v>0</v>
      </c>
      <c r="U714" s="77">
        <v>0</v>
      </c>
      <c r="V714" s="77">
        <v>255</v>
      </c>
      <c r="W714" s="81" t="s">
        <v>724</v>
      </c>
      <c r="X714" s="77"/>
      <c r="Y714" s="77"/>
      <c r="Z714" s="77" t="s">
        <v>817</v>
      </c>
      <c r="AA714" s="77" t="s">
        <v>844</v>
      </c>
      <c r="AB714" s="77" t="s">
        <v>848</v>
      </c>
      <c r="AC714" s="81" t="s">
        <v>855</v>
      </c>
      <c r="AD714" s="77" t="s">
        <v>859</v>
      </c>
      <c r="AE714" s="83" t="str">
        <f>HYPERLINK("https://twitter.com/pinakilaskar/status/1692177776802185338")</f>
        <v>https://twitter.com/pinakilaskar/status/1692177776802185338</v>
      </c>
      <c r="AF714" s="79">
        <v>45155.59253472222</v>
      </c>
      <c r="AG714" s="85">
        <v>45155</v>
      </c>
      <c r="AH714" s="81" t="s">
        <v>985</v>
      </c>
      <c r="AI714" s="77" t="b">
        <v>0</v>
      </c>
      <c r="AJ714" s="77"/>
      <c r="AK714" s="77"/>
      <c r="AL714" s="77"/>
      <c r="AM714" s="77"/>
      <c r="AN714" s="77"/>
      <c r="AO714" s="77"/>
      <c r="AP714" s="77"/>
      <c r="AQ714" s="77" t="s">
        <v>1023</v>
      </c>
      <c r="AR714" s="77"/>
      <c r="AS714" s="77"/>
      <c r="AT714" s="77"/>
      <c r="AU714" s="77"/>
      <c r="AV714" s="83" t="str">
        <f>HYPERLINK("https://pbs.twimg.com/media/F3vSuEOaYAMxygV.jpg")</f>
        <v>https://pbs.twimg.com/media/F3vSuEOaYAMxygV.jpg</v>
      </c>
      <c r="AW714" s="81" t="s">
        <v>1140</v>
      </c>
      <c r="AX714" s="81" t="s">
        <v>1140</v>
      </c>
      <c r="AY714" s="77"/>
      <c r="AZ714" s="81" t="s">
        <v>1190</v>
      </c>
      <c r="BA714" s="81" t="s">
        <v>1190</v>
      </c>
      <c r="BB714" s="81" t="s">
        <v>1190</v>
      </c>
      <c r="BC714" s="81" t="s">
        <v>1140</v>
      </c>
      <c r="BD714" s="81" t="s">
        <v>1213</v>
      </c>
      <c r="BE714" s="77"/>
      <c r="BF714" s="77"/>
      <c r="BG714" s="77"/>
      <c r="BH714" s="77"/>
      <c r="BI714" s="77"/>
      <c r="BJ714">
        <v>13</v>
      </c>
      <c r="BK714" s="76" t="str">
        <f>REPLACE(INDEX(GroupVertices[Group],MATCH(Edges[[#This Row],[Vertex 1]],GroupVertices[Vertex],0)),1,1,"")</f>
        <v>7</v>
      </c>
      <c r="BL714" s="76" t="str">
        <f>REPLACE(INDEX(GroupVertices[Group],MATCH(Edges[[#This Row],[Vertex 2]],GroupVertices[Vertex],0)),1,1,"")</f>
        <v>7</v>
      </c>
      <c r="BM714" s="45"/>
      <c r="BN714" s="46"/>
      <c r="BO714" s="45"/>
      <c r="BP714" s="46"/>
      <c r="BQ714" s="45"/>
      <c r="BR714" s="46"/>
      <c r="BS714" s="45"/>
      <c r="BT714" s="46"/>
      <c r="BU714" s="45"/>
    </row>
    <row r="715" spans="1:73" ht="15">
      <c r="A715" s="61" t="s">
        <v>257</v>
      </c>
      <c r="B715" s="61" t="s">
        <v>530</v>
      </c>
      <c r="C715" s="62" t="s">
        <v>11697</v>
      </c>
      <c r="D715" s="63">
        <v>10</v>
      </c>
      <c r="E715" s="64" t="s">
        <v>136</v>
      </c>
      <c r="F715" s="65">
        <v>10</v>
      </c>
      <c r="G715" s="62"/>
      <c r="H715" s="66"/>
      <c r="I715" s="67"/>
      <c r="J715" s="67"/>
      <c r="K715" s="31" t="s">
        <v>65</v>
      </c>
      <c r="L715" s="75">
        <v>715</v>
      </c>
      <c r="M715" s="75"/>
      <c r="N715" s="69"/>
      <c r="O715" s="77" t="s">
        <v>539</v>
      </c>
      <c r="P715" s="79">
        <v>45155.59253472222</v>
      </c>
      <c r="Q715" s="77" t="s">
        <v>657</v>
      </c>
      <c r="R715" s="77">
        <v>4</v>
      </c>
      <c r="S715" s="77">
        <v>8</v>
      </c>
      <c r="T715" s="77">
        <v>0</v>
      </c>
      <c r="U715" s="77">
        <v>0</v>
      </c>
      <c r="V715" s="77">
        <v>255</v>
      </c>
      <c r="W715" s="81" t="s">
        <v>724</v>
      </c>
      <c r="X715" s="77"/>
      <c r="Y715" s="77"/>
      <c r="Z715" s="77" t="s">
        <v>817</v>
      </c>
      <c r="AA715" s="77" t="s">
        <v>844</v>
      </c>
      <c r="AB715" s="77" t="s">
        <v>848</v>
      </c>
      <c r="AC715" s="81" t="s">
        <v>855</v>
      </c>
      <c r="AD715" s="77" t="s">
        <v>859</v>
      </c>
      <c r="AE715" s="83" t="str">
        <f>HYPERLINK("https://twitter.com/pinakilaskar/status/1692177776802185338")</f>
        <v>https://twitter.com/pinakilaskar/status/1692177776802185338</v>
      </c>
      <c r="AF715" s="79">
        <v>45155.59253472222</v>
      </c>
      <c r="AG715" s="85">
        <v>45155</v>
      </c>
      <c r="AH715" s="81" t="s">
        <v>985</v>
      </c>
      <c r="AI715" s="77" t="b">
        <v>0</v>
      </c>
      <c r="AJ715" s="77"/>
      <c r="AK715" s="77"/>
      <c r="AL715" s="77"/>
      <c r="AM715" s="77"/>
      <c r="AN715" s="77"/>
      <c r="AO715" s="77"/>
      <c r="AP715" s="77"/>
      <c r="AQ715" s="77" t="s">
        <v>1023</v>
      </c>
      <c r="AR715" s="77"/>
      <c r="AS715" s="77"/>
      <c r="AT715" s="77"/>
      <c r="AU715" s="77"/>
      <c r="AV715" s="83" t="str">
        <f>HYPERLINK("https://pbs.twimg.com/media/F3vSuEOaYAMxygV.jpg")</f>
        <v>https://pbs.twimg.com/media/F3vSuEOaYAMxygV.jpg</v>
      </c>
      <c r="AW715" s="81" t="s">
        <v>1140</v>
      </c>
      <c r="AX715" s="81" t="s">
        <v>1140</v>
      </c>
      <c r="AY715" s="77"/>
      <c r="AZ715" s="81" t="s">
        <v>1190</v>
      </c>
      <c r="BA715" s="81" t="s">
        <v>1190</v>
      </c>
      <c r="BB715" s="81" t="s">
        <v>1190</v>
      </c>
      <c r="BC715" s="81" t="s">
        <v>1140</v>
      </c>
      <c r="BD715" s="81" t="s">
        <v>1213</v>
      </c>
      <c r="BE715" s="77"/>
      <c r="BF715" s="77"/>
      <c r="BG715" s="77"/>
      <c r="BH715" s="77"/>
      <c r="BI715" s="77"/>
      <c r="BJ715">
        <v>10</v>
      </c>
      <c r="BK715" s="76" t="str">
        <f>REPLACE(INDEX(GroupVertices[Group],MATCH(Edges[[#This Row],[Vertex 1]],GroupVertices[Vertex],0)),1,1,"")</f>
        <v>7</v>
      </c>
      <c r="BL715" s="76" t="str">
        <f>REPLACE(INDEX(GroupVertices[Group],MATCH(Edges[[#This Row],[Vertex 2]],GroupVertices[Vertex],0)),1,1,"")</f>
        <v>7</v>
      </c>
      <c r="BM715" s="45"/>
      <c r="BN715" s="46"/>
      <c r="BO715" s="45"/>
      <c r="BP715" s="46"/>
      <c r="BQ715" s="45"/>
      <c r="BR715" s="46"/>
      <c r="BS715" s="45"/>
      <c r="BT715" s="46"/>
      <c r="BU715" s="45"/>
    </row>
    <row r="716" spans="1:73" ht="15">
      <c r="A716" s="61" t="s">
        <v>257</v>
      </c>
      <c r="B716" s="61" t="s">
        <v>531</v>
      </c>
      <c r="C716" s="62" t="s">
        <v>11697</v>
      </c>
      <c r="D716" s="63">
        <v>10</v>
      </c>
      <c r="E716" s="64" t="s">
        <v>136</v>
      </c>
      <c r="F716" s="65">
        <v>10</v>
      </c>
      <c r="G716" s="62"/>
      <c r="H716" s="66"/>
      <c r="I716" s="67"/>
      <c r="J716" s="67"/>
      <c r="K716" s="31" t="s">
        <v>65</v>
      </c>
      <c r="L716" s="75">
        <v>716</v>
      </c>
      <c r="M716" s="75"/>
      <c r="N716" s="69"/>
      <c r="O716" s="77" t="s">
        <v>539</v>
      </c>
      <c r="P716" s="79">
        <v>45155.59253472222</v>
      </c>
      <c r="Q716" s="77" t="s">
        <v>657</v>
      </c>
      <c r="R716" s="77">
        <v>4</v>
      </c>
      <c r="S716" s="77">
        <v>8</v>
      </c>
      <c r="T716" s="77">
        <v>0</v>
      </c>
      <c r="U716" s="77">
        <v>0</v>
      </c>
      <c r="V716" s="77">
        <v>255</v>
      </c>
      <c r="W716" s="81" t="s">
        <v>724</v>
      </c>
      <c r="X716" s="77"/>
      <c r="Y716" s="77"/>
      <c r="Z716" s="77" t="s">
        <v>817</v>
      </c>
      <c r="AA716" s="77" t="s">
        <v>844</v>
      </c>
      <c r="AB716" s="77" t="s">
        <v>848</v>
      </c>
      <c r="AC716" s="81" t="s">
        <v>855</v>
      </c>
      <c r="AD716" s="77" t="s">
        <v>859</v>
      </c>
      <c r="AE716" s="83" t="str">
        <f>HYPERLINK("https://twitter.com/pinakilaskar/status/1692177776802185338")</f>
        <v>https://twitter.com/pinakilaskar/status/1692177776802185338</v>
      </c>
      <c r="AF716" s="79">
        <v>45155.59253472222</v>
      </c>
      <c r="AG716" s="85">
        <v>45155</v>
      </c>
      <c r="AH716" s="81" t="s">
        <v>985</v>
      </c>
      <c r="AI716" s="77" t="b">
        <v>0</v>
      </c>
      <c r="AJ716" s="77"/>
      <c r="AK716" s="77"/>
      <c r="AL716" s="77"/>
      <c r="AM716" s="77"/>
      <c r="AN716" s="77"/>
      <c r="AO716" s="77"/>
      <c r="AP716" s="77"/>
      <c r="AQ716" s="77" t="s">
        <v>1023</v>
      </c>
      <c r="AR716" s="77"/>
      <c r="AS716" s="77"/>
      <c r="AT716" s="77"/>
      <c r="AU716" s="77"/>
      <c r="AV716" s="83" t="str">
        <f>HYPERLINK("https://pbs.twimg.com/media/F3vSuEOaYAMxygV.jpg")</f>
        <v>https://pbs.twimg.com/media/F3vSuEOaYAMxygV.jpg</v>
      </c>
      <c r="AW716" s="81" t="s">
        <v>1140</v>
      </c>
      <c r="AX716" s="81" t="s">
        <v>1140</v>
      </c>
      <c r="AY716" s="77"/>
      <c r="AZ716" s="81" t="s">
        <v>1190</v>
      </c>
      <c r="BA716" s="81" t="s">
        <v>1190</v>
      </c>
      <c r="BB716" s="81" t="s">
        <v>1190</v>
      </c>
      <c r="BC716" s="81" t="s">
        <v>1140</v>
      </c>
      <c r="BD716" s="81" t="s">
        <v>1213</v>
      </c>
      <c r="BE716" s="77"/>
      <c r="BF716" s="77"/>
      <c r="BG716" s="77"/>
      <c r="BH716" s="77"/>
      <c r="BI716" s="77"/>
      <c r="BJ716">
        <v>9</v>
      </c>
      <c r="BK716" s="76" t="str">
        <f>REPLACE(INDEX(GroupVertices[Group],MATCH(Edges[[#This Row],[Vertex 1]],GroupVertices[Vertex],0)),1,1,"")</f>
        <v>7</v>
      </c>
      <c r="BL716" s="76" t="str">
        <f>REPLACE(INDEX(GroupVertices[Group],MATCH(Edges[[#This Row],[Vertex 2]],GroupVertices[Vertex],0)),1,1,"")</f>
        <v>7</v>
      </c>
      <c r="BM716" s="45"/>
      <c r="BN716" s="46"/>
      <c r="BO716" s="45"/>
      <c r="BP716" s="46"/>
      <c r="BQ716" s="45"/>
      <c r="BR716" s="46"/>
      <c r="BS716" s="45"/>
      <c r="BT716" s="46"/>
      <c r="BU716" s="45"/>
    </row>
    <row r="717" spans="1:73" ht="15">
      <c r="A717" s="61" t="s">
        <v>257</v>
      </c>
      <c r="B717" s="61" t="s">
        <v>532</v>
      </c>
      <c r="C717" s="62" t="s">
        <v>11697</v>
      </c>
      <c r="D717" s="63">
        <v>10</v>
      </c>
      <c r="E717" s="64" t="s">
        <v>136</v>
      </c>
      <c r="F717" s="65">
        <v>10</v>
      </c>
      <c r="G717" s="62"/>
      <c r="H717" s="66"/>
      <c r="I717" s="67"/>
      <c r="J717" s="67"/>
      <c r="K717" s="31" t="s">
        <v>65</v>
      </c>
      <c r="L717" s="75">
        <v>717</v>
      </c>
      <c r="M717" s="75"/>
      <c r="N717" s="69"/>
      <c r="O717" s="77" t="s">
        <v>539</v>
      </c>
      <c r="P717" s="79">
        <v>45155.59253472222</v>
      </c>
      <c r="Q717" s="77" t="s">
        <v>657</v>
      </c>
      <c r="R717" s="77">
        <v>4</v>
      </c>
      <c r="S717" s="77">
        <v>8</v>
      </c>
      <c r="T717" s="77">
        <v>0</v>
      </c>
      <c r="U717" s="77">
        <v>0</v>
      </c>
      <c r="V717" s="77">
        <v>255</v>
      </c>
      <c r="W717" s="81" t="s">
        <v>724</v>
      </c>
      <c r="X717" s="77"/>
      <c r="Y717" s="77"/>
      <c r="Z717" s="77" t="s">
        <v>817</v>
      </c>
      <c r="AA717" s="77" t="s">
        <v>844</v>
      </c>
      <c r="AB717" s="77" t="s">
        <v>848</v>
      </c>
      <c r="AC717" s="81" t="s">
        <v>855</v>
      </c>
      <c r="AD717" s="77" t="s">
        <v>859</v>
      </c>
      <c r="AE717" s="83" t="str">
        <f>HYPERLINK("https://twitter.com/pinakilaskar/status/1692177776802185338")</f>
        <v>https://twitter.com/pinakilaskar/status/1692177776802185338</v>
      </c>
      <c r="AF717" s="79">
        <v>45155.59253472222</v>
      </c>
      <c r="AG717" s="85">
        <v>45155</v>
      </c>
      <c r="AH717" s="81" t="s">
        <v>985</v>
      </c>
      <c r="AI717" s="77" t="b">
        <v>0</v>
      </c>
      <c r="AJ717" s="77"/>
      <c r="AK717" s="77"/>
      <c r="AL717" s="77"/>
      <c r="AM717" s="77"/>
      <c r="AN717" s="77"/>
      <c r="AO717" s="77"/>
      <c r="AP717" s="77"/>
      <c r="AQ717" s="77" t="s">
        <v>1023</v>
      </c>
      <c r="AR717" s="77"/>
      <c r="AS717" s="77"/>
      <c r="AT717" s="77"/>
      <c r="AU717" s="77"/>
      <c r="AV717" s="83" t="str">
        <f>HYPERLINK("https://pbs.twimg.com/media/F3vSuEOaYAMxygV.jpg")</f>
        <v>https://pbs.twimg.com/media/F3vSuEOaYAMxygV.jpg</v>
      </c>
      <c r="AW717" s="81" t="s">
        <v>1140</v>
      </c>
      <c r="AX717" s="81" t="s">
        <v>1140</v>
      </c>
      <c r="AY717" s="77"/>
      <c r="AZ717" s="81" t="s">
        <v>1190</v>
      </c>
      <c r="BA717" s="81" t="s">
        <v>1190</v>
      </c>
      <c r="BB717" s="81" t="s">
        <v>1190</v>
      </c>
      <c r="BC717" s="81" t="s">
        <v>1140</v>
      </c>
      <c r="BD717" s="81" t="s">
        <v>1213</v>
      </c>
      <c r="BE717" s="77"/>
      <c r="BF717" s="77"/>
      <c r="BG717" s="77"/>
      <c r="BH717" s="77"/>
      <c r="BI717" s="77"/>
      <c r="BJ717">
        <v>13</v>
      </c>
      <c r="BK717" s="76" t="str">
        <f>REPLACE(INDEX(GroupVertices[Group],MATCH(Edges[[#This Row],[Vertex 1]],GroupVertices[Vertex],0)),1,1,"")</f>
        <v>7</v>
      </c>
      <c r="BL717" s="76" t="str">
        <f>REPLACE(INDEX(GroupVertices[Group],MATCH(Edges[[#This Row],[Vertex 2]],GroupVertices[Vertex],0)),1,1,"")</f>
        <v>7</v>
      </c>
      <c r="BM717" s="45"/>
      <c r="BN717" s="46"/>
      <c r="BO717" s="45"/>
      <c r="BP717" s="46"/>
      <c r="BQ717" s="45"/>
      <c r="BR717" s="46"/>
      <c r="BS717" s="45"/>
      <c r="BT717" s="46"/>
      <c r="BU717" s="45"/>
    </row>
    <row r="718" spans="1:73" ht="15">
      <c r="A718" s="61" t="s">
        <v>257</v>
      </c>
      <c r="B718" s="61" t="s">
        <v>533</v>
      </c>
      <c r="C718" s="62" t="s">
        <v>11697</v>
      </c>
      <c r="D718" s="63">
        <v>10</v>
      </c>
      <c r="E718" s="64" t="s">
        <v>136</v>
      </c>
      <c r="F718" s="65">
        <v>10</v>
      </c>
      <c r="G718" s="62"/>
      <c r="H718" s="66"/>
      <c r="I718" s="67"/>
      <c r="J718" s="67"/>
      <c r="K718" s="31" t="s">
        <v>65</v>
      </c>
      <c r="L718" s="75">
        <v>718</v>
      </c>
      <c r="M718" s="75"/>
      <c r="N718" s="69"/>
      <c r="O718" s="77" t="s">
        <v>539</v>
      </c>
      <c r="P718" s="79">
        <v>45155.59253472222</v>
      </c>
      <c r="Q718" s="77" t="s">
        <v>657</v>
      </c>
      <c r="R718" s="77">
        <v>4</v>
      </c>
      <c r="S718" s="77">
        <v>8</v>
      </c>
      <c r="T718" s="77">
        <v>0</v>
      </c>
      <c r="U718" s="77">
        <v>0</v>
      </c>
      <c r="V718" s="77">
        <v>255</v>
      </c>
      <c r="W718" s="81" t="s">
        <v>724</v>
      </c>
      <c r="X718" s="77"/>
      <c r="Y718" s="77"/>
      <c r="Z718" s="77" t="s">
        <v>817</v>
      </c>
      <c r="AA718" s="77" t="s">
        <v>844</v>
      </c>
      <c r="AB718" s="77" t="s">
        <v>848</v>
      </c>
      <c r="AC718" s="81" t="s">
        <v>855</v>
      </c>
      <c r="AD718" s="77" t="s">
        <v>859</v>
      </c>
      <c r="AE718" s="83" t="str">
        <f>HYPERLINK("https://twitter.com/pinakilaskar/status/1692177776802185338")</f>
        <v>https://twitter.com/pinakilaskar/status/1692177776802185338</v>
      </c>
      <c r="AF718" s="79">
        <v>45155.59253472222</v>
      </c>
      <c r="AG718" s="85">
        <v>45155</v>
      </c>
      <c r="AH718" s="81" t="s">
        <v>985</v>
      </c>
      <c r="AI718" s="77" t="b">
        <v>0</v>
      </c>
      <c r="AJ718" s="77"/>
      <c r="AK718" s="77"/>
      <c r="AL718" s="77"/>
      <c r="AM718" s="77"/>
      <c r="AN718" s="77"/>
      <c r="AO718" s="77"/>
      <c r="AP718" s="77"/>
      <c r="AQ718" s="77" t="s">
        <v>1023</v>
      </c>
      <c r="AR718" s="77"/>
      <c r="AS718" s="77"/>
      <c r="AT718" s="77"/>
      <c r="AU718" s="77"/>
      <c r="AV718" s="83" t="str">
        <f>HYPERLINK("https://pbs.twimg.com/media/F3vSuEOaYAMxygV.jpg")</f>
        <v>https://pbs.twimg.com/media/F3vSuEOaYAMxygV.jpg</v>
      </c>
      <c r="AW718" s="81" t="s">
        <v>1140</v>
      </c>
      <c r="AX718" s="81" t="s">
        <v>1140</v>
      </c>
      <c r="AY718" s="77"/>
      <c r="AZ718" s="81" t="s">
        <v>1190</v>
      </c>
      <c r="BA718" s="81" t="s">
        <v>1190</v>
      </c>
      <c r="BB718" s="81" t="s">
        <v>1190</v>
      </c>
      <c r="BC718" s="81" t="s">
        <v>1140</v>
      </c>
      <c r="BD718" s="81" t="s">
        <v>1213</v>
      </c>
      <c r="BE718" s="77"/>
      <c r="BF718" s="77"/>
      <c r="BG718" s="77"/>
      <c r="BH718" s="77"/>
      <c r="BI718" s="77"/>
      <c r="BJ718">
        <v>13</v>
      </c>
      <c r="BK718" s="76" t="str">
        <f>REPLACE(INDEX(GroupVertices[Group],MATCH(Edges[[#This Row],[Vertex 1]],GroupVertices[Vertex],0)),1,1,"")</f>
        <v>7</v>
      </c>
      <c r="BL718" s="76" t="str">
        <f>REPLACE(INDEX(GroupVertices[Group],MATCH(Edges[[#This Row],[Vertex 2]],GroupVertices[Vertex],0)),1,1,"")</f>
        <v>7</v>
      </c>
      <c r="BM718" s="45"/>
      <c r="BN718" s="46"/>
      <c r="BO718" s="45"/>
      <c r="BP718" s="46"/>
      <c r="BQ718" s="45"/>
      <c r="BR718" s="46"/>
      <c r="BS718" s="45"/>
      <c r="BT718" s="46"/>
      <c r="BU718" s="45"/>
    </row>
    <row r="719" spans="1:73" ht="15">
      <c r="A719" s="61" t="s">
        <v>257</v>
      </c>
      <c r="B719" s="61" t="s">
        <v>534</v>
      </c>
      <c r="C719" s="62" t="s">
        <v>11697</v>
      </c>
      <c r="D719" s="63">
        <v>10</v>
      </c>
      <c r="E719" s="64" t="s">
        <v>136</v>
      </c>
      <c r="F719" s="65">
        <v>10</v>
      </c>
      <c r="G719" s="62"/>
      <c r="H719" s="66"/>
      <c r="I719" s="67"/>
      <c r="J719" s="67"/>
      <c r="K719" s="31" t="s">
        <v>65</v>
      </c>
      <c r="L719" s="75">
        <v>719</v>
      </c>
      <c r="M719" s="75"/>
      <c r="N719" s="69"/>
      <c r="O719" s="77" t="s">
        <v>539</v>
      </c>
      <c r="P719" s="79">
        <v>45155.59253472222</v>
      </c>
      <c r="Q719" s="77" t="s">
        <v>657</v>
      </c>
      <c r="R719" s="77">
        <v>4</v>
      </c>
      <c r="S719" s="77">
        <v>8</v>
      </c>
      <c r="T719" s="77">
        <v>0</v>
      </c>
      <c r="U719" s="77">
        <v>0</v>
      </c>
      <c r="V719" s="77">
        <v>255</v>
      </c>
      <c r="W719" s="81" t="s">
        <v>724</v>
      </c>
      <c r="X719" s="77"/>
      <c r="Y719" s="77"/>
      <c r="Z719" s="77" t="s">
        <v>817</v>
      </c>
      <c r="AA719" s="77" t="s">
        <v>844</v>
      </c>
      <c r="AB719" s="77" t="s">
        <v>848</v>
      </c>
      <c r="AC719" s="81" t="s">
        <v>855</v>
      </c>
      <c r="AD719" s="77" t="s">
        <v>859</v>
      </c>
      <c r="AE719" s="83" t="str">
        <f>HYPERLINK("https://twitter.com/pinakilaskar/status/1692177776802185338")</f>
        <v>https://twitter.com/pinakilaskar/status/1692177776802185338</v>
      </c>
      <c r="AF719" s="79">
        <v>45155.59253472222</v>
      </c>
      <c r="AG719" s="85">
        <v>45155</v>
      </c>
      <c r="AH719" s="81" t="s">
        <v>985</v>
      </c>
      <c r="AI719" s="77" t="b">
        <v>0</v>
      </c>
      <c r="AJ719" s="77"/>
      <c r="AK719" s="77"/>
      <c r="AL719" s="77"/>
      <c r="AM719" s="77"/>
      <c r="AN719" s="77"/>
      <c r="AO719" s="77"/>
      <c r="AP719" s="77"/>
      <c r="AQ719" s="77" t="s">
        <v>1023</v>
      </c>
      <c r="AR719" s="77"/>
      <c r="AS719" s="77"/>
      <c r="AT719" s="77"/>
      <c r="AU719" s="77"/>
      <c r="AV719" s="83" t="str">
        <f>HYPERLINK("https://pbs.twimg.com/media/F3vSuEOaYAMxygV.jpg")</f>
        <v>https://pbs.twimg.com/media/F3vSuEOaYAMxygV.jpg</v>
      </c>
      <c r="AW719" s="81" t="s">
        <v>1140</v>
      </c>
      <c r="AX719" s="81" t="s">
        <v>1140</v>
      </c>
      <c r="AY719" s="77"/>
      <c r="AZ719" s="81" t="s">
        <v>1190</v>
      </c>
      <c r="BA719" s="81" t="s">
        <v>1190</v>
      </c>
      <c r="BB719" s="81" t="s">
        <v>1190</v>
      </c>
      <c r="BC719" s="81" t="s">
        <v>1140</v>
      </c>
      <c r="BD719" s="81" t="s">
        <v>1213</v>
      </c>
      <c r="BE719" s="77"/>
      <c r="BF719" s="77"/>
      <c r="BG719" s="77"/>
      <c r="BH719" s="77"/>
      <c r="BI719" s="77"/>
      <c r="BJ719">
        <v>9</v>
      </c>
      <c r="BK719" s="76" t="str">
        <f>REPLACE(INDEX(GroupVertices[Group],MATCH(Edges[[#This Row],[Vertex 1]],GroupVertices[Vertex],0)),1,1,"")</f>
        <v>7</v>
      </c>
      <c r="BL719" s="76" t="str">
        <f>REPLACE(INDEX(GroupVertices[Group],MATCH(Edges[[#This Row],[Vertex 2]],GroupVertices[Vertex],0)),1,1,"")</f>
        <v>7</v>
      </c>
      <c r="BM719" s="45"/>
      <c r="BN719" s="46"/>
      <c r="BO719" s="45"/>
      <c r="BP719" s="46"/>
      <c r="BQ719" s="45"/>
      <c r="BR719" s="46"/>
      <c r="BS719" s="45"/>
      <c r="BT719" s="46"/>
      <c r="BU719" s="45"/>
    </row>
    <row r="720" spans="1:73" ht="15">
      <c r="A720" s="61" t="s">
        <v>257</v>
      </c>
      <c r="B720" s="61" t="s">
        <v>535</v>
      </c>
      <c r="C720" s="62" t="s">
        <v>11697</v>
      </c>
      <c r="D720" s="63">
        <v>10</v>
      </c>
      <c r="E720" s="64" t="s">
        <v>136</v>
      </c>
      <c r="F720" s="65">
        <v>10</v>
      </c>
      <c r="G720" s="62"/>
      <c r="H720" s="66"/>
      <c r="I720" s="67"/>
      <c r="J720" s="67"/>
      <c r="K720" s="31" t="s">
        <v>65</v>
      </c>
      <c r="L720" s="75">
        <v>720</v>
      </c>
      <c r="M720" s="75"/>
      <c r="N720" s="69"/>
      <c r="O720" s="77" t="s">
        <v>539</v>
      </c>
      <c r="P720" s="79">
        <v>45155.59253472222</v>
      </c>
      <c r="Q720" s="77" t="s">
        <v>657</v>
      </c>
      <c r="R720" s="77">
        <v>4</v>
      </c>
      <c r="S720" s="77">
        <v>8</v>
      </c>
      <c r="T720" s="77">
        <v>0</v>
      </c>
      <c r="U720" s="77">
        <v>0</v>
      </c>
      <c r="V720" s="77">
        <v>255</v>
      </c>
      <c r="W720" s="81" t="s">
        <v>724</v>
      </c>
      <c r="X720" s="77"/>
      <c r="Y720" s="77"/>
      <c r="Z720" s="77" t="s">
        <v>817</v>
      </c>
      <c r="AA720" s="77" t="s">
        <v>844</v>
      </c>
      <c r="AB720" s="77" t="s">
        <v>848</v>
      </c>
      <c r="AC720" s="81" t="s">
        <v>855</v>
      </c>
      <c r="AD720" s="77" t="s">
        <v>859</v>
      </c>
      <c r="AE720" s="83" t="str">
        <f>HYPERLINK("https://twitter.com/pinakilaskar/status/1692177776802185338")</f>
        <v>https://twitter.com/pinakilaskar/status/1692177776802185338</v>
      </c>
      <c r="AF720" s="79">
        <v>45155.59253472222</v>
      </c>
      <c r="AG720" s="85">
        <v>45155</v>
      </c>
      <c r="AH720" s="81" t="s">
        <v>985</v>
      </c>
      <c r="AI720" s="77" t="b">
        <v>0</v>
      </c>
      <c r="AJ720" s="77"/>
      <c r="AK720" s="77"/>
      <c r="AL720" s="77"/>
      <c r="AM720" s="77"/>
      <c r="AN720" s="77"/>
      <c r="AO720" s="77"/>
      <c r="AP720" s="77"/>
      <c r="AQ720" s="77" t="s">
        <v>1023</v>
      </c>
      <c r="AR720" s="77"/>
      <c r="AS720" s="77"/>
      <c r="AT720" s="77"/>
      <c r="AU720" s="77"/>
      <c r="AV720" s="83" t="str">
        <f>HYPERLINK("https://pbs.twimg.com/media/F3vSuEOaYAMxygV.jpg")</f>
        <v>https://pbs.twimg.com/media/F3vSuEOaYAMxygV.jpg</v>
      </c>
      <c r="AW720" s="81" t="s">
        <v>1140</v>
      </c>
      <c r="AX720" s="81" t="s">
        <v>1140</v>
      </c>
      <c r="AY720" s="77"/>
      <c r="AZ720" s="81" t="s">
        <v>1190</v>
      </c>
      <c r="BA720" s="81" t="s">
        <v>1190</v>
      </c>
      <c r="BB720" s="81" t="s">
        <v>1190</v>
      </c>
      <c r="BC720" s="81" t="s">
        <v>1140</v>
      </c>
      <c r="BD720" s="81" t="s">
        <v>1213</v>
      </c>
      <c r="BE720" s="77"/>
      <c r="BF720" s="77"/>
      <c r="BG720" s="77"/>
      <c r="BH720" s="77"/>
      <c r="BI720" s="77"/>
      <c r="BJ720">
        <v>13</v>
      </c>
      <c r="BK720" s="76" t="str">
        <f>REPLACE(INDEX(GroupVertices[Group],MATCH(Edges[[#This Row],[Vertex 1]],GroupVertices[Vertex],0)),1,1,"")</f>
        <v>7</v>
      </c>
      <c r="BL720" s="76" t="str">
        <f>REPLACE(INDEX(GroupVertices[Group],MATCH(Edges[[#This Row],[Vertex 2]],GroupVertices[Vertex],0)),1,1,"")</f>
        <v>7</v>
      </c>
      <c r="BM720" s="45"/>
      <c r="BN720" s="46"/>
      <c r="BO720" s="45"/>
      <c r="BP720" s="46"/>
      <c r="BQ720" s="45"/>
      <c r="BR720" s="46"/>
      <c r="BS720" s="45"/>
      <c r="BT720" s="46"/>
      <c r="BU720" s="45"/>
    </row>
    <row r="721" spans="1:73" ht="15">
      <c r="A721" s="61" t="s">
        <v>257</v>
      </c>
      <c r="B721" s="61" t="s">
        <v>537</v>
      </c>
      <c r="C721" s="62" t="s">
        <v>11697</v>
      </c>
      <c r="D721" s="63">
        <v>10</v>
      </c>
      <c r="E721" s="64" t="s">
        <v>136</v>
      </c>
      <c r="F721" s="65">
        <v>10</v>
      </c>
      <c r="G721" s="62"/>
      <c r="H721" s="66"/>
      <c r="I721" s="67"/>
      <c r="J721" s="67"/>
      <c r="K721" s="31" t="s">
        <v>65</v>
      </c>
      <c r="L721" s="75">
        <v>721</v>
      </c>
      <c r="M721" s="75"/>
      <c r="N721" s="69"/>
      <c r="O721" s="77" t="s">
        <v>539</v>
      </c>
      <c r="P721" s="79">
        <v>45155.59253472222</v>
      </c>
      <c r="Q721" s="77" t="s">
        <v>657</v>
      </c>
      <c r="R721" s="77">
        <v>4</v>
      </c>
      <c r="S721" s="77">
        <v>8</v>
      </c>
      <c r="T721" s="77">
        <v>0</v>
      </c>
      <c r="U721" s="77">
        <v>0</v>
      </c>
      <c r="V721" s="77">
        <v>255</v>
      </c>
      <c r="W721" s="81" t="s">
        <v>724</v>
      </c>
      <c r="X721" s="77"/>
      <c r="Y721" s="77"/>
      <c r="Z721" s="77" t="s">
        <v>817</v>
      </c>
      <c r="AA721" s="77" t="s">
        <v>844</v>
      </c>
      <c r="AB721" s="77" t="s">
        <v>848</v>
      </c>
      <c r="AC721" s="81" t="s">
        <v>855</v>
      </c>
      <c r="AD721" s="77" t="s">
        <v>859</v>
      </c>
      <c r="AE721" s="83" t="str">
        <f>HYPERLINK("https://twitter.com/pinakilaskar/status/1692177776802185338")</f>
        <v>https://twitter.com/pinakilaskar/status/1692177776802185338</v>
      </c>
      <c r="AF721" s="79">
        <v>45155.59253472222</v>
      </c>
      <c r="AG721" s="85">
        <v>45155</v>
      </c>
      <c r="AH721" s="81" t="s">
        <v>985</v>
      </c>
      <c r="AI721" s="77" t="b">
        <v>0</v>
      </c>
      <c r="AJ721" s="77"/>
      <c r="AK721" s="77"/>
      <c r="AL721" s="77"/>
      <c r="AM721" s="77"/>
      <c r="AN721" s="77"/>
      <c r="AO721" s="77"/>
      <c r="AP721" s="77"/>
      <c r="AQ721" s="77" t="s">
        <v>1023</v>
      </c>
      <c r="AR721" s="77"/>
      <c r="AS721" s="77"/>
      <c r="AT721" s="77"/>
      <c r="AU721" s="77"/>
      <c r="AV721" s="83" t="str">
        <f>HYPERLINK("https://pbs.twimg.com/media/F3vSuEOaYAMxygV.jpg")</f>
        <v>https://pbs.twimg.com/media/F3vSuEOaYAMxygV.jpg</v>
      </c>
      <c r="AW721" s="81" t="s">
        <v>1140</v>
      </c>
      <c r="AX721" s="81" t="s">
        <v>1140</v>
      </c>
      <c r="AY721" s="77"/>
      <c r="AZ721" s="81" t="s">
        <v>1190</v>
      </c>
      <c r="BA721" s="81" t="s">
        <v>1190</v>
      </c>
      <c r="BB721" s="81" t="s">
        <v>1190</v>
      </c>
      <c r="BC721" s="81" t="s">
        <v>1140</v>
      </c>
      <c r="BD721" s="81" t="s">
        <v>1213</v>
      </c>
      <c r="BE721" s="77"/>
      <c r="BF721" s="77"/>
      <c r="BG721" s="77"/>
      <c r="BH721" s="77"/>
      <c r="BI721" s="77"/>
      <c r="BJ721">
        <v>10</v>
      </c>
      <c r="BK721" s="76" t="str">
        <f>REPLACE(INDEX(GroupVertices[Group],MATCH(Edges[[#This Row],[Vertex 1]],GroupVertices[Vertex],0)),1,1,"")</f>
        <v>7</v>
      </c>
      <c r="BL721" s="76" t="str">
        <f>REPLACE(INDEX(GroupVertices[Group],MATCH(Edges[[#This Row],[Vertex 2]],GroupVertices[Vertex],0)),1,1,"")</f>
        <v>7</v>
      </c>
      <c r="BM721" s="45"/>
      <c r="BN721" s="46"/>
      <c r="BO721" s="45"/>
      <c r="BP721" s="46"/>
      <c r="BQ721" s="45"/>
      <c r="BR721" s="46"/>
      <c r="BS721" s="45"/>
      <c r="BT721" s="46"/>
      <c r="BU721" s="45"/>
    </row>
    <row r="722" spans="1:73" ht="15">
      <c r="A722" s="61" t="s">
        <v>257</v>
      </c>
      <c r="B722" s="61" t="s">
        <v>538</v>
      </c>
      <c r="C722" s="62" t="s">
        <v>11697</v>
      </c>
      <c r="D722" s="63">
        <v>10</v>
      </c>
      <c r="E722" s="64" t="s">
        <v>136</v>
      </c>
      <c r="F722" s="65">
        <v>10</v>
      </c>
      <c r="G722" s="62"/>
      <c r="H722" s="66"/>
      <c r="I722" s="67"/>
      <c r="J722" s="67"/>
      <c r="K722" s="31" t="s">
        <v>65</v>
      </c>
      <c r="L722" s="75">
        <v>722</v>
      </c>
      <c r="M722" s="75"/>
      <c r="N722" s="69"/>
      <c r="O722" s="77" t="s">
        <v>539</v>
      </c>
      <c r="P722" s="79">
        <v>45155.59253472222</v>
      </c>
      <c r="Q722" s="77" t="s">
        <v>657</v>
      </c>
      <c r="R722" s="77">
        <v>4</v>
      </c>
      <c r="S722" s="77">
        <v>8</v>
      </c>
      <c r="T722" s="77">
        <v>0</v>
      </c>
      <c r="U722" s="77">
        <v>0</v>
      </c>
      <c r="V722" s="77">
        <v>255</v>
      </c>
      <c r="W722" s="81" t="s">
        <v>724</v>
      </c>
      <c r="X722" s="77"/>
      <c r="Y722" s="77"/>
      <c r="Z722" s="77" t="s">
        <v>817</v>
      </c>
      <c r="AA722" s="77" t="s">
        <v>844</v>
      </c>
      <c r="AB722" s="77" t="s">
        <v>848</v>
      </c>
      <c r="AC722" s="81" t="s">
        <v>855</v>
      </c>
      <c r="AD722" s="77" t="s">
        <v>859</v>
      </c>
      <c r="AE722" s="83" t="str">
        <f>HYPERLINK("https://twitter.com/pinakilaskar/status/1692177776802185338")</f>
        <v>https://twitter.com/pinakilaskar/status/1692177776802185338</v>
      </c>
      <c r="AF722" s="79">
        <v>45155.59253472222</v>
      </c>
      <c r="AG722" s="85">
        <v>45155</v>
      </c>
      <c r="AH722" s="81" t="s">
        <v>985</v>
      </c>
      <c r="AI722" s="77" t="b">
        <v>0</v>
      </c>
      <c r="AJ722" s="77"/>
      <c r="AK722" s="77"/>
      <c r="AL722" s="77"/>
      <c r="AM722" s="77"/>
      <c r="AN722" s="77"/>
      <c r="AO722" s="77"/>
      <c r="AP722" s="77"/>
      <c r="AQ722" s="77" t="s">
        <v>1023</v>
      </c>
      <c r="AR722" s="77"/>
      <c r="AS722" s="77"/>
      <c r="AT722" s="77"/>
      <c r="AU722" s="77"/>
      <c r="AV722" s="83" t="str">
        <f>HYPERLINK("https://pbs.twimg.com/media/F3vSuEOaYAMxygV.jpg")</f>
        <v>https://pbs.twimg.com/media/F3vSuEOaYAMxygV.jpg</v>
      </c>
      <c r="AW722" s="81" t="s">
        <v>1140</v>
      </c>
      <c r="AX722" s="81" t="s">
        <v>1140</v>
      </c>
      <c r="AY722" s="77"/>
      <c r="AZ722" s="81" t="s">
        <v>1190</v>
      </c>
      <c r="BA722" s="81" t="s">
        <v>1190</v>
      </c>
      <c r="BB722" s="81" t="s">
        <v>1190</v>
      </c>
      <c r="BC722" s="81" t="s">
        <v>1140</v>
      </c>
      <c r="BD722" s="81" t="s">
        <v>1213</v>
      </c>
      <c r="BE722" s="77"/>
      <c r="BF722" s="77"/>
      <c r="BG722" s="77"/>
      <c r="BH722" s="77"/>
      <c r="BI722" s="77"/>
      <c r="BJ722">
        <v>13</v>
      </c>
      <c r="BK722" s="76" t="str">
        <f>REPLACE(INDEX(GroupVertices[Group],MATCH(Edges[[#This Row],[Vertex 1]],GroupVertices[Vertex],0)),1,1,"")</f>
        <v>7</v>
      </c>
      <c r="BL722" s="76" t="str">
        <f>REPLACE(INDEX(GroupVertices[Group],MATCH(Edges[[#This Row],[Vertex 2]],GroupVertices[Vertex],0)),1,1,"")</f>
        <v>7</v>
      </c>
      <c r="BM722" s="45">
        <v>0</v>
      </c>
      <c r="BN722" s="46">
        <v>0</v>
      </c>
      <c r="BO722" s="45">
        <v>0</v>
      </c>
      <c r="BP722" s="46">
        <v>0</v>
      </c>
      <c r="BQ722" s="45">
        <v>0</v>
      </c>
      <c r="BR722" s="46">
        <v>0</v>
      </c>
      <c r="BS722" s="45">
        <v>26</v>
      </c>
      <c r="BT722" s="46">
        <v>76.47058823529412</v>
      </c>
      <c r="BU722" s="45">
        <v>34</v>
      </c>
    </row>
    <row r="723" spans="1:73" ht="15">
      <c r="A723" s="61" t="s">
        <v>258</v>
      </c>
      <c r="B723" s="61" t="s">
        <v>526</v>
      </c>
      <c r="C723" s="62" t="s">
        <v>11693</v>
      </c>
      <c r="D723" s="63">
        <v>4.4</v>
      </c>
      <c r="E723" s="64" t="s">
        <v>132</v>
      </c>
      <c r="F723" s="65">
        <v>27.6</v>
      </c>
      <c r="G723" s="62"/>
      <c r="H723" s="66"/>
      <c r="I723" s="67"/>
      <c r="J723" s="67"/>
      <c r="K723" s="31" t="s">
        <v>65</v>
      </c>
      <c r="L723" s="75">
        <v>723</v>
      </c>
      <c r="M723" s="75"/>
      <c r="N723" s="69"/>
      <c r="O723" s="77" t="s">
        <v>539</v>
      </c>
      <c r="P723" s="79">
        <v>45156.546006944445</v>
      </c>
      <c r="Q723" s="77" t="s">
        <v>658</v>
      </c>
      <c r="R723" s="77">
        <v>2</v>
      </c>
      <c r="S723" s="77">
        <v>3</v>
      </c>
      <c r="T723" s="77">
        <v>0</v>
      </c>
      <c r="U723" s="77">
        <v>0</v>
      </c>
      <c r="V723" s="77">
        <v>114</v>
      </c>
      <c r="W723" s="81" t="s">
        <v>725</v>
      </c>
      <c r="X723" s="77"/>
      <c r="Y723" s="77"/>
      <c r="Z723" s="77" t="s">
        <v>818</v>
      </c>
      <c r="AA723" s="77" t="s">
        <v>845</v>
      </c>
      <c r="AB723" s="77" t="s">
        <v>848</v>
      </c>
      <c r="AC723" s="81" t="s">
        <v>855</v>
      </c>
      <c r="AD723" s="77" t="s">
        <v>859</v>
      </c>
      <c r="AE723" s="83" t="str">
        <f>HYPERLINK("https://twitter.com/fisheyebox/status/1692523300751385033")</f>
        <v>https://twitter.com/fisheyebox/status/1692523300751385033</v>
      </c>
      <c r="AF723" s="79">
        <v>45156.546006944445</v>
      </c>
      <c r="AG723" s="85">
        <v>45156</v>
      </c>
      <c r="AH723" s="81" t="s">
        <v>986</v>
      </c>
      <c r="AI723" s="77" t="b">
        <v>0</v>
      </c>
      <c r="AJ723" s="77"/>
      <c r="AK723" s="77"/>
      <c r="AL723" s="77"/>
      <c r="AM723" s="77"/>
      <c r="AN723" s="77"/>
      <c r="AO723" s="77"/>
      <c r="AP723" s="77"/>
      <c r="AQ723" s="77" t="s">
        <v>1024</v>
      </c>
      <c r="AR723" s="77"/>
      <c r="AS723" s="77"/>
      <c r="AT723" s="77"/>
      <c r="AU723" s="77"/>
      <c r="AV723" s="83" t="str">
        <f>HYPERLINK("https://pbs.twimg.com/media/F30M-PIakAAT_hM.jpg")</f>
        <v>https://pbs.twimg.com/media/F30M-PIakAAT_hM.jpg</v>
      </c>
      <c r="AW723" s="81" t="s">
        <v>1141</v>
      </c>
      <c r="AX723" s="81" t="s">
        <v>1141</v>
      </c>
      <c r="AY723" s="77"/>
      <c r="AZ723" s="81" t="s">
        <v>1190</v>
      </c>
      <c r="BA723" s="81" t="s">
        <v>1190</v>
      </c>
      <c r="BB723" s="81" t="s">
        <v>1190</v>
      </c>
      <c r="BC723" s="81" t="s">
        <v>1141</v>
      </c>
      <c r="BD723" s="77">
        <v>325430154</v>
      </c>
      <c r="BE723" s="77"/>
      <c r="BF723" s="77"/>
      <c r="BG723" s="77"/>
      <c r="BH723" s="77"/>
      <c r="BI723" s="77"/>
      <c r="BJ723">
        <v>2</v>
      </c>
      <c r="BK723" s="76" t="str">
        <f>REPLACE(INDEX(GroupVertices[Group],MATCH(Edges[[#This Row],[Vertex 1]],GroupVertices[Vertex],0)),1,1,"")</f>
        <v>7</v>
      </c>
      <c r="BL723" s="76" t="str">
        <f>REPLACE(INDEX(GroupVertices[Group],MATCH(Edges[[#This Row],[Vertex 2]],GroupVertices[Vertex],0)),1,1,"")</f>
        <v>7</v>
      </c>
      <c r="BM723" s="45"/>
      <c r="BN723" s="46"/>
      <c r="BO723" s="45"/>
      <c r="BP723" s="46"/>
      <c r="BQ723" s="45"/>
      <c r="BR723" s="46"/>
      <c r="BS723" s="45"/>
      <c r="BT723" s="46"/>
      <c r="BU723" s="45"/>
    </row>
    <row r="724" spans="1:73" ht="15">
      <c r="A724" s="61" t="s">
        <v>258</v>
      </c>
      <c r="B724" s="61" t="s">
        <v>526</v>
      </c>
      <c r="C724" s="62" t="s">
        <v>11693</v>
      </c>
      <c r="D724" s="63">
        <v>4.4</v>
      </c>
      <c r="E724" s="64" t="s">
        <v>132</v>
      </c>
      <c r="F724" s="65">
        <v>27.6</v>
      </c>
      <c r="G724" s="62"/>
      <c r="H724" s="66"/>
      <c r="I724" s="67"/>
      <c r="J724" s="67"/>
      <c r="K724" s="31" t="s">
        <v>65</v>
      </c>
      <c r="L724" s="75">
        <v>724</v>
      </c>
      <c r="M724" s="75"/>
      <c r="N724" s="69"/>
      <c r="O724" s="77" t="s">
        <v>539</v>
      </c>
      <c r="P724" s="79">
        <v>45161.25696759259</v>
      </c>
      <c r="Q724" s="77" t="s">
        <v>659</v>
      </c>
      <c r="R724" s="77">
        <v>2</v>
      </c>
      <c r="S724" s="77">
        <v>3</v>
      </c>
      <c r="T724" s="77">
        <v>0</v>
      </c>
      <c r="U724" s="77">
        <v>0</v>
      </c>
      <c r="V724" s="77">
        <v>50</v>
      </c>
      <c r="W724" s="81" t="s">
        <v>726</v>
      </c>
      <c r="X724" s="83" t="str">
        <f>HYPERLINK("https://www.linkedin.com/posts/pinakilaskar_ailaw-generativeai-intellectualproperty-activity-7099956740313497600-Rrrw")</f>
        <v>https://www.linkedin.com/posts/pinakilaskar_ailaw-generativeai-intellectualproperty-activity-7099956740313497600-Rrrw</v>
      </c>
      <c r="Y724" s="77" t="s">
        <v>749</v>
      </c>
      <c r="Z724" s="77" t="s">
        <v>808</v>
      </c>
      <c r="AA724" s="77"/>
      <c r="AB724" s="77"/>
      <c r="AC724" s="81" t="s">
        <v>855</v>
      </c>
      <c r="AD724" s="77" t="s">
        <v>867</v>
      </c>
      <c r="AE724" s="83" t="str">
        <f>HYPERLINK("https://twitter.com/fisheyebox/status/1694230497713586501")</f>
        <v>https://twitter.com/fisheyebox/status/1694230497713586501</v>
      </c>
      <c r="AF724" s="79">
        <v>45161.25696759259</v>
      </c>
      <c r="AG724" s="85">
        <v>45161</v>
      </c>
      <c r="AH724" s="81" t="s">
        <v>987</v>
      </c>
      <c r="AI724" s="77" t="b">
        <v>0</v>
      </c>
      <c r="AJ724" s="77"/>
      <c r="AK724" s="77"/>
      <c r="AL724" s="77"/>
      <c r="AM724" s="77"/>
      <c r="AN724" s="77"/>
      <c r="AO724" s="77"/>
      <c r="AP724" s="77"/>
      <c r="AQ724" s="77"/>
      <c r="AR724" s="77"/>
      <c r="AS724" s="77"/>
      <c r="AT724" s="77"/>
      <c r="AU724" s="77"/>
      <c r="AV724" s="83" t="str">
        <f>HYPERLINK("https://pbs.twimg.com/profile_images/1206092231800549376/XVZ2BlIM_normal.jpg")</f>
        <v>https://pbs.twimg.com/profile_images/1206092231800549376/XVZ2BlIM_normal.jpg</v>
      </c>
      <c r="AW724" s="81" t="s">
        <v>1142</v>
      </c>
      <c r="AX724" s="81" t="s">
        <v>1142</v>
      </c>
      <c r="AY724" s="77"/>
      <c r="AZ724" s="81" t="s">
        <v>1190</v>
      </c>
      <c r="BA724" s="81" t="s">
        <v>1190</v>
      </c>
      <c r="BB724" s="81" t="s">
        <v>1190</v>
      </c>
      <c r="BC724" s="81" t="s">
        <v>1142</v>
      </c>
      <c r="BD724" s="77">
        <v>325430154</v>
      </c>
      <c r="BE724" s="77"/>
      <c r="BF724" s="77"/>
      <c r="BG724" s="77"/>
      <c r="BH724" s="77"/>
      <c r="BI724" s="77"/>
      <c r="BJ724">
        <v>2</v>
      </c>
      <c r="BK724" s="76" t="str">
        <f>REPLACE(INDEX(GroupVertices[Group],MATCH(Edges[[#This Row],[Vertex 1]],GroupVertices[Vertex],0)),1,1,"")</f>
        <v>7</v>
      </c>
      <c r="BL724" s="76" t="str">
        <f>REPLACE(INDEX(GroupVertices[Group],MATCH(Edges[[#This Row],[Vertex 2]],GroupVertices[Vertex],0)),1,1,"")</f>
        <v>7</v>
      </c>
      <c r="BM724" s="45"/>
      <c r="BN724" s="46"/>
      <c r="BO724" s="45"/>
      <c r="BP724" s="46"/>
      <c r="BQ724" s="45"/>
      <c r="BR724" s="46"/>
      <c r="BS724" s="45"/>
      <c r="BT724" s="46"/>
      <c r="BU724" s="45"/>
    </row>
    <row r="725" spans="1:73" ht="15">
      <c r="A725" s="61" t="s">
        <v>258</v>
      </c>
      <c r="B725" s="61" t="s">
        <v>527</v>
      </c>
      <c r="C725" s="62" t="s">
        <v>11693</v>
      </c>
      <c r="D725" s="63">
        <v>4.4</v>
      </c>
      <c r="E725" s="64" t="s">
        <v>132</v>
      </c>
      <c r="F725" s="65">
        <v>27.6</v>
      </c>
      <c r="G725" s="62"/>
      <c r="H725" s="66"/>
      <c r="I725" s="67"/>
      <c r="J725" s="67"/>
      <c r="K725" s="31" t="s">
        <v>65</v>
      </c>
      <c r="L725" s="75">
        <v>725</v>
      </c>
      <c r="M725" s="75"/>
      <c r="N725" s="69"/>
      <c r="O725" s="77" t="s">
        <v>539</v>
      </c>
      <c r="P725" s="79">
        <v>45156.546006944445</v>
      </c>
      <c r="Q725" s="77" t="s">
        <v>658</v>
      </c>
      <c r="R725" s="77">
        <v>2</v>
      </c>
      <c r="S725" s="77">
        <v>3</v>
      </c>
      <c r="T725" s="77">
        <v>0</v>
      </c>
      <c r="U725" s="77">
        <v>0</v>
      </c>
      <c r="V725" s="77">
        <v>114</v>
      </c>
      <c r="W725" s="81" t="s">
        <v>725</v>
      </c>
      <c r="X725" s="77"/>
      <c r="Y725" s="77"/>
      <c r="Z725" s="77" t="s">
        <v>818</v>
      </c>
      <c r="AA725" s="77" t="s">
        <v>845</v>
      </c>
      <c r="AB725" s="77" t="s">
        <v>848</v>
      </c>
      <c r="AC725" s="81" t="s">
        <v>855</v>
      </c>
      <c r="AD725" s="77" t="s">
        <v>859</v>
      </c>
      <c r="AE725" s="83" t="str">
        <f>HYPERLINK("https://twitter.com/fisheyebox/status/1692523300751385033")</f>
        <v>https://twitter.com/fisheyebox/status/1692523300751385033</v>
      </c>
      <c r="AF725" s="79">
        <v>45156.546006944445</v>
      </c>
      <c r="AG725" s="85">
        <v>45156</v>
      </c>
      <c r="AH725" s="81" t="s">
        <v>986</v>
      </c>
      <c r="AI725" s="77" t="b">
        <v>0</v>
      </c>
      <c r="AJ725" s="77"/>
      <c r="AK725" s="77"/>
      <c r="AL725" s="77"/>
      <c r="AM725" s="77"/>
      <c r="AN725" s="77"/>
      <c r="AO725" s="77"/>
      <c r="AP725" s="77"/>
      <c r="AQ725" s="77" t="s">
        <v>1024</v>
      </c>
      <c r="AR725" s="77"/>
      <c r="AS725" s="77"/>
      <c r="AT725" s="77"/>
      <c r="AU725" s="77"/>
      <c r="AV725" s="83" t="str">
        <f>HYPERLINK("https://pbs.twimg.com/media/F30M-PIakAAT_hM.jpg")</f>
        <v>https://pbs.twimg.com/media/F30M-PIakAAT_hM.jpg</v>
      </c>
      <c r="AW725" s="81" t="s">
        <v>1141</v>
      </c>
      <c r="AX725" s="81" t="s">
        <v>1141</v>
      </c>
      <c r="AY725" s="77"/>
      <c r="AZ725" s="81" t="s">
        <v>1190</v>
      </c>
      <c r="BA725" s="81" t="s">
        <v>1190</v>
      </c>
      <c r="BB725" s="81" t="s">
        <v>1190</v>
      </c>
      <c r="BC725" s="81" t="s">
        <v>1141</v>
      </c>
      <c r="BD725" s="77">
        <v>325430154</v>
      </c>
      <c r="BE725" s="77"/>
      <c r="BF725" s="77"/>
      <c r="BG725" s="77"/>
      <c r="BH725" s="77"/>
      <c r="BI725" s="77"/>
      <c r="BJ725">
        <v>2</v>
      </c>
      <c r="BK725" s="76" t="str">
        <f>REPLACE(INDEX(GroupVertices[Group],MATCH(Edges[[#This Row],[Vertex 1]],GroupVertices[Vertex],0)),1,1,"")</f>
        <v>7</v>
      </c>
      <c r="BL725" s="76" t="str">
        <f>REPLACE(INDEX(GroupVertices[Group],MATCH(Edges[[#This Row],[Vertex 2]],GroupVertices[Vertex],0)),1,1,"")</f>
        <v>7</v>
      </c>
      <c r="BM725" s="45"/>
      <c r="BN725" s="46"/>
      <c r="BO725" s="45"/>
      <c r="BP725" s="46"/>
      <c r="BQ725" s="45"/>
      <c r="BR725" s="46"/>
      <c r="BS725" s="45"/>
      <c r="BT725" s="46"/>
      <c r="BU725" s="45"/>
    </row>
    <row r="726" spans="1:73" ht="15">
      <c r="A726" s="61" t="s">
        <v>258</v>
      </c>
      <c r="B726" s="61" t="s">
        <v>527</v>
      </c>
      <c r="C726" s="62" t="s">
        <v>11693</v>
      </c>
      <c r="D726" s="63">
        <v>4.4</v>
      </c>
      <c r="E726" s="64" t="s">
        <v>132</v>
      </c>
      <c r="F726" s="65">
        <v>27.6</v>
      </c>
      <c r="G726" s="62"/>
      <c r="H726" s="66"/>
      <c r="I726" s="67"/>
      <c r="J726" s="67"/>
      <c r="K726" s="31" t="s">
        <v>65</v>
      </c>
      <c r="L726" s="75">
        <v>726</v>
      </c>
      <c r="M726" s="75"/>
      <c r="N726" s="69"/>
      <c r="O726" s="77" t="s">
        <v>539</v>
      </c>
      <c r="P726" s="79">
        <v>45161.25696759259</v>
      </c>
      <c r="Q726" s="77" t="s">
        <v>659</v>
      </c>
      <c r="R726" s="77">
        <v>2</v>
      </c>
      <c r="S726" s="77">
        <v>3</v>
      </c>
      <c r="T726" s="77">
        <v>0</v>
      </c>
      <c r="U726" s="77">
        <v>0</v>
      </c>
      <c r="V726" s="77">
        <v>50</v>
      </c>
      <c r="W726" s="81" t="s">
        <v>726</v>
      </c>
      <c r="X726" s="83" t="str">
        <f>HYPERLINK("https://www.linkedin.com/posts/pinakilaskar_ailaw-generativeai-intellectualproperty-activity-7099956740313497600-Rrrw")</f>
        <v>https://www.linkedin.com/posts/pinakilaskar_ailaw-generativeai-intellectualproperty-activity-7099956740313497600-Rrrw</v>
      </c>
      <c r="Y726" s="77" t="s">
        <v>749</v>
      </c>
      <c r="Z726" s="77" t="s">
        <v>808</v>
      </c>
      <c r="AA726" s="77"/>
      <c r="AB726" s="77"/>
      <c r="AC726" s="81" t="s">
        <v>855</v>
      </c>
      <c r="AD726" s="77" t="s">
        <v>867</v>
      </c>
      <c r="AE726" s="83" t="str">
        <f>HYPERLINK("https://twitter.com/fisheyebox/status/1694230497713586501")</f>
        <v>https://twitter.com/fisheyebox/status/1694230497713586501</v>
      </c>
      <c r="AF726" s="79">
        <v>45161.25696759259</v>
      </c>
      <c r="AG726" s="85">
        <v>45161</v>
      </c>
      <c r="AH726" s="81" t="s">
        <v>987</v>
      </c>
      <c r="AI726" s="77" t="b">
        <v>0</v>
      </c>
      <c r="AJ726" s="77"/>
      <c r="AK726" s="77"/>
      <c r="AL726" s="77"/>
      <c r="AM726" s="77"/>
      <c r="AN726" s="77"/>
      <c r="AO726" s="77"/>
      <c r="AP726" s="77"/>
      <c r="AQ726" s="77"/>
      <c r="AR726" s="77"/>
      <c r="AS726" s="77"/>
      <c r="AT726" s="77"/>
      <c r="AU726" s="77"/>
      <c r="AV726" s="83" t="str">
        <f>HYPERLINK("https://pbs.twimg.com/profile_images/1206092231800549376/XVZ2BlIM_normal.jpg")</f>
        <v>https://pbs.twimg.com/profile_images/1206092231800549376/XVZ2BlIM_normal.jpg</v>
      </c>
      <c r="AW726" s="81" t="s">
        <v>1142</v>
      </c>
      <c r="AX726" s="81" t="s">
        <v>1142</v>
      </c>
      <c r="AY726" s="77"/>
      <c r="AZ726" s="81" t="s">
        <v>1190</v>
      </c>
      <c r="BA726" s="81" t="s">
        <v>1190</v>
      </c>
      <c r="BB726" s="81" t="s">
        <v>1190</v>
      </c>
      <c r="BC726" s="81" t="s">
        <v>1142</v>
      </c>
      <c r="BD726" s="77">
        <v>325430154</v>
      </c>
      <c r="BE726" s="77"/>
      <c r="BF726" s="77"/>
      <c r="BG726" s="77"/>
      <c r="BH726" s="77"/>
      <c r="BI726" s="77"/>
      <c r="BJ726">
        <v>2</v>
      </c>
      <c r="BK726" s="76" t="str">
        <f>REPLACE(INDEX(GroupVertices[Group],MATCH(Edges[[#This Row],[Vertex 1]],GroupVertices[Vertex],0)),1,1,"")</f>
        <v>7</v>
      </c>
      <c r="BL726" s="76" t="str">
        <f>REPLACE(INDEX(GroupVertices[Group],MATCH(Edges[[#This Row],[Vertex 2]],GroupVertices[Vertex],0)),1,1,"")</f>
        <v>7</v>
      </c>
      <c r="BM726" s="45"/>
      <c r="BN726" s="46"/>
      <c r="BO726" s="45"/>
      <c r="BP726" s="46"/>
      <c r="BQ726" s="45"/>
      <c r="BR726" s="46"/>
      <c r="BS726" s="45"/>
      <c r="BT726" s="46"/>
      <c r="BU726" s="45"/>
    </row>
    <row r="727" spans="1:73" ht="15">
      <c r="A727" s="61" t="s">
        <v>258</v>
      </c>
      <c r="B727" s="61" t="s">
        <v>528</v>
      </c>
      <c r="C727" s="62" t="s">
        <v>11693</v>
      </c>
      <c r="D727" s="63">
        <v>4.4</v>
      </c>
      <c r="E727" s="64" t="s">
        <v>132</v>
      </c>
      <c r="F727" s="65">
        <v>27.6</v>
      </c>
      <c r="G727" s="62"/>
      <c r="H727" s="66"/>
      <c r="I727" s="67"/>
      <c r="J727" s="67"/>
      <c r="K727" s="31" t="s">
        <v>65</v>
      </c>
      <c r="L727" s="75">
        <v>727</v>
      </c>
      <c r="M727" s="75"/>
      <c r="N727" s="69"/>
      <c r="O727" s="77" t="s">
        <v>539</v>
      </c>
      <c r="P727" s="79">
        <v>45156.546006944445</v>
      </c>
      <c r="Q727" s="77" t="s">
        <v>658</v>
      </c>
      <c r="R727" s="77">
        <v>2</v>
      </c>
      <c r="S727" s="77">
        <v>3</v>
      </c>
      <c r="T727" s="77">
        <v>0</v>
      </c>
      <c r="U727" s="77">
        <v>0</v>
      </c>
      <c r="V727" s="77">
        <v>114</v>
      </c>
      <c r="W727" s="81" t="s">
        <v>725</v>
      </c>
      <c r="X727" s="77"/>
      <c r="Y727" s="77"/>
      <c r="Z727" s="77" t="s">
        <v>818</v>
      </c>
      <c r="AA727" s="77" t="s">
        <v>845</v>
      </c>
      <c r="AB727" s="77" t="s">
        <v>848</v>
      </c>
      <c r="AC727" s="81" t="s">
        <v>855</v>
      </c>
      <c r="AD727" s="77" t="s">
        <v>859</v>
      </c>
      <c r="AE727" s="83" t="str">
        <f>HYPERLINK("https://twitter.com/fisheyebox/status/1692523300751385033")</f>
        <v>https://twitter.com/fisheyebox/status/1692523300751385033</v>
      </c>
      <c r="AF727" s="79">
        <v>45156.546006944445</v>
      </c>
      <c r="AG727" s="85">
        <v>45156</v>
      </c>
      <c r="AH727" s="81" t="s">
        <v>986</v>
      </c>
      <c r="AI727" s="77" t="b">
        <v>0</v>
      </c>
      <c r="AJ727" s="77"/>
      <c r="AK727" s="77"/>
      <c r="AL727" s="77"/>
      <c r="AM727" s="77"/>
      <c r="AN727" s="77"/>
      <c r="AO727" s="77"/>
      <c r="AP727" s="77"/>
      <c r="AQ727" s="77" t="s">
        <v>1024</v>
      </c>
      <c r="AR727" s="77"/>
      <c r="AS727" s="77"/>
      <c r="AT727" s="77"/>
      <c r="AU727" s="77"/>
      <c r="AV727" s="83" t="str">
        <f>HYPERLINK("https://pbs.twimg.com/media/F30M-PIakAAT_hM.jpg")</f>
        <v>https://pbs.twimg.com/media/F30M-PIakAAT_hM.jpg</v>
      </c>
      <c r="AW727" s="81" t="s">
        <v>1141</v>
      </c>
      <c r="AX727" s="81" t="s">
        <v>1141</v>
      </c>
      <c r="AY727" s="77"/>
      <c r="AZ727" s="81" t="s">
        <v>1190</v>
      </c>
      <c r="BA727" s="81" t="s">
        <v>1190</v>
      </c>
      <c r="BB727" s="81" t="s">
        <v>1190</v>
      </c>
      <c r="BC727" s="81" t="s">
        <v>1141</v>
      </c>
      <c r="BD727" s="77">
        <v>325430154</v>
      </c>
      <c r="BE727" s="77"/>
      <c r="BF727" s="77"/>
      <c r="BG727" s="77"/>
      <c r="BH727" s="77"/>
      <c r="BI727" s="77"/>
      <c r="BJ727">
        <v>2</v>
      </c>
      <c r="BK727" s="76" t="str">
        <f>REPLACE(INDEX(GroupVertices[Group],MATCH(Edges[[#This Row],[Vertex 1]],GroupVertices[Vertex],0)),1,1,"")</f>
        <v>7</v>
      </c>
      <c r="BL727" s="76" t="str">
        <f>REPLACE(INDEX(GroupVertices[Group],MATCH(Edges[[#This Row],[Vertex 2]],GroupVertices[Vertex],0)),1,1,"")</f>
        <v>7</v>
      </c>
      <c r="BM727" s="45"/>
      <c r="BN727" s="46"/>
      <c r="BO727" s="45"/>
      <c r="BP727" s="46"/>
      <c r="BQ727" s="45"/>
      <c r="BR727" s="46"/>
      <c r="BS727" s="45"/>
      <c r="BT727" s="46"/>
      <c r="BU727" s="45"/>
    </row>
    <row r="728" spans="1:73" ht="15">
      <c r="A728" s="61" t="s">
        <v>258</v>
      </c>
      <c r="B728" s="61" t="s">
        <v>528</v>
      </c>
      <c r="C728" s="62" t="s">
        <v>11693</v>
      </c>
      <c r="D728" s="63">
        <v>4.4</v>
      </c>
      <c r="E728" s="64" t="s">
        <v>132</v>
      </c>
      <c r="F728" s="65">
        <v>27.6</v>
      </c>
      <c r="G728" s="62"/>
      <c r="H728" s="66"/>
      <c r="I728" s="67"/>
      <c r="J728" s="67"/>
      <c r="K728" s="31" t="s">
        <v>65</v>
      </c>
      <c r="L728" s="75">
        <v>728</v>
      </c>
      <c r="M728" s="75"/>
      <c r="N728" s="69"/>
      <c r="O728" s="77" t="s">
        <v>539</v>
      </c>
      <c r="P728" s="79">
        <v>45161.25696759259</v>
      </c>
      <c r="Q728" s="77" t="s">
        <v>659</v>
      </c>
      <c r="R728" s="77">
        <v>2</v>
      </c>
      <c r="S728" s="77">
        <v>3</v>
      </c>
      <c r="T728" s="77">
        <v>0</v>
      </c>
      <c r="U728" s="77">
        <v>0</v>
      </c>
      <c r="V728" s="77">
        <v>50</v>
      </c>
      <c r="W728" s="81" t="s">
        <v>726</v>
      </c>
      <c r="X728" s="83" t="str">
        <f>HYPERLINK("https://www.linkedin.com/posts/pinakilaskar_ailaw-generativeai-intellectualproperty-activity-7099956740313497600-Rrrw")</f>
        <v>https://www.linkedin.com/posts/pinakilaskar_ailaw-generativeai-intellectualproperty-activity-7099956740313497600-Rrrw</v>
      </c>
      <c r="Y728" s="77" t="s">
        <v>749</v>
      </c>
      <c r="Z728" s="77" t="s">
        <v>808</v>
      </c>
      <c r="AA728" s="77"/>
      <c r="AB728" s="77"/>
      <c r="AC728" s="81" t="s">
        <v>855</v>
      </c>
      <c r="AD728" s="77" t="s">
        <v>867</v>
      </c>
      <c r="AE728" s="83" t="str">
        <f>HYPERLINK("https://twitter.com/fisheyebox/status/1694230497713586501")</f>
        <v>https://twitter.com/fisheyebox/status/1694230497713586501</v>
      </c>
      <c r="AF728" s="79">
        <v>45161.25696759259</v>
      </c>
      <c r="AG728" s="85">
        <v>45161</v>
      </c>
      <c r="AH728" s="81" t="s">
        <v>987</v>
      </c>
      <c r="AI728" s="77" t="b">
        <v>0</v>
      </c>
      <c r="AJ728" s="77"/>
      <c r="AK728" s="77"/>
      <c r="AL728" s="77"/>
      <c r="AM728" s="77"/>
      <c r="AN728" s="77"/>
      <c r="AO728" s="77"/>
      <c r="AP728" s="77"/>
      <c r="AQ728" s="77"/>
      <c r="AR728" s="77"/>
      <c r="AS728" s="77"/>
      <c r="AT728" s="77"/>
      <c r="AU728" s="77"/>
      <c r="AV728" s="83" t="str">
        <f>HYPERLINK("https://pbs.twimg.com/profile_images/1206092231800549376/XVZ2BlIM_normal.jpg")</f>
        <v>https://pbs.twimg.com/profile_images/1206092231800549376/XVZ2BlIM_normal.jpg</v>
      </c>
      <c r="AW728" s="81" t="s">
        <v>1142</v>
      </c>
      <c r="AX728" s="81" t="s">
        <v>1142</v>
      </c>
      <c r="AY728" s="77"/>
      <c r="AZ728" s="81" t="s">
        <v>1190</v>
      </c>
      <c r="BA728" s="81" t="s">
        <v>1190</v>
      </c>
      <c r="BB728" s="81" t="s">
        <v>1190</v>
      </c>
      <c r="BC728" s="81" t="s">
        <v>1142</v>
      </c>
      <c r="BD728" s="77">
        <v>325430154</v>
      </c>
      <c r="BE728" s="77"/>
      <c r="BF728" s="77"/>
      <c r="BG728" s="77"/>
      <c r="BH728" s="77"/>
      <c r="BI728" s="77"/>
      <c r="BJ728">
        <v>2</v>
      </c>
      <c r="BK728" s="76" t="str">
        <f>REPLACE(INDEX(GroupVertices[Group],MATCH(Edges[[#This Row],[Vertex 1]],GroupVertices[Vertex],0)),1,1,"")</f>
        <v>7</v>
      </c>
      <c r="BL728" s="76" t="str">
        <f>REPLACE(INDEX(GroupVertices[Group],MATCH(Edges[[#This Row],[Vertex 2]],GroupVertices[Vertex],0)),1,1,"")</f>
        <v>7</v>
      </c>
      <c r="BM728" s="45"/>
      <c r="BN728" s="46"/>
      <c r="BO728" s="45"/>
      <c r="BP728" s="46"/>
      <c r="BQ728" s="45"/>
      <c r="BR728" s="46"/>
      <c r="BS728" s="45"/>
      <c r="BT728" s="46"/>
      <c r="BU728" s="45"/>
    </row>
    <row r="729" spans="1:73" ht="15">
      <c r="A729" s="61" t="s">
        <v>258</v>
      </c>
      <c r="B729" s="61" t="s">
        <v>529</v>
      </c>
      <c r="C729" s="62" t="s">
        <v>11693</v>
      </c>
      <c r="D729" s="63">
        <v>4.4</v>
      </c>
      <c r="E729" s="64" t="s">
        <v>132</v>
      </c>
      <c r="F729" s="65">
        <v>27.6</v>
      </c>
      <c r="G729" s="62"/>
      <c r="H729" s="66"/>
      <c r="I729" s="67"/>
      <c r="J729" s="67"/>
      <c r="K729" s="31" t="s">
        <v>65</v>
      </c>
      <c r="L729" s="75">
        <v>729</v>
      </c>
      <c r="M729" s="75"/>
      <c r="N729" s="69"/>
      <c r="O729" s="77" t="s">
        <v>539</v>
      </c>
      <c r="P729" s="79">
        <v>45156.546006944445</v>
      </c>
      <c r="Q729" s="77" t="s">
        <v>658</v>
      </c>
      <c r="R729" s="77">
        <v>2</v>
      </c>
      <c r="S729" s="77">
        <v>3</v>
      </c>
      <c r="T729" s="77">
        <v>0</v>
      </c>
      <c r="U729" s="77">
        <v>0</v>
      </c>
      <c r="V729" s="77">
        <v>114</v>
      </c>
      <c r="W729" s="81" t="s">
        <v>725</v>
      </c>
      <c r="X729" s="77"/>
      <c r="Y729" s="77"/>
      <c r="Z729" s="77" t="s">
        <v>818</v>
      </c>
      <c r="AA729" s="77" t="s">
        <v>845</v>
      </c>
      <c r="AB729" s="77" t="s">
        <v>848</v>
      </c>
      <c r="AC729" s="81" t="s">
        <v>855</v>
      </c>
      <c r="AD729" s="77" t="s">
        <v>859</v>
      </c>
      <c r="AE729" s="83" t="str">
        <f>HYPERLINK("https://twitter.com/fisheyebox/status/1692523300751385033")</f>
        <v>https://twitter.com/fisheyebox/status/1692523300751385033</v>
      </c>
      <c r="AF729" s="79">
        <v>45156.546006944445</v>
      </c>
      <c r="AG729" s="85">
        <v>45156</v>
      </c>
      <c r="AH729" s="81" t="s">
        <v>986</v>
      </c>
      <c r="AI729" s="77" t="b">
        <v>0</v>
      </c>
      <c r="AJ729" s="77"/>
      <c r="AK729" s="77"/>
      <c r="AL729" s="77"/>
      <c r="AM729" s="77"/>
      <c r="AN729" s="77"/>
      <c r="AO729" s="77"/>
      <c r="AP729" s="77"/>
      <c r="AQ729" s="77" t="s">
        <v>1024</v>
      </c>
      <c r="AR729" s="77"/>
      <c r="AS729" s="77"/>
      <c r="AT729" s="77"/>
      <c r="AU729" s="77"/>
      <c r="AV729" s="83" t="str">
        <f>HYPERLINK("https://pbs.twimg.com/media/F30M-PIakAAT_hM.jpg")</f>
        <v>https://pbs.twimg.com/media/F30M-PIakAAT_hM.jpg</v>
      </c>
      <c r="AW729" s="81" t="s">
        <v>1141</v>
      </c>
      <c r="AX729" s="81" t="s">
        <v>1141</v>
      </c>
      <c r="AY729" s="77"/>
      <c r="AZ729" s="81" t="s">
        <v>1190</v>
      </c>
      <c r="BA729" s="81" t="s">
        <v>1190</v>
      </c>
      <c r="BB729" s="81" t="s">
        <v>1190</v>
      </c>
      <c r="BC729" s="81" t="s">
        <v>1141</v>
      </c>
      <c r="BD729" s="77">
        <v>325430154</v>
      </c>
      <c r="BE729" s="77"/>
      <c r="BF729" s="77"/>
      <c r="BG729" s="77"/>
      <c r="BH729" s="77"/>
      <c r="BI729" s="77"/>
      <c r="BJ729">
        <v>2</v>
      </c>
      <c r="BK729" s="76" t="str">
        <f>REPLACE(INDEX(GroupVertices[Group],MATCH(Edges[[#This Row],[Vertex 1]],GroupVertices[Vertex],0)),1,1,"")</f>
        <v>7</v>
      </c>
      <c r="BL729" s="76" t="str">
        <f>REPLACE(INDEX(GroupVertices[Group],MATCH(Edges[[#This Row],[Vertex 2]],GroupVertices[Vertex],0)),1,1,"")</f>
        <v>7</v>
      </c>
      <c r="BM729" s="45"/>
      <c r="BN729" s="46"/>
      <c r="BO729" s="45"/>
      <c r="BP729" s="46"/>
      <c r="BQ729" s="45"/>
      <c r="BR729" s="46"/>
      <c r="BS729" s="45"/>
      <c r="BT729" s="46"/>
      <c r="BU729" s="45"/>
    </row>
    <row r="730" spans="1:73" ht="15">
      <c r="A730" s="61" t="s">
        <v>258</v>
      </c>
      <c r="B730" s="61" t="s">
        <v>529</v>
      </c>
      <c r="C730" s="62" t="s">
        <v>11693</v>
      </c>
      <c r="D730" s="63">
        <v>4.4</v>
      </c>
      <c r="E730" s="64" t="s">
        <v>132</v>
      </c>
      <c r="F730" s="65">
        <v>27.6</v>
      </c>
      <c r="G730" s="62"/>
      <c r="H730" s="66"/>
      <c r="I730" s="67"/>
      <c r="J730" s="67"/>
      <c r="K730" s="31" t="s">
        <v>65</v>
      </c>
      <c r="L730" s="75">
        <v>730</v>
      </c>
      <c r="M730" s="75"/>
      <c r="N730" s="69"/>
      <c r="O730" s="77" t="s">
        <v>539</v>
      </c>
      <c r="P730" s="79">
        <v>45161.25696759259</v>
      </c>
      <c r="Q730" s="77" t="s">
        <v>659</v>
      </c>
      <c r="R730" s="77">
        <v>2</v>
      </c>
      <c r="S730" s="77">
        <v>3</v>
      </c>
      <c r="T730" s="77">
        <v>0</v>
      </c>
      <c r="U730" s="77">
        <v>0</v>
      </c>
      <c r="V730" s="77">
        <v>50</v>
      </c>
      <c r="W730" s="81" t="s">
        <v>726</v>
      </c>
      <c r="X730" s="83" t="str">
        <f>HYPERLINK("https://www.linkedin.com/posts/pinakilaskar_ailaw-generativeai-intellectualproperty-activity-7099956740313497600-Rrrw")</f>
        <v>https://www.linkedin.com/posts/pinakilaskar_ailaw-generativeai-intellectualproperty-activity-7099956740313497600-Rrrw</v>
      </c>
      <c r="Y730" s="77" t="s">
        <v>749</v>
      </c>
      <c r="Z730" s="77" t="s">
        <v>808</v>
      </c>
      <c r="AA730" s="77"/>
      <c r="AB730" s="77"/>
      <c r="AC730" s="81" t="s">
        <v>855</v>
      </c>
      <c r="AD730" s="77" t="s">
        <v>867</v>
      </c>
      <c r="AE730" s="83" t="str">
        <f>HYPERLINK("https://twitter.com/fisheyebox/status/1694230497713586501")</f>
        <v>https://twitter.com/fisheyebox/status/1694230497713586501</v>
      </c>
      <c r="AF730" s="79">
        <v>45161.25696759259</v>
      </c>
      <c r="AG730" s="85">
        <v>45161</v>
      </c>
      <c r="AH730" s="81" t="s">
        <v>987</v>
      </c>
      <c r="AI730" s="77" t="b">
        <v>0</v>
      </c>
      <c r="AJ730" s="77"/>
      <c r="AK730" s="77"/>
      <c r="AL730" s="77"/>
      <c r="AM730" s="77"/>
      <c r="AN730" s="77"/>
      <c r="AO730" s="77"/>
      <c r="AP730" s="77"/>
      <c r="AQ730" s="77"/>
      <c r="AR730" s="77"/>
      <c r="AS730" s="77"/>
      <c r="AT730" s="77"/>
      <c r="AU730" s="77"/>
      <c r="AV730" s="83" t="str">
        <f>HYPERLINK("https://pbs.twimg.com/profile_images/1206092231800549376/XVZ2BlIM_normal.jpg")</f>
        <v>https://pbs.twimg.com/profile_images/1206092231800549376/XVZ2BlIM_normal.jpg</v>
      </c>
      <c r="AW730" s="81" t="s">
        <v>1142</v>
      </c>
      <c r="AX730" s="81" t="s">
        <v>1142</v>
      </c>
      <c r="AY730" s="77"/>
      <c r="AZ730" s="81" t="s">
        <v>1190</v>
      </c>
      <c r="BA730" s="81" t="s">
        <v>1190</v>
      </c>
      <c r="BB730" s="81" t="s">
        <v>1190</v>
      </c>
      <c r="BC730" s="81" t="s">
        <v>1142</v>
      </c>
      <c r="BD730" s="77">
        <v>325430154</v>
      </c>
      <c r="BE730" s="77"/>
      <c r="BF730" s="77"/>
      <c r="BG730" s="77"/>
      <c r="BH730" s="77"/>
      <c r="BI730" s="77"/>
      <c r="BJ730">
        <v>2</v>
      </c>
      <c r="BK730" s="76" t="str">
        <f>REPLACE(INDEX(GroupVertices[Group],MATCH(Edges[[#This Row],[Vertex 1]],GroupVertices[Vertex],0)),1,1,"")</f>
        <v>7</v>
      </c>
      <c r="BL730" s="76" t="str">
        <f>REPLACE(INDEX(GroupVertices[Group],MATCH(Edges[[#This Row],[Vertex 2]],GroupVertices[Vertex],0)),1,1,"")</f>
        <v>7</v>
      </c>
      <c r="BM730" s="45"/>
      <c r="BN730" s="46"/>
      <c r="BO730" s="45"/>
      <c r="BP730" s="46"/>
      <c r="BQ730" s="45"/>
      <c r="BR730" s="46"/>
      <c r="BS730" s="45"/>
      <c r="BT730" s="46"/>
      <c r="BU730" s="45"/>
    </row>
    <row r="731" spans="1:73" ht="15">
      <c r="A731" s="61" t="s">
        <v>258</v>
      </c>
      <c r="B731" s="61" t="s">
        <v>530</v>
      </c>
      <c r="C731" s="62" t="s">
        <v>11693</v>
      </c>
      <c r="D731" s="63">
        <v>4.4</v>
      </c>
      <c r="E731" s="64" t="s">
        <v>132</v>
      </c>
      <c r="F731" s="65">
        <v>27.6</v>
      </c>
      <c r="G731" s="62"/>
      <c r="H731" s="66"/>
      <c r="I731" s="67"/>
      <c r="J731" s="67"/>
      <c r="K731" s="31" t="s">
        <v>65</v>
      </c>
      <c r="L731" s="75">
        <v>731</v>
      </c>
      <c r="M731" s="75"/>
      <c r="N731" s="69"/>
      <c r="O731" s="77" t="s">
        <v>539</v>
      </c>
      <c r="P731" s="79">
        <v>45156.546006944445</v>
      </c>
      <c r="Q731" s="77" t="s">
        <v>658</v>
      </c>
      <c r="R731" s="77">
        <v>2</v>
      </c>
      <c r="S731" s="77">
        <v>3</v>
      </c>
      <c r="T731" s="77">
        <v>0</v>
      </c>
      <c r="U731" s="77">
        <v>0</v>
      </c>
      <c r="V731" s="77">
        <v>114</v>
      </c>
      <c r="W731" s="81" t="s">
        <v>725</v>
      </c>
      <c r="X731" s="77"/>
      <c r="Y731" s="77"/>
      <c r="Z731" s="77" t="s">
        <v>818</v>
      </c>
      <c r="AA731" s="77" t="s">
        <v>845</v>
      </c>
      <c r="AB731" s="77" t="s">
        <v>848</v>
      </c>
      <c r="AC731" s="81" t="s">
        <v>855</v>
      </c>
      <c r="AD731" s="77" t="s">
        <v>859</v>
      </c>
      <c r="AE731" s="83" t="str">
        <f>HYPERLINK("https://twitter.com/fisheyebox/status/1692523300751385033")</f>
        <v>https://twitter.com/fisheyebox/status/1692523300751385033</v>
      </c>
      <c r="AF731" s="79">
        <v>45156.546006944445</v>
      </c>
      <c r="AG731" s="85">
        <v>45156</v>
      </c>
      <c r="AH731" s="81" t="s">
        <v>986</v>
      </c>
      <c r="AI731" s="77" t="b">
        <v>0</v>
      </c>
      <c r="AJ731" s="77"/>
      <c r="AK731" s="77"/>
      <c r="AL731" s="77"/>
      <c r="AM731" s="77"/>
      <c r="AN731" s="77"/>
      <c r="AO731" s="77"/>
      <c r="AP731" s="77"/>
      <c r="AQ731" s="77" t="s">
        <v>1024</v>
      </c>
      <c r="AR731" s="77"/>
      <c r="AS731" s="77"/>
      <c r="AT731" s="77"/>
      <c r="AU731" s="77"/>
      <c r="AV731" s="83" t="str">
        <f>HYPERLINK("https://pbs.twimg.com/media/F30M-PIakAAT_hM.jpg")</f>
        <v>https://pbs.twimg.com/media/F30M-PIakAAT_hM.jpg</v>
      </c>
      <c r="AW731" s="81" t="s">
        <v>1141</v>
      </c>
      <c r="AX731" s="81" t="s">
        <v>1141</v>
      </c>
      <c r="AY731" s="77"/>
      <c r="AZ731" s="81" t="s">
        <v>1190</v>
      </c>
      <c r="BA731" s="81" t="s">
        <v>1190</v>
      </c>
      <c r="BB731" s="81" t="s">
        <v>1190</v>
      </c>
      <c r="BC731" s="81" t="s">
        <v>1141</v>
      </c>
      <c r="BD731" s="77">
        <v>325430154</v>
      </c>
      <c r="BE731" s="77"/>
      <c r="BF731" s="77"/>
      <c r="BG731" s="77"/>
      <c r="BH731" s="77"/>
      <c r="BI731" s="77"/>
      <c r="BJ731">
        <v>2</v>
      </c>
      <c r="BK731" s="76" t="str">
        <f>REPLACE(INDEX(GroupVertices[Group],MATCH(Edges[[#This Row],[Vertex 1]],GroupVertices[Vertex],0)),1,1,"")</f>
        <v>7</v>
      </c>
      <c r="BL731" s="76" t="str">
        <f>REPLACE(INDEX(GroupVertices[Group],MATCH(Edges[[#This Row],[Vertex 2]],GroupVertices[Vertex],0)),1,1,"")</f>
        <v>7</v>
      </c>
      <c r="BM731" s="45"/>
      <c r="BN731" s="46"/>
      <c r="BO731" s="45"/>
      <c r="BP731" s="46"/>
      <c r="BQ731" s="45"/>
      <c r="BR731" s="46"/>
      <c r="BS731" s="45"/>
      <c r="BT731" s="46"/>
      <c r="BU731" s="45"/>
    </row>
    <row r="732" spans="1:73" ht="15">
      <c r="A732" s="61" t="s">
        <v>258</v>
      </c>
      <c r="B732" s="61" t="s">
        <v>530</v>
      </c>
      <c r="C732" s="62" t="s">
        <v>11693</v>
      </c>
      <c r="D732" s="63">
        <v>4.4</v>
      </c>
      <c r="E732" s="64" t="s">
        <v>132</v>
      </c>
      <c r="F732" s="65">
        <v>27.6</v>
      </c>
      <c r="G732" s="62"/>
      <c r="H732" s="66"/>
      <c r="I732" s="67"/>
      <c r="J732" s="67"/>
      <c r="K732" s="31" t="s">
        <v>65</v>
      </c>
      <c r="L732" s="75">
        <v>732</v>
      </c>
      <c r="M732" s="75"/>
      <c r="N732" s="69"/>
      <c r="O732" s="77" t="s">
        <v>539</v>
      </c>
      <c r="P732" s="79">
        <v>45161.25696759259</v>
      </c>
      <c r="Q732" s="77" t="s">
        <v>659</v>
      </c>
      <c r="R732" s="77">
        <v>2</v>
      </c>
      <c r="S732" s="77">
        <v>3</v>
      </c>
      <c r="T732" s="77">
        <v>0</v>
      </c>
      <c r="U732" s="77">
        <v>0</v>
      </c>
      <c r="V732" s="77">
        <v>50</v>
      </c>
      <c r="W732" s="81" t="s">
        <v>726</v>
      </c>
      <c r="X732" s="83" t="str">
        <f>HYPERLINK("https://www.linkedin.com/posts/pinakilaskar_ailaw-generativeai-intellectualproperty-activity-7099956740313497600-Rrrw")</f>
        <v>https://www.linkedin.com/posts/pinakilaskar_ailaw-generativeai-intellectualproperty-activity-7099956740313497600-Rrrw</v>
      </c>
      <c r="Y732" s="77" t="s">
        <v>749</v>
      </c>
      <c r="Z732" s="77" t="s">
        <v>808</v>
      </c>
      <c r="AA732" s="77"/>
      <c r="AB732" s="77"/>
      <c r="AC732" s="81" t="s">
        <v>855</v>
      </c>
      <c r="AD732" s="77" t="s">
        <v>867</v>
      </c>
      <c r="AE732" s="83" t="str">
        <f>HYPERLINK("https://twitter.com/fisheyebox/status/1694230497713586501")</f>
        <v>https://twitter.com/fisheyebox/status/1694230497713586501</v>
      </c>
      <c r="AF732" s="79">
        <v>45161.25696759259</v>
      </c>
      <c r="AG732" s="85">
        <v>45161</v>
      </c>
      <c r="AH732" s="81" t="s">
        <v>987</v>
      </c>
      <c r="AI732" s="77" t="b">
        <v>0</v>
      </c>
      <c r="AJ732" s="77"/>
      <c r="AK732" s="77"/>
      <c r="AL732" s="77"/>
      <c r="AM732" s="77"/>
      <c r="AN732" s="77"/>
      <c r="AO732" s="77"/>
      <c r="AP732" s="77"/>
      <c r="AQ732" s="77"/>
      <c r="AR732" s="77"/>
      <c r="AS732" s="77"/>
      <c r="AT732" s="77"/>
      <c r="AU732" s="77"/>
      <c r="AV732" s="83" t="str">
        <f>HYPERLINK("https://pbs.twimg.com/profile_images/1206092231800549376/XVZ2BlIM_normal.jpg")</f>
        <v>https://pbs.twimg.com/profile_images/1206092231800549376/XVZ2BlIM_normal.jpg</v>
      </c>
      <c r="AW732" s="81" t="s">
        <v>1142</v>
      </c>
      <c r="AX732" s="81" t="s">
        <v>1142</v>
      </c>
      <c r="AY732" s="77"/>
      <c r="AZ732" s="81" t="s">
        <v>1190</v>
      </c>
      <c r="BA732" s="81" t="s">
        <v>1190</v>
      </c>
      <c r="BB732" s="81" t="s">
        <v>1190</v>
      </c>
      <c r="BC732" s="81" t="s">
        <v>1142</v>
      </c>
      <c r="BD732" s="77">
        <v>325430154</v>
      </c>
      <c r="BE732" s="77"/>
      <c r="BF732" s="77"/>
      <c r="BG732" s="77"/>
      <c r="BH732" s="77"/>
      <c r="BI732" s="77"/>
      <c r="BJ732">
        <v>2</v>
      </c>
      <c r="BK732" s="76" t="str">
        <f>REPLACE(INDEX(GroupVertices[Group],MATCH(Edges[[#This Row],[Vertex 1]],GroupVertices[Vertex],0)),1,1,"")</f>
        <v>7</v>
      </c>
      <c r="BL732" s="76" t="str">
        <f>REPLACE(INDEX(GroupVertices[Group],MATCH(Edges[[#This Row],[Vertex 2]],GroupVertices[Vertex],0)),1,1,"")</f>
        <v>7</v>
      </c>
      <c r="BM732" s="45"/>
      <c r="BN732" s="46"/>
      <c r="BO732" s="45"/>
      <c r="BP732" s="46"/>
      <c r="BQ732" s="45"/>
      <c r="BR732" s="46"/>
      <c r="BS732" s="45"/>
      <c r="BT732" s="46"/>
      <c r="BU732" s="45"/>
    </row>
    <row r="733" spans="1:73" ht="15">
      <c r="A733" s="61" t="s">
        <v>258</v>
      </c>
      <c r="B733" s="61" t="s">
        <v>531</v>
      </c>
      <c r="C733" s="62" t="s">
        <v>11693</v>
      </c>
      <c r="D733" s="63">
        <v>4.4</v>
      </c>
      <c r="E733" s="64" t="s">
        <v>132</v>
      </c>
      <c r="F733" s="65">
        <v>27.6</v>
      </c>
      <c r="G733" s="62"/>
      <c r="H733" s="66"/>
      <c r="I733" s="67"/>
      <c r="J733" s="67"/>
      <c r="K733" s="31" t="s">
        <v>65</v>
      </c>
      <c r="L733" s="75">
        <v>733</v>
      </c>
      <c r="M733" s="75"/>
      <c r="N733" s="69"/>
      <c r="O733" s="77" t="s">
        <v>539</v>
      </c>
      <c r="P733" s="79">
        <v>45156.546006944445</v>
      </c>
      <c r="Q733" s="77" t="s">
        <v>658</v>
      </c>
      <c r="R733" s="77">
        <v>2</v>
      </c>
      <c r="S733" s="77">
        <v>3</v>
      </c>
      <c r="T733" s="77">
        <v>0</v>
      </c>
      <c r="U733" s="77">
        <v>0</v>
      </c>
      <c r="V733" s="77">
        <v>114</v>
      </c>
      <c r="W733" s="81" t="s">
        <v>725</v>
      </c>
      <c r="X733" s="77"/>
      <c r="Y733" s="77"/>
      <c r="Z733" s="77" t="s">
        <v>818</v>
      </c>
      <c r="AA733" s="77" t="s">
        <v>845</v>
      </c>
      <c r="AB733" s="77" t="s">
        <v>848</v>
      </c>
      <c r="AC733" s="81" t="s">
        <v>855</v>
      </c>
      <c r="AD733" s="77" t="s">
        <v>859</v>
      </c>
      <c r="AE733" s="83" t="str">
        <f>HYPERLINK("https://twitter.com/fisheyebox/status/1692523300751385033")</f>
        <v>https://twitter.com/fisheyebox/status/1692523300751385033</v>
      </c>
      <c r="AF733" s="79">
        <v>45156.546006944445</v>
      </c>
      <c r="AG733" s="85">
        <v>45156</v>
      </c>
      <c r="AH733" s="81" t="s">
        <v>986</v>
      </c>
      <c r="AI733" s="77" t="b">
        <v>0</v>
      </c>
      <c r="AJ733" s="77"/>
      <c r="AK733" s="77"/>
      <c r="AL733" s="77"/>
      <c r="AM733" s="77"/>
      <c r="AN733" s="77"/>
      <c r="AO733" s="77"/>
      <c r="AP733" s="77"/>
      <c r="AQ733" s="77" t="s">
        <v>1024</v>
      </c>
      <c r="AR733" s="77"/>
      <c r="AS733" s="77"/>
      <c r="AT733" s="77"/>
      <c r="AU733" s="77"/>
      <c r="AV733" s="83" t="str">
        <f>HYPERLINK("https://pbs.twimg.com/media/F30M-PIakAAT_hM.jpg")</f>
        <v>https://pbs.twimg.com/media/F30M-PIakAAT_hM.jpg</v>
      </c>
      <c r="AW733" s="81" t="s">
        <v>1141</v>
      </c>
      <c r="AX733" s="81" t="s">
        <v>1141</v>
      </c>
      <c r="AY733" s="77"/>
      <c r="AZ733" s="81" t="s">
        <v>1190</v>
      </c>
      <c r="BA733" s="81" t="s">
        <v>1190</v>
      </c>
      <c r="BB733" s="81" t="s">
        <v>1190</v>
      </c>
      <c r="BC733" s="81" t="s">
        <v>1141</v>
      </c>
      <c r="BD733" s="77">
        <v>325430154</v>
      </c>
      <c r="BE733" s="77"/>
      <c r="BF733" s="77"/>
      <c r="BG733" s="77"/>
      <c r="BH733" s="77"/>
      <c r="BI733" s="77"/>
      <c r="BJ733">
        <v>2</v>
      </c>
      <c r="BK733" s="76" t="str">
        <f>REPLACE(INDEX(GroupVertices[Group],MATCH(Edges[[#This Row],[Vertex 1]],GroupVertices[Vertex],0)),1,1,"")</f>
        <v>7</v>
      </c>
      <c r="BL733" s="76" t="str">
        <f>REPLACE(INDEX(GroupVertices[Group],MATCH(Edges[[#This Row],[Vertex 2]],GroupVertices[Vertex],0)),1,1,"")</f>
        <v>7</v>
      </c>
      <c r="BM733" s="45"/>
      <c r="BN733" s="46"/>
      <c r="BO733" s="45"/>
      <c r="BP733" s="46"/>
      <c r="BQ733" s="45"/>
      <c r="BR733" s="46"/>
      <c r="BS733" s="45"/>
      <c r="BT733" s="46"/>
      <c r="BU733" s="45"/>
    </row>
    <row r="734" spans="1:73" ht="15">
      <c r="A734" s="61" t="s">
        <v>258</v>
      </c>
      <c r="B734" s="61" t="s">
        <v>531</v>
      </c>
      <c r="C734" s="62" t="s">
        <v>11693</v>
      </c>
      <c r="D734" s="63">
        <v>4.4</v>
      </c>
      <c r="E734" s="64" t="s">
        <v>132</v>
      </c>
      <c r="F734" s="65">
        <v>27.6</v>
      </c>
      <c r="G734" s="62"/>
      <c r="H734" s="66"/>
      <c r="I734" s="67"/>
      <c r="J734" s="67"/>
      <c r="K734" s="31" t="s">
        <v>65</v>
      </c>
      <c r="L734" s="75">
        <v>734</v>
      </c>
      <c r="M734" s="75"/>
      <c r="N734" s="69"/>
      <c r="O734" s="77" t="s">
        <v>539</v>
      </c>
      <c r="P734" s="79">
        <v>45161.25696759259</v>
      </c>
      <c r="Q734" s="77" t="s">
        <v>659</v>
      </c>
      <c r="R734" s="77">
        <v>2</v>
      </c>
      <c r="S734" s="77">
        <v>3</v>
      </c>
      <c r="T734" s="77">
        <v>0</v>
      </c>
      <c r="U734" s="77">
        <v>0</v>
      </c>
      <c r="V734" s="77">
        <v>50</v>
      </c>
      <c r="W734" s="81" t="s">
        <v>726</v>
      </c>
      <c r="X734" s="83" t="str">
        <f>HYPERLINK("https://www.linkedin.com/posts/pinakilaskar_ailaw-generativeai-intellectualproperty-activity-7099956740313497600-Rrrw")</f>
        <v>https://www.linkedin.com/posts/pinakilaskar_ailaw-generativeai-intellectualproperty-activity-7099956740313497600-Rrrw</v>
      </c>
      <c r="Y734" s="77" t="s">
        <v>749</v>
      </c>
      <c r="Z734" s="77" t="s">
        <v>808</v>
      </c>
      <c r="AA734" s="77"/>
      <c r="AB734" s="77"/>
      <c r="AC734" s="81" t="s">
        <v>855</v>
      </c>
      <c r="AD734" s="77" t="s">
        <v>867</v>
      </c>
      <c r="AE734" s="83" t="str">
        <f>HYPERLINK("https://twitter.com/fisheyebox/status/1694230497713586501")</f>
        <v>https://twitter.com/fisheyebox/status/1694230497713586501</v>
      </c>
      <c r="AF734" s="79">
        <v>45161.25696759259</v>
      </c>
      <c r="AG734" s="85">
        <v>45161</v>
      </c>
      <c r="AH734" s="81" t="s">
        <v>987</v>
      </c>
      <c r="AI734" s="77" t="b">
        <v>0</v>
      </c>
      <c r="AJ734" s="77"/>
      <c r="AK734" s="77"/>
      <c r="AL734" s="77"/>
      <c r="AM734" s="77"/>
      <c r="AN734" s="77"/>
      <c r="AO734" s="77"/>
      <c r="AP734" s="77"/>
      <c r="AQ734" s="77"/>
      <c r="AR734" s="77"/>
      <c r="AS734" s="77"/>
      <c r="AT734" s="77"/>
      <c r="AU734" s="77"/>
      <c r="AV734" s="83" t="str">
        <f>HYPERLINK("https://pbs.twimg.com/profile_images/1206092231800549376/XVZ2BlIM_normal.jpg")</f>
        <v>https://pbs.twimg.com/profile_images/1206092231800549376/XVZ2BlIM_normal.jpg</v>
      </c>
      <c r="AW734" s="81" t="s">
        <v>1142</v>
      </c>
      <c r="AX734" s="81" t="s">
        <v>1142</v>
      </c>
      <c r="AY734" s="77"/>
      <c r="AZ734" s="81" t="s">
        <v>1190</v>
      </c>
      <c r="BA734" s="81" t="s">
        <v>1190</v>
      </c>
      <c r="BB734" s="81" t="s">
        <v>1190</v>
      </c>
      <c r="BC734" s="81" t="s">
        <v>1142</v>
      </c>
      <c r="BD734" s="77">
        <v>325430154</v>
      </c>
      <c r="BE734" s="77"/>
      <c r="BF734" s="77"/>
      <c r="BG734" s="77"/>
      <c r="BH734" s="77"/>
      <c r="BI734" s="77"/>
      <c r="BJ734">
        <v>2</v>
      </c>
      <c r="BK734" s="76" t="str">
        <f>REPLACE(INDEX(GroupVertices[Group],MATCH(Edges[[#This Row],[Vertex 1]],GroupVertices[Vertex],0)),1,1,"")</f>
        <v>7</v>
      </c>
      <c r="BL734" s="76" t="str">
        <f>REPLACE(INDEX(GroupVertices[Group],MATCH(Edges[[#This Row],[Vertex 2]],GroupVertices[Vertex],0)),1,1,"")</f>
        <v>7</v>
      </c>
      <c r="BM734" s="45"/>
      <c r="BN734" s="46"/>
      <c r="BO734" s="45"/>
      <c r="BP734" s="46"/>
      <c r="BQ734" s="45"/>
      <c r="BR734" s="46"/>
      <c r="BS734" s="45"/>
      <c r="BT734" s="46"/>
      <c r="BU734" s="45"/>
    </row>
    <row r="735" spans="1:73" ht="15">
      <c r="A735" s="61" t="s">
        <v>258</v>
      </c>
      <c r="B735" s="61" t="s">
        <v>532</v>
      </c>
      <c r="C735" s="62" t="s">
        <v>11693</v>
      </c>
      <c r="D735" s="63">
        <v>4.4</v>
      </c>
      <c r="E735" s="64" t="s">
        <v>132</v>
      </c>
      <c r="F735" s="65">
        <v>27.6</v>
      </c>
      <c r="G735" s="62"/>
      <c r="H735" s="66"/>
      <c r="I735" s="67"/>
      <c r="J735" s="67"/>
      <c r="K735" s="31" t="s">
        <v>65</v>
      </c>
      <c r="L735" s="75">
        <v>735</v>
      </c>
      <c r="M735" s="75"/>
      <c r="N735" s="69"/>
      <c r="O735" s="77" t="s">
        <v>539</v>
      </c>
      <c r="P735" s="79">
        <v>45156.546006944445</v>
      </c>
      <c r="Q735" s="77" t="s">
        <v>658</v>
      </c>
      <c r="R735" s="77">
        <v>2</v>
      </c>
      <c r="S735" s="77">
        <v>3</v>
      </c>
      <c r="T735" s="77">
        <v>0</v>
      </c>
      <c r="U735" s="77">
        <v>0</v>
      </c>
      <c r="V735" s="77">
        <v>114</v>
      </c>
      <c r="W735" s="81" t="s">
        <v>725</v>
      </c>
      <c r="X735" s="77"/>
      <c r="Y735" s="77"/>
      <c r="Z735" s="77" t="s">
        <v>818</v>
      </c>
      <c r="AA735" s="77" t="s">
        <v>845</v>
      </c>
      <c r="AB735" s="77" t="s">
        <v>848</v>
      </c>
      <c r="AC735" s="81" t="s">
        <v>855</v>
      </c>
      <c r="AD735" s="77" t="s">
        <v>859</v>
      </c>
      <c r="AE735" s="83" t="str">
        <f>HYPERLINK("https://twitter.com/fisheyebox/status/1692523300751385033")</f>
        <v>https://twitter.com/fisheyebox/status/1692523300751385033</v>
      </c>
      <c r="AF735" s="79">
        <v>45156.546006944445</v>
      </c>
      <c r="AG735" s="85">
        <v>45156</v>
      </c>
      <c r="AH735" s="81" t="s">
        <v>986</v>
      </c>
      <c r="AI735" s="77" t="b">
        <v>0</v>
      </c>
      <c r="AJ735" s="77"/>
      <c r="AK735" s="77"/>
      <c r="AL735" s="77"/>
      <c r="AM735" s="77"/>
      <c r="AN735" s="77"/>
      <c r="AO735" s="77"/>
      <c r="AP735" s="77"/>
      <c r="AQ735" s="77" t="s">
        <v>1024</v>
      </c>
      <c r="AR735" s="77"/>
      <c r="AS735" s="77"/>
      <c r="AT735" s="77"/>
      <c r="AU735" s="77"/>
      <c r="AV735" s="83" t="str">
        <f>HYPERLINK("https://pbs.twimg.com/media/F30M-PIakAAT_hM.jpg")</f>
        <v>https://pbs.twimg.com/media/F30M-PIakAAT_hM.jpg</v>
      </c>
      <c r="AW735" s="81" t="s">
        <v>1141</v>
      </c>
      <c r="AX735" s="81" t="s">
        <v>1141</v>
      </c>
      <c r="AY735" s="77"/>
      <c r="AZ735" s="81" t="s">
        <v>1190</v>
      </c>
      <c r="BA735" s="81" t="s">
        <v>1190</v>
      </c>
      <c r="BB735" s="81" t="s">
        <v>1190</v>
      </c>
      <c r="BC735" s="81" t="s">
        <v>1141</v>
      </c>
      <c r="BD735" s="77">
        <v>325430154</v>
      </c>
      <c r="BE735" s="77"/>
      <c r="BF735" s="77"/>
      <c r="BG735" s="77"/>
      <c r="BH735" s="77"/>
      <c r="BI735" s="77"/>
      <c r="BJ735">
        <v>2</v>
      </c>
      <c r="BK735" s="76" t="str">
        <f>REPLACE(INDEX(GroupVertices[Group],MATCH(Edges[[#This Row],[Vertex 1]],GroupVertices[Vertex],0)),1,1,"")</f>
        <v>7</v>
      </c>
      <c r="BL735" s="76" t="str">
        <f>REPLACE(INDEX(GroupVertices[Group],MATCH(Edges[[#This Row],[Vertex 2]],GroupVertices[Vertex],0)),1,1,"")</f>
        <v>7</v>
      </c>
      <c r="BM735" s="45"/>
      <c r="BN735" s="46"/>
      <c r="BO735" s="45"/>
      <c r="BP735" s="46"/>
      <c r="BQ735" s="45"/>
      <c r="BR735" s="46"/>
      <c r="BS735" s="45"/>
      <c r="BT735" s="46"/>
      <c r="BU735" s="45"/>
    </row>
    <row r="736" spans="1:73" ht="15">
      <c r="A736" s="61" t="s">
        <v>258</v>
      </c>
      <c r="B736" s="61" t="s">
        <v>532</v>
      </c>
      <c r="C736" s="62" t="s">
        <v>11693</v>
      </c>
      <c r="D736" s="63">
        <v>4.4</v>
      </c>
      <c r="E736" s="64" t="s">
        <v>132</v>
      </c>
      <c r="F736" s="65">
        <v>27.6</v>
      </c>
      <c r="G736" s="62"/>
      <c r="H736" s="66"/>
      <c r="I736" s="67"/>
      <c r="J736" s="67"/>
      <c r="K736" s="31" t="s">
        <v>65</v>
      </c>
      <c r="L736" s="75">
        <v>736</v>
      </c>
      <c r="M736" s="75"/>
      <c r="N736" s="69"/>
      <c r="O736" s="77" t="s">
        <v>539</v>
      </c>
      <c r="P736" s="79">
        <v>45161.25696759259</v>
      </c>
      <c r="Q736" s="77" t="s">
        <v>659</v>
      </c>
      <c r="R736" s="77">
        <v>2</v>
      </c>
      <c r="S736" s="77">
        <v>3</v>
      </c>
      <c r="T736" s="77">
        <v>0</v>
      </c>
      <c r="U736" s="77">
        <v>0</v>
      </c>
      <c r="V736" s="77">
        <v>50</v>
      </c>
      <c r="W736" s="81" t="s">
        <v>726</v>
      </c>
      <c r="X736" s="83" t="str">
        <f>HYPERLINK("https://www.linkedin.com/posts/pinakilaskar_ailaw-generativeai-intellectualproperty-activity-7099956740313497600-Rrrw")</f>
        <v>https://www.linkedin.com/posts/pinakilaskar_ailaw-generativeai-intellectualproperty-activity-7099956740313497600-Rrrw</v>
      </c>
      <c r="Y736" s="77" t="s">
        <v>749</v>
      </c>
      <c r="Z736" s="77" t="s">
        <v>808</v>
      </c>
      <c r="AA736" s="77"/>
      <c r="AB736" s="77"/>
      <c r="AC736" s="81" t="s">
        <v>855</v>
      </c>
      <c r="AD736" s="77" t="s">
        <v>867</v>
      </c>
      <c r="AE736" s="83" t="str">
        <f>HYPERLINK("https://twitter.com/fisheyebox/status/1694230497713586501")</f>
        <v>https://twitter.com/fisheyebox/status/1694230497713586501</v>
      </c>
      <c r="AF736" s="79">
        <v>45161.25696759259</v>
      </c>
      <c r="AG736" s="85">
        <v>45161</v>
      </c>
      <c r="AH736" s="81" t="s">
        <v>987</v>
      </c>
      <c r="AI736" s="77" t="b">
        <v>0</v>
      </c>
      <c r="AJ736" s="77"/>
      <c r="AK736" s="77"/>
      <c r="AL736" s="77"/>
      <c r="AM736" s="77"/>
      <c r="AN736" s="77"/>
      <c r="AO736" s="77"/>
      <c r="AP736" s="77"/>
      <c r="AQ736" s="77"/>
      <c r="AR736" s="77"/>
      <c r="AS736" s="77"/>
      <c r="AT736" s="77"/>
      <c r="AU736" s="77"/>
      <c r="AV736" s="83" t="str">
        <f>HYPERLINK("https://pbs.twimg.com/profile_images/1206092231800549376/XVZ2BlIM_normal.jpg")</f>
        <v>https://pbs.twimg.com/profile_images/1206092231800549376/XVZ2BlIM_normal.jpg</v>
      </c>
      <c r="AW736" s="81" t="s">
        <v>1142</v>
      </c>
      <c r="AX736" s="81" t="s">
        <v>1142</v>
      </c>
      <c r="AY736" s="77"/>
      <c r="AZ736" s="81" t="s">
        <v>1190</v>
      </c>
      <c r="BA736" s="81" t="s">
        <v>1190</v>
      </c>
      <c r="BB736" s="81" t="s">
        <v>1190</v>
      </c>
      <c r="BC736" s="81" t="s">
        <v>1142</v>
      </c>
      <c r="BD736" s="77">
        <v>325430154</v>
      </c>
      <c r="BE736" s="77"/>
      <c r="BF736" s="77"/>
      <c r="BG736" s="77"/>
      <c r="BH736" s="77"/>
      <c r="BI736" s="77"/>
      <c r="BJ736">
        <v>2</v>
      </c>
      <c r="BK736" s="76" t="str">
        <f>REPLACE(INDEX(GroupVertices[Group],MATCH(Edges[[#This Row],[Vertex 1]],GroupVertices[Vertex],0)),1,1,"")</f>
        <v>7</v>
      </c>
      <c r="BL736" s="76" t="str">
        <f>REPLACE(INDEX(GroupVertices[Group],MATCH(Edges[[#This Row],[Vertex 2]],GroupVertices[Vertex],0)),1,1,"")</f>
        <v>7</v>
      </c>
      <c r="BM736" s="45"/>
      <c r="BN736" s="46"/>
      <c r="BO736" s="45"/>
      <c r="BP736" s="46"/>
      <c r="BQ736" s="45"/>
      <c r="BR736" s="46"/>
      <c r="BS736" s="45"/>
      <c r="BT736" s="46"/>
      <c r="BU736" s="45"/>
    </row>
    <row r="737" spans="1:73" ht="15">
      <c r="A737" s="61" t="s">
        <v>258</v>
      </c>
      <c r="B737" s="61" t="s">
        <v>533</v>
      </c>
      <c r="C737" s="62" t="s">
        <v>11693</v>
      </c>
      <c r="D737" s="63">
        <v>4.4</v>
      </c>
      <c r="E737" s="64" t="s">
        <v>132</v>
      </c>
      <c r="F737" s="65">
        <v>27.6</v>
      </c>
      <c r="G737" s="62"/>
      <c r="H737" s="66"/>
      <c r="I737" s="67"/>
      <c r="J737" s="67"/>
      <c r="K737" s="31" t="s">
        <v>65</v>
      </c>
      <c r="L737" s="75">
        <v>737</v>
      </c>
      <c r="M737" s="75"/>
      <c r="N737" s="69"/>
      <c r="O737" s="77" t="s">
        <v>539</v>
      </c>
      <c r="P737" s="79">
        <v>45156.546006944445</v>
      </c>
      <c r="Q737" s="77" t="s">
        <v>658</v>
      </c>
      <c r="R737" s="77">
        <v>2</v>
      </c>
      <c r="S737" s="77">
        <v>3</v>
      </c>
      <c r="T737" s="77">
        <v>0</v>
      </c>
      <c r="U737" s="77">
        <v>0</v>
      </c>
      <c r="V737" s="77">
        <v>114</v>
      </c>
      <c r="W737" s="81" t="s">
        <v>725</v>
      </c>
      <c r="X737" s="77"/>
      <c r="Y737" s="77"/>
      <c r="Z737" s="77" t="s">
        <v>818</v>
      </c>
      <c r="AA737" s="77" t="s">
        <v>845</v>
      </c>
      <c r="AB737" s="77" t="s">
        <v>848</v>
      </c>
      <c r="AC737" s="81" t="s">
        <v>855</v>
      </c>
      <c r="AD737" s="77" t="s">
        <v>859</v>
      </c>
      <c r="AE737" s="83" t="str">
        <f>HYPERLINK("https://twitter.com/fisheyebox/status/1692523300751385033")</f>
        <v>https://twitter.com/fisheyebox/status/1692523300751385033</v>
      </c>
      <c r="AF737" s="79">
        <v>45156.546006944445</v>
      </c>
      <c r="AG737" s="85">
        <v>45156</v>
      </c>
      <c r="AH737" s="81" t="s">
        <v>986</v>
      </c>
      <c r="AI737" s="77" t="b">
        <v>0</v>
      </c>
      <c r="AJ737" s="77"/>
      <c r="AK737" s="77"/>
      <c r="AL737" s="77"/>
      <c r="AM737" s="77"/>
      <c r="AN737" s="77"/>
      <c r="AO737" s="77"/>
      <c r="AP737" s="77"/>
      <c r="AQ737" s="77" t="s">
        <v>1024</v>
      </c>
      <c r="AR737" s="77"/>
      <c r="AS737" s="77"/>
      <c r="AT737" s="77"/>
      <c r="AU737" s="77"/>
      <c r="AV737" s="83" t="str">
        <f>HYPERLINK("https://pbs.twimg.com/media/F30M-PIakAAT_hM.jpg")</f>
        <v>https://pbs.twimg.com/media/F30M-PIakAAT_hM.jpg</v>
      </c>
      <c r="AW737" s="81" t="s">
        <v>1141</v>
      </c>
      <c r="AX737" s="81" t="s">
        <v>1141</v>
      </c>
      <c r="AY737" s="77"/>
      <c r="AZ737" s="81" t="s">
        <v>1190</v>
      </c>
      <c r="BA737" s="81" t="s">
        <v>1190</v>
      </c>
      <c r="BB737" s="81" t="s">
        <v>1190</v>
      </c>
      <c r="BC737" s="81" t="s">
        <v>1141</v>
      </c>
      <c r="BD737" s="77">
        <v>325430154</v>
      </c>
      <c r="BE737" s="77"/>
      <c r="BF737" s="77"/>
      <c r="BG737" s="77"/>
      <c r="BH737" s="77"/>
      <c r="BI737" s="77"/>
      <c r="BJ737">
        <v>2</v>
      </c>
      <c r="BK737" s="76" t="str">
        <f>REPLACE(INDEX(GroupVertices[Group],MATCH(Edges[[#This Row],[Vertex 1]],GroupVertices[Vertex],0)),1,1,"")</f>
        <v>7</v>
      </c>
      <c r="BL737" s="76" t="str">
        <f>REPLACE(INDEX(GroupVertices[Group],MATCH(Edges[[#This Row],[Vertex 2]],GroupVertices[Vertex],0)),1,1,"")</f>
        <v>7</v>
      </c>
      <c r="BM737" s="45"/>
      <c r="BN737" s="46"/>
      <c r="BO737" s="45"/>
      <c r="BP737" s="46"/>
      <c r="BQ737" s="45"/>
      <c r="BR737" s="46"/>
      <c r="BS737" s="45"/>
      <c r="BT737" s="46"/>
      <c r="BU737" s="45"/>
    </row>
    <row r="738" spans="1:73" ht="15">
      <c r="A738" s="61" t="s">
        <v>258</v>
      </c>
      <c r="B738" s="61" t="s">
        <v>533</v>
      </c>
      <c r="C738" s="62" t="s">
        <v>11693</v>
      </c>
      <c r="D738" s="63">
        <v>4.4</v>
      </c>
      <c r="E738" s="64" t="s">
        <v>132</v>
      </c>
      <c r="F738" s="65">
        <v>27.6</v>
      </c>
      <c r="G738" s="62"/>
      <c r="H738" s="66"/>
      <c r="I738" s="67"/>
      <c r="J738" s="67"/>
      <c r="K738" s="31" t="s">
        <v>65</v>
      </c>
      <c r="L738" s="75">
        <v>738</v>
      </c>
      <c r="M738" s="75"/>
      <c r="N738" s="69"/>
      <c r="O738" s="77" t="s">
        <v>539</v>
      </c>
      <c r="P738" s="79">
        <v>45161.25696759259</v>
      </c>
      <c r="Q738" s="77" t="s">
        <v>659</v>
      </c>
      <c r="R738" s="77">
        <v>2</v>
      </c>
      <c r="S738" s="77">
        <v>3</v>
      </c>
      <c r="T738" s="77">
        <v>0</v>
      </c>
      <c r="U738" s="77">
        <v>0</v>
      </c>
      <c r="V738" s="77">
        <v>50</v>
      </c>
      <c r="W738" s="81" t="s">
        <v>726</v>
      </c>
      <c r="X738" s="83" t="str">
        <f>HYPERLINK("https://www.linkedin.com/posts/pinakilaskar_ailaw-generativeai-intellectualproperty-activity-7099956740313497600-Rrrw")</f>
        <v>https://www.linkedin.com/posts/pinakilaskar_ailaw-generativeai-intellectualproperty-activity-7099956740313497600-Rrrw</v>
      </c>
      <c r="Y738" s="77" t="s">
        <v>749</v>
      </c>
      <c r="Z738" s="77" t="s">
        <v>808</v>
      </c>
      <c r="AA738" s="77"/>
      <c r="AB738" s="77"/>
      <c r="AC738" s="81" t="s">
        <v>855</v>
      </c>
      <c r="AD738" s="77" t="s">
        <v>867</v>
      </c>
      <c r="AE738" s="83" t="str">
        <f>HYPERLINK("https://twitter.com/fisheyebox/status/1694230497713586501")</f>
        <v>https://twitter.com/fisheyebox/status/1694230497713586501</v>
      </c>
      <c r="AF738" s="79">
        <v>45161.25696759259</v>
      </c>
      <c r="AG738" s="85">
        <v>45161</v>
      </c>
      <c r="AH738" s="81" t="s">
        <v>987</v>
      </c>
      <c r="AI738" s="77" t="b">
        <v>0</v>
      </c>
      <c r="AJ738" s="77"/>
      <c r="AK738" s="77"/>
      <c r="AL738" s="77"/>
      <c r="AM738" s="77"/>
      <c r="AN738" s="77"/>
      <c r="AO738" s="77"/>
      <c r="AP738" s="77"/>
      <c r="AQ738" s="77"/>
      <c r="AR738" s="77"/>
      <c r="AS738" s="77"/>
      <c r="AT738" s="77"/>
      <c r="AU738" s="77"/>
      <c r="AV738" s="83" t="str">
        <f>HYPERLINK("https://pbs.twimg.com/profile_images/1206092231800549376/XVZ2BlIM_normal.jpg")</f>
        <v>https://pbs.twimg.com/profile_images/1206092231800549376/XVZ2BlIM_normal.jpg</v>
      </c>
      <c r="AW738" s="81" t="s">
        <v>1142</v>
      </c>
      <c r="AX738" s="81" t="s">
        <v>1142</v>
      </c>
      <c r="AY738" s="77"/>
      <c r="AZ738" s="81" t="s">
        <v>1190</v>
      </c>
      <c r="BA738" s="81" t="s">
        <v>1190</v>
      </c>
      <c r="BB738" s="81" t="s">
        <v>1190</v>
      </c>
      <c r="BC738" s="81" t="s">
        <v>1142</v>
      </c>
      <c r="BD738" s="77">
        <v>325430154</v>
      </c>
      <c r="BE738" s="77"/>
      <c r="BF738" s="77"/>
      <c r="BG738" s="77"/>
      <c r="BH738" s="77"/>
      <c r="BI738" s="77"/>
      <c r="BJ738">
        <v>2</v>
      </c>
      <c r="BK738" s="76" t="str">
        <f>REPLACE(INDEX(GroupVertices[Group],MATCH(Edges[[#This Row],[Vertex 1]],GroupVertices[Vertex],0)),1,1,"")</f>
        <v>7</v>
      </c>
      <c r="BL738" s="76" t="str">
        <f>REPLACE(INDEX(GroupVertices[Group],MATCH(Edges[[#This Row],[Vertex 2]],GroupVertices[Vertex],0)),1,1,"")</f>
        <v>7</v>
      </c>
      <c r="BM738" s="45"/>
      <c r="BN738" s="46"/>
      <c r="BO738" s="45"/>
      <c r="BP738" s="46"/>
      <c r="BQ738" s="45"/>
      <c r="BR738" s="46"/>
      <c r="BS738" s="45"/>
      <c r="BT738" s="46"/>
      <c r="BU738" s="45"/>
    </row>
    <row r="739" spans="1:73" ht="15">
      <c r="A739" s="61" t="s">
        <v>258</v>
      </c>
      <c r="B739" s="61" t="s">
        <v>534</v>
      </c>
      <c r="C739" s="62" t="s">
        <v>11692</v>
      </c>
      <c r="D739" s="63">
        <v>3</v>
      </c>
      <c r="E739" s="64" t="s">
        <v>132</v>
      </c>
      <c r="F739" s="65">
        <v>32</v>
      </c>
      <c r="G739" s="62"/>
      <c r="H739" s="66"/>
      <c r="I739" s="67"/>
      <c r="J739" s="67"/>
      <c r="K739" s="31" t="s">
        <v>65</v>
      </c>
      <c r="L739" s="75">
        <v>739</v>
      </c>
      <c r="M739" s="75"/>
      <c r="N739" s="69"/>
      <c r="O739" s="77" t="s">
        <v>539</v>
      </c>
      <c r="P739" s="79">
        <v>45161.25696759259</v>
      </c>
      <c r="Q739" s="77" t="s">
        <v>659</v>
      </c>
      <c r="R739" s="77">
        <v>2</v>
      </c>
      <c r="S739" s="77">
        <v>3</v>
      </c>
      <c r="T739" s="77">
        <v>0</v>
      </c>
      <c r="U739" s="77">
        <v>0</v>
      </c>
      <c r="V739" s="77">
        <v>50</v>
      </c>
      <c r="W739" s="81" t="s">
        <v>726</v>
      </c>
      <c r="X739" s="83" t="str">
        <f>HYPERLINK("https://www.linkedin.com/posts/pinakilaskar_ailaw-generativeai-intellectualproperty-activity-7099956740313497600-Rrrw")</f>
        <v>https://www.linkedin.com/posts/pinakilaskar_ailaw-generativeai-intellectualproperty-activity-7099956740313497600-Rrrw</v>
      </c>
      <c r="Y739" s="77" t="s">
        <v>749</v>
      </c>
      <c r="Z739" s="77" t="s">
        <v>808</v>
      </c>
      <c r="AA739" s="77"/>
      <c r="AB739" s="77"/>
      <c r="AC739" s="81" t="s">
        <v>855</v>
      </c>
      <c r="AD739" s="77" t="s">
        <v>867</v>
      </c>
      <c r="AE739" s="83" t="str">
        <f>HYPERLINK("https://twitter.com/fisheyebox/status/1694230497713586501")</f>
        <v>https://twitter.com/fisheyebox/status/1694230497713586501</v>
      </c>
      <c r="AF739" s="79">
        <v>45161.25696759259</v>
      </c>
      <c r="AG739" s="85">
        <v>45161</v>
      </c>
      <c r="AH739" s="81" t="s">
        <v>987</v>
      </c>
      <c r="AI739" s="77" t="b">
        <v>0</v>
      </c>
      <c r="AJ739" s="77"/>
      <c r="AK739" s="77"/>
      <c r="AL739" s="77"/>
      <c r="AM739" s="77"/>
      <c r="AN739" s="77"/>
      <c r="AO739" s="77"/>
      <c r="AP739" s="77"/>
      <c r="AQ739" s="77"/>
      <c r="AR739" s="77"/>
      <c r="AS739" s="77"/>
      <c r="AT739" s="77"/>
      <c r="AU739" s="77"/>
      <c r="AV739" s="83" t="str">
        <f>HYPERLINK("https://pbs.twimg.com/profile_images/1206092231800549376/XVZ2BlIM_normal.jpg")</f>
        <v>https://pbs.twimg.com/profile_images/1206092231800549376/XVZ2BlIM_normal.jpg</v>
      </c>
      <c r="AW739" s="81" t="s">
        <v>1142</v>
      </c>
      <c r="AX739" s="81" t="s">
        <v>1142</v>
      </c>
      <c r="AY739" s="77"/>
      <c r="AZ739" s="81" t="s">
        <v>1190</v>
      </c>
      <c r="BA739" s="81" t="s">
        <v>1190</v>
      </c>
      <c r="BB739" s="81" t="s">
        <v>1190</v>
      </c>
      <c r="BC739" s="81" t="s">
        <v>1142</v>
      </c>
      <c r="BD739" s="77">
        <v>325430154</v>
      </c>
      <c r="BE739" s="77"/>
      <c r="BF739" s="77"/>
      <c r="BG739" s="77"/>
      <c r="BH739" s="77"/>
      <c r="BI739" s="77"/>
      <c r="BJ739">
        <v>1</v>
      </c>
      <c r="BK739" s="76" t="str">
        <f>REPLACE(INDEX(GroupVertices[Group],MATCH(Edges[[#This Row],[Vertex 1]],GroupVertices[Vertex],0)),1,1,"")</f>
        <v>7</v>
      </c>
      <c r="BL739" s="76" t="str">
        <f>REPLACE(INDEX(GroupVertices[Group],MATCH(Edges[[#This Row],[Vertex 2]],GroupVertices[Vertex],0)),1,1,"")</f>
        <v>7</v>
      </c>
      <c r="BM739" s="45"/>
      <c r="BN739" s="46"/>
      <c r="BO739" s="45"/>
      <c r="BP739" s="46"/>
      <c r="BQ739" s="45"/>
      <c r="BR739" s="46"/>
      <c r="BS739" s="45"/>
      <c r="BT739" s="46"/>
      <c r="BU739" s="45"/>
    </row>
    <row r="740" spans="1:73" ht="15">
      <c r="A740" s="61" t="s">
        <v>258</v>
      </c>
      <c r="B740" s="61" t="s">
        <v>535</v>
      </c>
      <c r="C740" s="62" t="s">
        <v>11693</v>
      </c>
      <c r="D740" s="63">
        <v>4.4</v>
      </c>
      <c r="E740" s="64" t="s">
        <v>132</v>
      </c>
      <c r="F740" s="65">
        <v>27.6</v>
      </c>
      <c r="G740" s="62"/>
      <c r="H740" s="66"/>
      <c r="I740" s="67"/>
      <c r="J740" s="67"/>
      <c r="K740" s="31" t="s">
        <v>65</v>
      </c>
      <c r="L740" s="75">
        <v>740</v>
      </c>
      <c r="M740" s="75"/>
      <c r="N740" s="69"/>
      <c r="O740" s="77" t="s">
        <v>539</v>
      </c>
      <c r="P740" s="79">
        <v>45156.546006944445</v>
      </c>
      <c r="Q740" s="77" t="s">
        <v>658</v>
      </c>
      <c r="R740" s="77">
        <v>2</v>
      </c>
      <c r="S740" s="77">
        <v>3</v>
      </c>
      <c r="T740" s="77">
        <v>0</v>
      </c>
      <c r="U740" s="77">
        <v>0</v>
      </c>
      <c r="V740" s="77">
        <v>114</v>
      </c>
      <c r="W740" s="81" t="s">
        <v>725</v>
      </c>
      <c r="X740" s="77"/>
      <c r="Y740" s="77"/>
      <c r="Z740" s="77" t="s">
        <v>818</v>
      </c>
      <c r="AA740" s="77" t="s">
        <v>845</v>
      </c>
      <c r="AB740" s="77" t="s">
        <v>848</v>
      </c>
      <c r="AC740" s="81" t="s">
        <v>855</v>
      </c>
      <c r="AD740" s="77" t="s">
        <v>859</v>
      </c>
      <c r="AE740" s="83" t="str">
        <f>HYPERLINK("https://twitter.com/fisheyebox/status/1692523300751385033")</f>
        <v>https://twitter.com/fisheyebox/status/1692523300751385033</v>
      </c>
      <c r="AF740" s="79">
        <v>45156.546006944445</v>
      </c>
      <c r="AG740" s="85">
        <v>45156</v>
      </c>
      <c r="AH740" s="81" t="s">
        <v>986</v>
      </c>
      <c r="AI740" s="77" t="b">
        <v>0</v>
      </c>
      <c r="AJ740" s="77"/>
      <c r="AK740" s="77"/>
      <c r="AL740" s="77"/>
      <c r="AM740" s="77"/>
      <c r="AN740" s="77"/>
      <c r="AO740" s="77"/>
      <c r="AP740" s="77"/>
      <c r="AQ740" s="77" t="s">
        <v>1024</v>
      </c>
      <c r="AR740" s="77"/>
      <c r="AS740" s="77"/>
      <c r="AT740" s="77"/>
      <c r="AU740" s="77"/>
      <c r="AV740" s="83" t="str">
        <f>HYPERLINK("https://pbs.twimg.com/media/F30M-PIakAAT_hM.jpg")</f>
        <v>https://pbs.twimg.com/media/F30M-PIakAAT_hM.jpg</v>
      </c>
      <c r="AW740" s="81" t="s">
        <v>1141</v>
      </c>
      <c r="AX740" s="81" t="s">
        <v>1141</v>
      </c>
      <c r="AY740" s="77"/>
      <c r="AZ740" s="81" t="s">
        <v>1190</v>
      </c>
      <c r="BA740" s="81" t="s">
        <v>1190</v>
      </c>
      <c r="BB740" s="81" t="s">
        <v>1190</v>
      </c>
      <c r="BC740" s="81" t="s">
        <v>1141</v>
      </c>
      <c r="BD740" s="77">
        <v>325430154</v>
      </c>
      <c r="BE740" s="77"/>
      <c r="BF740" s="77"/>
      <c r="BG740" s="77"/>
      <c r="BH740" s="77"/>
      <c r="BI740" s="77"/>
      <c r="BJ740">
        <v>2</v>
      </c>
      <c r="BK740" s="76" t="str">
        <f>REPLACE(INDEX(GroupVertices[Group],MATCH(Edges[[#This Row],[Vertex 1]],GroupVertices[Vertex],0)),1,1,"")</f>
        <v>7</v>
      </c>
      <c r="BL740" s="76" t="str">
        <f>REPLACE(INDEX(GroupVertices[Group],MATCH(Edges[[#This Row],[Vertex 2]],GroupVertices[Vertex],0)),1,1,"")</f>
        <v>7</v>
      </c>
      <c r="BM740" s="45"/>
      <c r="BN740" s="46"/>
      <c r="BO740" s="45"/>
      <c r="BP740" s="46"/>
      <c r="BQ740" s="45"/>
      <c r="BR740" s="46"/>
      <c r="BS740" s="45"/>
      <c r="BT740" s="46"/>
      <c r="BU740" s="45"/>
    </row>
    <row r="741" spans="1:73" ht="15">
      <c r="A741" s="61" t="s">
        <v>258</v>
      </c>
      <c r="B741" s="61" t="s">
        <v>535</v>
      </c>
      <c r="C741" s="62" t="s">
        <v>11693</v>
      </c>
      <c r="D741" s="63">
        <v>4.4</v>
      </c>
      <c r="E741" s="64" t="s">
        <v>132</v>
      </c>
      <c r="F741" s="65">
        <v>27.6</v>
      </c>
      <c r="G741" s="62"/>
      <c r="H741" s="66"/>
      <c r="I741" s="67"/>
      <c r="J741" s="67"/>
      <c r="K741" s="31" t="s">
        <v>65</v>
      </c>
      <c r="L741" s="75">
        <v>741</v>
      </c>
      <c r="M741" s="75"/>
      <c r="N741" s="69"/>
      <c r="O741" s="77" t="s">
        <v>539</v>
      </c>
      <c r="P741" s="79">
        <v>45161.25696759259</v>
      </c>
      <c r="Q741" s="77" t="s">
        <v>659</v>
      </c>
      <c r="R741" s="77">
        <v>2</v>
      </c>
      <c r="S741" s="77">
        <v>3</v>
      </c>
      <c r="T741" s="77">
        <v>0</v>
      </c>
      <c r="U741" s="77">
        <v>0</v>
      </c>
      <c r="V741" s="77">
        <v>50</v>
      </c>
      <c r="W741" s="81" t="s">
        <v>726</v>
      </c>
      <c r="X741" s="83" t="str">
        <f>HYPERLINK("https://www.linkedin.com/posts/pinakilaskar_ailaw-generativeai-intellectualproperty-activity-7099956740313497600-Rrrw")</f>
        <v>https://www.linkedin.com/posts/pinakilaskar_ailaw-generativeai-intellectualproperty-activity-7099956740313497600-Rrrw</v>
      </c>
      <c r="Y741" s="77" t="s">
        <v>749</v>
      </c>
      <c r="Z741" s="77" t="s">
        <v>808</v>
      </c>
      <c r="AA741" s="77"/>
      <c r="AB741" s="77"/>
      <c r="AC741" s="81" t="s">
        <v>855</v>
      </c>
      <c r="AD741" s="77" t="s">
        <v>867</v>
      </c>
      <c r="AE741" s="83" t="str">
        <f>HYPERLINK("https://twitter.com/fisheyebox/status/1694230497713586501")</f>
        <v>https://twitter.com/fisheyebox/status/1694230497713586501</v>
      </c>
      <c r="AF741" s="79">
        <v>45161.25696759259</v>
      </c>
      <c r="AG741" s="85">
        <v>45161</v>
      </c>
      <c r="AH741" s="81" t="s">
        <v>987</v>
      </c>
      <c r="AI741" s="77" t="b">
        <v>0</v>
      </c>
      <c r="AJ741" s="77"/>
      <c r="AK741" s="77"/>
      <c r="AL741" s="77"/>
      <c r="AM741" s="77"/>
      <c r="AN741" s="77"/>
      <c r="AO741" s="77"/>
      <c r="AP741" s="77"/>
      <c r="AQ741" s="77"/>
      <c r="AR741" s="77"/>
      <c r="AS741" s="77"/>
      <c r="AT741" s="77"/>
      <c r="AU741" s="77"/>
      <c r="AV741" s="83" t="str">
        <f>HYPERLINK("https://pbs.twimg.com/profile_images/1206092231800549376/XVZ2BlIM_normal.jpg")</f>
        <v>https://pbs.twimg.com/profile_images/1206092231800549376/XVZ2BlIM_normal.jpg</v>
      </c>
      <c r="AW741" s="81" t="s">
        <v>1142</v>
      </c>
      <c r="AX741" s="81" t="s">
        <v>1142</v>
      </c>
      <c r="AY741" s="77"/>
      <c r="AZ741" s="81" t="s">
        <v>1190</v>
      </c>
      <c r="BA741" s="81" t="s">
        <v>1190</v>
      </c>
      <c r="BB741" s="81" t="s">
        <v>1190</v>
      </c>
      <c r="BC741" s="81" t="s">
        <v>1142</v>
      </c>
      <c r="BD741" s="77">
        <v>325430154</v>
      </c>
      <c r="BE741" s="77"/>
      <c r="BF741" s="77"/>
      <c r="BG741" s="77"/>
      <c r="BH741" s="77"/>
      <c r="BI741" s="77"/>
      <c r="BJ741">
        <v>2</v>
      </c>
      <c r="BK741" s="76" t="str">
        <f>REPLACE(INDEX(GroupVertices[Group],MATCH(Edges[[#This Row],[Vertex 1]],GroupVertices[Vertex],0)),1,1,"")</f>
        <v>7</v>
      </c>
      <c r="BL741" s="76" t="str">
        <f>REPLACE(INDEX(GroupVertices[Group],MATCH(Edges[[#This Row],[Vertex 2]],GroupVertices[Vertex],0)),1,1,"")</f>
        <v>7</v>
      </c>
      <c r="BM741" s="45"/>
      <c r="BN741" s="46"/>
      <c r="BO741" s="45"/>
      <c r="BP741" s="46"/>
      <c r="BQ741" s="45"/>
      <c r="BR741" s="46"/>
      <c r="BS741" s="45"/>
      <c r="BT741" s="46"/>
      <c r="BU741" s="45"/>
    </row>
    <row r="742" spans="1:73" ht="15">
      <c r="A742" s="61" t="s">
        <v>258</v>
      </c>
      <c r="B742" s="61" t="s">
        <v>536</v>
      </c>
      <c r="C742" s="62" t="s">
        <v>11693</v>
      </c>
      <c r="D742" s="63">
        <v>4.4</v>
      </c>
      <c r="E742" s="64" t="s">
        <v>132</v>
      </c>
      <c r="F742" s="65">
        <v>27.6</v>
      </c>
      <c r="G742" s="62"/>
      <c r="H742" s="66"/>
      <c r="I742" s="67"/>
      <c r="J742" s="67"/>
      <c r="K742" s="31" t="s">
        <v>65</v>
      </c>
      <c r="L742" s="75">
        <v>742</v>
      </c>
      <c r="M742" s="75"/>
      <c r="N742" s="69"/>
      <c r="O742" s="77" t="s">
        <v>539</v>
      </c>
      <c r="P742" s="79">
        <v>45156.546006944445</v>
      </c>
      <c r="Q742" s="77" t="s">
        <v>658</v>
      </c>
      <c r="R742" s="77">
        <v>2</v>
      </c>
      <c r="S742" s="77">
        <v>3</v>
      </c>
      <c r="T742" s="77">
        <v>0</v>
      </c>
      <c r="U742" s="77">
        <v>0</v>
      </c>
      <c r="V742" s="77">
        <v>114</v>
      </c>
      <c r="W742" s="81" t="s">
        <v>725</v>
      </c>
      <c r="X742" s="77"/>
      <c r="Y742" s="77"/>
      <c r="Z742" s="77" t="s">
        <v>818</v>
      </c>
      <c r="AA742" s="77" t="s">
        <v>845</v>
      </c>
      <c r="AB742" s="77" t="s">
        <v>848</v>
      </c>
      <c r="AC742" s="81" t="s">
        <v>855</v>
      </c>
      <c r="AD742" s="77" t="s">
        <v>859</v>
      </c>
      <c r="AE742" s="83" t="str">
        <f>HYPERLINK("https://twitter.com/fisheyebox/status/1692523300751385033")</f>
        <v>https://twitter.com/fisheyebox/status/1692523300751385033</v>
      </c>
      <c r="AF742" s="79">
        <v>45156.546006944445</v>
      </c>
      <c r="AG742" s="85">
        <v>45156</v>
      </c>
      <c r="AH742" s="81" t="s">
        <v>986</v>
      </c>
      <c r="AI742" s="77" t="b">
        <v>0</v>
      </c>
      <c r="AJ742" s="77"/>
      <c r="AK742" s="77"/>
      <c r="AL742" s="77"/>
      <c r="AM742" s="77"/>
      <c r="AN742" s="77"/>
      <c r="AO742" s="77"/>
      <c r="AP742" s="77"/>
      <c r="AQ742" s="77" t="s">
        <v>1024</v>
      </c>
      <c r="AR742" s="77"/>
      <c r="AS742" s="77"/>
      <c r="AT742" s="77"/>
      <c r="AU742" s="77"/>
      <c r="AV742" s="83" t="str">
        <f>HYPERLINK("https://pbs.twimg.com/media/F30M-PIakAAT_hM.jpg")</f>
        <v>https://pbs.twimg.com/media/F30M-PIakAAT_hM.jpg</v>
      </c>
      <c r="AW742" s="81" t="s">
        <v>1141</v>
      </c>
      <c r="AX742" s="81" t="s">
        <v>1141</v>
      </c>
      <c r="AY742" s="77"/>
      <c r="AZ742" s="81" t="s">
        <v>1190</v>
      </c>
      <c r="BA742" s="81" t="s">
        <v>1190</v>
      </c>
      <c r="BB742" s="81" t="s">
        <v>1190</v>
      </c>
      <c r="BC742" s="81" t="s">
        <v>1141</v>
      </c>
      <c r="BD742" s="77">
        <v>325430154</v>
      </c>
      <c r="BE742" s="77"/>
      <c r="BF742" s="77"/>
      <c r="BG742" s="77"/>
      <c r="BH742" s="77"/>
      <c r="BI742" s="77"/>
      <c r="BJ742">
        <v>2</v>
      </c>
      <c r="BK742" s="76" t="str">
        <f>REPLACE(INDEX(GroupVertices[Group],MATCH(Edges[[#This Row],[Vertex 1]],GroupVertices[Vertex],0)),1,1,"")</f>
        <v>7</v>
      </c>
      <c r="BL742" s="76" t="str">
        <f>REPLACE(INDEX(GroupVertices[Group],MATCH(Edges[[#This Row],[Vertex 2]],GroupVertices[Vertex],0)),1,1,"")</f>
        <v>7</v>
      </c>
      <c r="BM742" s="45"/>
      <c r="BN742" s="46"/>
      <c r="BO742" s="45"/>
      <c r="BP742" s="46"/>
      <c r="BQ742" s="45"/>
      <c r="BR742" s="46"/>
      <c r="BS742" s="45"/>
      <c r="BT742" s="46"/>
      <c r="BU742" s="45"/>
    </row>
    <row r="743" spans="1:73" ht="15">
      <c r="A743" s="61" t="s">
        <v>258</v>
      </c>
      <c r="B743" s="61" t="s">
        <v>536</v>
      </c>
      <c r="C743" s="62" t="s">
        <v>11693</v>
      </c>
      <c r="D743" s="63">
        <v>4.4</v>
      </c>
      <c r="E743" s="64" t="s">
        <v>132</v>
      </c>
      <c r="F743" s="65">
        <v>27.6</v>
      </c>
      <c r="G743" s="62"/>
      <c r="H743" s="66"/>
      <c r="I743" s="67"/>
      <c r="J743" s="67"/>
      <c r="K743" s="31" t="s">
        <v>65</v>
      </c>
      <c r="L743" s="75">
        <v>743</v>
      </c>
      <c r="M743" s="75"/>
      <c r="N743" s="69"/>
      <c r="O743" s="77" t="s">
        <v>539</v>
      </c>
      <c r="P743" s="79">
        <v>45161.25696759259</v>
      </c>
      <c r="Q743" s="77" t="s">
        <v>659</v>
      </c>
      <c r="R743" s="77">
        <v>2</v>
      </c>
      <c r="S743" s="77">
        <v>3</v>
      </c>
      <c r="T743" s="77">
        <v>0</v>
      </c>
      <c r="U743" s="77">
        <v>0</v>
      </c>
      <c r="V743" s="77">
        <v>50</v>
      </c>
      <c r="W743" s="81" t="s">
        <v>726</v>
      </c>
      <c r="X743" s="83" t="str">
        <f>HYPERLINK("https://www.linkedin.com/posts/pinakilaskar_ailaw-generativeai-intellectualproperty-activity-7099956740313497600-Rrrw")</f>
        <v>https://www.linkedin.com/posts/pinakilaskar_ailaw-generativeai-intellectualproperty-activity-7099956740313497600-Rrrw</v>
      </c>
      <c r="Y743" s="77" t="s">
        <v>749</v>
      </c>
      <c r="Z743" s="77" t="s">
        <v>808</v>
      </c>
      <c r="AA743" s="77"/>
      <c r="AB743" s="77"/>
      <c r="AC743" s="81" t="s">
        <v>855</v>
      </c>
      <c r="AD743" s="77" t="s">
        <v>867</v>
      </c>
      <c r="AE743" s="83" t="str">
        <f>HYPERLINK("https://twitter.com/fisheyebox/status/1694230497713586501")</f>
        <v>https://twitter.com/fisheyebox/status/1694230497713586501</v>
      </c>
      <c r="AF743" s="79">
        <v>45161.25696759259</v>
      </c>
      <c r="AG743" s="85">
        <v>45161</v>
      </c>
      <c r="AH743" s="81" t="s">
        <v>987</v>
      </c>
      <c r="AI743" s="77" t="b">
        <v>0</v>
      </c>
      <c r="AJ743" s="77"/>
      <c r="AK743" s="77"/>
      <c r="AL743" s="77"/>
      <c r="AM743" s="77"/>
      <c r="AN743" s="77"/>
      <c r="AO743" s="77"/>
      <c r="AP743" s="77"/>
      <c r="AQ743" s="77"/>
      <c r="AR743" s="77"/>
      <c r="AS743" s="77"/>
      <c r="AT743" s="77"/>
      <c r="AU743" s="77"/>
      <c r="AV743" s="83" t="str">
        <f>HYPERLINK("https://pbs.twimg.com/profile_images/1206092231800549376/XVZ2BlIM_normal.jpg")</f>
        <v>https://pbs.twimg.com/profile_images/1206092231800549376/XVZ2BlIM_normal.jpg</v>
      </c>
      <c r="AW743" s="81" t="s">
        <v>1142</v>
      </c>
      <c r="AX743" s="81" t="s">
        <v>1142</v>
      </c>
      <c r="AY743" s="77"/>
      <c r="AZ743" s="81" t="s">
        <v>1190</v>
      </c>
      <c r="BA743" s="81" t="s">
        <v>1190</v>
      </c>
      <c r="BB743" s="81" t="s">
        <v>1190</v>
      </c>
      <c r="BC743" s="81" t="s">
        <v>1142</v>
      </c>
      <c r="BD743" s="77">
        <v>325430154</v>
      </c>
      <c r="BE743" s="77"/>
      <c r="BF743" s="77"/>
      <c r="BG743" s="77"/>
      <c r="BH743" s="77"/>
      <c r="BI743" s="77"/>
      <c r="BJ743">
        <v>2</v>
      </c>
      <c r="BK743" s="76" t="str">
        <f>REPLACE(INDEX(GroupVertices[Group],MATCH(Edges[[#This Row],[Vertex 1]],GroupVertices[Vertex],0)),1,1,"")</f>
        <v>7</v>
      </c>
      <c r="BL743" s="76" t="str">
        <f>REPLACE(INDEX(GroupVertices[Group],MATCH(Edges[[#This Row],[Vertex 2]],GroupVertices[Vertex],0)),1,1,"")</f>
        <v>7</v>
      </c>
      <c r="BM743" s="45"/>
      <c r="BN743" s="46"/>
      <c r="BO743" s="45"/>
      <c r="BP743" s="46"/>
      <c r="BQ743" s="45"/>
      <c r="BR743" s="46"/>
      <c r="BS743" s="45"/>
      <c r="BT743" s="46"/>
      <c r="BU743" s="45"/>
    </row>
    <row r="744" spans="1:73" ht="15">
      <c r="A744" s="61" t="s">
        <v>258</v>
      </c>
      <c r="B744" s="61" t="s">
        <v>537</v>
      </c>
      <c r="C744" s="62" t="s">
        <v>11693</v>
      </c>
      <c r="D744" s="63">
        <v>4.4</v>
      </c>
      <c r="E744" s="64" t="s">
        <v>132</v>
      </c>
      <c r="F744" s="65">
        <v>27.6</v>
      </c>
      <c r="G744" s="62"/>
      <c r="H744" s="66"/>
      <c r="I744" s="67"/>
      <c r="J744" s="67"/>
      <c r="K744" s="31" t="s">
        <v>65</v>
      </c>
      <c r="L744" s="75">
        <v>744</v>
      </c>
      <c r="M744" s="75"/>
      <c r="N744" s="69"/>
      <c r="O744" s="77" t="s">
        <v>539</v>
      </c>
      <c r="P744" s="79">
        <v>45156.546006944445</v>
      </c>
      <c r="Q744" s="77" t="s">
        <v>658</v>
      </c>
      <c r="R744" s="77">
        <v>2</v>
      </c>
      <c r="S744" s="77">
        <v>3</v>
      </c>
      <c r="T744" s="77">
        <v>0</v>
      </c>
      <c r="U744" s="77">
        <v>0</v>
      </c>
      <c r="V744" s="77">
        <v>114</v>
      </c>
      <c r="W744" s="81" t="s">
        <v>725</v>
      </c>
      <c r="X744" s="77"/>
      <c r="Y744" s="77"/>
      <c r="Z744" s="77" t="s">
        <v>818</v>
      </c>
      <c r="AA744" s="77" t="s">
        <v>845</v>
      </c>
      <c r="AB744" s="77" t="s">
        <v>848</v>
      </c>
      <c r="AC744" s="81" t="s">
        <v>855</v>
      </c>
      <c r="AD744" s="77" t="s">
        <v>859</v>
      </c>
      <c r="AE744" s="83" t="str">
        <f>HYPERLINK("https://twitter.com/fisheyebox/status/1692523300751385033")</f>
        <v>https://twitter.com/fisheyebox/status/1692523300751385033</v>
      </c>
      <c r="AF744" s="79">
        <v>45156.546006944445</v>
      </c>
      <c r="AG744" s="85">
        <v>45156</v>
      </c>
      <c r="AH744" s="81" t="s">
        <v>986</v>
      </c>
      <c r="AI744" s="77" t="b">
        <v>0</v>
      </c>
      <c r="AJ744" s="77"/>
      <c r="AK744" s="77"/>
      <c r="AL744" s="77"/>
      <c r="AM744" s="77"/>
      <c r="AN744" s="77"/>
      <c r="AO744" s="77"/>
      <c r="AP744" s="77"/>
      <c r="AQ744" s="77" t="s">
        <v>1024</v>
      </c>
      <c r="AR744" s="77"/>
      <c r="AS744" s="77"/>
      <c r="AT744" s="77"/>
      <c r="AU744" s="77"/>
      <c r="AV744" s="83" t="str">
        <f>HYPERLINK("https://pbs.twimg.com/media/F30M-PIakAAT_hM.jpg")</f>
        <v>https://pbs.twimg.com/media/F30M-PIakAAT_hM.jpg</v>
      </c>
      <c r="AW744" s="81" t="s">
        <v>1141</v>
      </c>
      <c r="AX744" s="81" t="s">
        <v>1141</v>
      </c>
      <c r="AY744" s="77"/>
      <c r="AZ744" s="81" t="s">
        <v>1190</v>
      </c>
      <c r="BA744" s="81" t="s">
        <v>1190</v>
      </c>
      <c r="BB744" s="81" t="s">
        <v>1190</v>
      </c>
      <c r="BC744" s="81" t="s">
        <v>1141</v>
      </c>
      <c r="BD744" s="77">
        <v>325430154</v>
      </c>
      <c r="BE744" s="77"/>
      <c r="BF744" s="77"/>
      <c r="BG744" s="77"/>
      <c r="BH744" s="77"/>
      <c r="BI744" s="77"/>
      <c r="BJ744">
        <v>2</v>
      </c>
      <c r="BK744" s="76" t="str">
        <f>REPLACE(INDEX(GroupVertices[Group],MATCH(Edges[[#This Row],[Vertex 1]],GroupVertices[Vertex],0)),1,1,"")</f>
        <v>7</v>
      </c>
      <c r="BL744" s="76" t="str">
        <f>REPLACE(INDEX(GroupVertices[Group],MATCH(Edges[[#This Row],[Vertex 2]],GroupVertices[Vertex],0)),1,1,"")</f>
        <v>7</v>
      </c>
      <c r="BM744" s="45"/>
      <c r="BN744" s="46"/>
      <c r="BO744" s="45"/>
      <c r="BP744" s="46"/>
      <c r="BQ744" s="45"/>
      <c r="BR744" s="46"/>
      <c r="BS744" s="45"/>
      <c r="BT744" s="46"/>
      <c r="BU744" s="45"/>
    </row>
    <row r="745" spans="1:73" ht="15">
      <c r="A745" s="61" t="s">
        <v>258</v>
      </c>
      <c r="B745" s="61" t="s">
        <v>537</v>
      </c>
      <c r="C745" s="62" t="s">
        <v>11693</v>
      </c>
      <c r="D745" s="63">
        <v>4.4</v>
      </c>
      <c r="E745" s="64" t="s">
        <v>132</v>
      </c>
      <c r="F745" s="65">
        <v>27.6</v>
      </c>
      <c r="G745" s="62"/>
      <c r="H745" s="66"/>
      <c r="I745" s="67"/>
      <c r="J745" s="67"/>
      <c r="K745" s="31" t="s">
        <v>65</v>
      </c>
      <c r="L745" s="75">
        <v>745</v>
      </c>
      <c r="M745" s="75"/>
      <c r="N745" s="69"/>
      <c r="O745" s="77" t="s">
        <v>539</v>
      </c>
      <c r="P745" s="79">
        <v>45161.25696759259</v>
      </c>
      <c r="Q745" s="77" t="s">
        <v>659</v>
      </c>
      <c r="R745" s="77">
        <v>2</v>
      </c>
      <c r="S745" s="77">
        <v>3</v>
      </c>
      <c r="T745" s="77">
        <v>0</v>
      </c>
      <c r="U745" s="77">
        <v>0</v>
      </c>
      <c r="V745" s="77">
        <v>50</v>
      </c>
      <c r="W745" s="81" t="s">
        <v>726</v>
      </c>
      <c r="X745" s="83" t="str">
        <f>HYPERLINK("https://www.linkedin.com/posts/pinakilaskar_ailaw-generativeai-intellectualproperty-activity-7099956740313497600-Rrrw")</f>
        <v>https://www.linkedin.com/posts/pinakilaskar_ailaw-generativeai-intellectualproperty-activity-7099956740313497600-Rrrw</v>
      </c>
      <c r="Y745" s="77" t="s">
        <v>749</v>
      </c>
      <c r="Z745" s="77" t="s">
        <v>808</v>
      </c>
      <c r="AA745" s="77"/>
      <c r="AB745" s="77"/>
      <c r="AC745" s="81" t="s">
        <v>855</v>
      </c>
      <c r="AD745" s="77" t="s">
        <v>867</v>
      </c>
      <c r="AE745" s="83" t="str">
        <f>HYPERLINK("https://twitter.com/fisheyebox/status/1694230497713586501")</f>
        <v>https://twitter.com/fisheyebox/status/1694230497713586501</v>
      </c>
      <c r="AF745" s="79">
        <v>45161.25696759259</v>
      </c>
      <c r="AG745" s="85">
        <v>45161</v>
      </c>
      <c r="AH745" s="81" t="s">
        <v>987</v>
      </c>
      <c r="AI745" s="77" t="b">
        <v>0</v>
      </c>
      <c r="AJ745" s="77"/>
      <c r="AK745" s="77"/>
      <c r="AL745" s="77"/>
      <c r="AM745" s="77"/>
      <c r="AN745" s="77"/>
      <c r="AO745" s="77"/>
      <c r="AP745" s="77"/>
      <c r="AQ745" s="77"/>
      <c r="AR745" s="77"/>
      <c r="AS745" s="77"/>
      <c r="AT745" s="77"/>
      <c r="AU745" s="77"/>
      <c r="AV745" s="83" t="str">
        <f>HYPERLINK("https://pbs.twimg.com/profile_images/1206092231800549376/XVZ2BlIM_normal.jpg")</f>
        <v>https://pbs.twimg.com/profile_images/1206092231800549376/XVZ2BlIM_normal.jpg</v>
      </c>
      <c r="AW745" s="81" t="s">
        <v>1142</v>
      </c>
      <c r="AX745" s="81" t="s">
        <v>1142</v>
      </c>
      <c r="AY745" s="77"/>
      <c r="AZ745" s="81" t="s">
        <v>1190</v>
      </c>
      <c r="BA745" s="81" t="s">
        <v>1190</v>
      </c>
      <c r="BB745" s="81" t="s">
        <v>1190</v>
      </c>
      <c r="BC745" s="81" t="s">
        <v>1142</v>
      </c>
      <c r="BD745" s="77">
        <v>325430154</v>
      </c>
      <c r="BE745" s="77"/>
      <c r="BF745" s="77"/>
      <c r="BG745" s="77"/>
      <c r="BH745" s="77"/>
      <c r="BI745" s="77"/>
      <c r="BJ745">
        <v>2</v>
      </c>
      <c r="BK745" s="76" t="str">
        <f>REPLACE(INDEX(GroupVertices[Group],MATCH(Edges[[#This Row],[Vertex 1]],GroupVertices[Vertex],0)),1,1,"")</f>
        <v>7</v>
      </c>
      <c r="BL745" s="76" t="str">
        <f>REPLACE(INDEX(GroupVertices[Group],MATCH(Edges[[#This Row],[Vertex 2]],GroupVertices[Vertex],0)),1,1,"")</f>
        <v>7</v>
      </c>
      <c r="BM745" s="45"/>
      <c r="BN745" s="46"/>
      <c r="BO745" s="45"/>
      <c r="BP745" s="46"/>
      <c r="BQ745" s="45"/>
      <c r="BR745" s="46"/>
      <c r="BS745" s="45"/>
      <c r="BT745" s="46"/>
      <c r="BU745" s="45"/>
    </row>
    <row r="746" spans="1:73" ht="15">
      <c r="A746" s="61" t="s">
        <v>258</v>
      </c>
      <c r="B746" s="61" t="s">
        <v>538</v>
      </c>
      <c r="C746" s="62" t="s">
        <v>11693</v>
      </c>
      <c r="D746" s="63">
        <v>4.4</v>
      </c>
      <c r="E746" s="64" t="s">
        <v>132</v>
      </c>
      <c r="F746" s="65">
        <v>27.6</v>
      </c>
      <c r="G746" s="62"/>
      <c r="H746" s="66"/>
      <c r="I746" s="67"/>
      <c r="J746" s="67"/>
      <c r="K746" s="31" t="s">
        <v>65</v>
      </c>
      <c r="L746" s="75">
        <v>746</v>
      </c>
      <c r="M746" s="75"/>
      <c r="N746" s="69"/>
      <c r="O746" s="77" t="s">
        <v>539</v>
      </c>
      <c r="P746" s="79">
        <v>45156.546006944445</v>
      </c>
      <c r="Q746" s="77" t="s">
        <v>658</v>
      </c>
      <c r="R746" s="77">
        <v>2</v>
      </c>
      <c r="S746" s="77">
        <v>3</v>
      </c>
      <c r="T746" s="77">
        <v>0</v>
      </c>
      <c r="U746" s="77">
        <v>0</v>
      </c>
      <c r="V746" s="77">
        <v>114</v>
      </c>
      <c r="W746" s="81" t="s">
        <v>725</v>
      </c>
      <c r="X746" s="77"/>
      <c r="Y746" s="77"/>
      <c r="Z746" s="77" t="s">
        <v>818</v>
      </c>
      <c r="AA746" s="77" t="s">
        <v>845</v>
      </c>
      <c r="AB746" s="77" t="s">
        <v>848</v>
      </c>
      <c r="AC746" s="81" t="s">
        <v>855</v>
      </c>
      <c r="AD746" s="77" t="s">
        <v>859</v>
      </c>
      <c r="AE746" s="83" t="str">
        <f>HYPERLINK("https://twitter.com/fisheyebox/status/1692523300751385033")</f>
        <v>https://twitter.com/fisheyebox/status/1692523300751385033</v>
      </c>
      <c r="AF746" s="79">
        <v>45156.546006944445</v>
      </c>
      <c r="AG746" s="85">
        <v>45156</v>
      </c>
      <c r="AH746" s="81" t="s">
        <v>986</v>
      </c>
      <c r="AI746" s="77" t="b">
        <v>0</v>
      </c>
      <c r="AJ746" s="77"/>
      <c r="AK746" s="77"/>
      <c r="AL746" s="77"/>
      <c r="AM746" s="77"/>
      <c r="AN746" s="77"/>
      <c r="AO746" s="77"/>
      <c r="AP746" s="77"/>
      <c r="AQ746" s="77" t="s">
        <v>1024</v>
      </c>
      <c r="AR746" s="77"/>
      <c r="AS746" s="77"/>
      <c r="AT746" s="77"/>
      <c r="AU746" s="77"/>
      <c r="AV746" s="83" t="str">
        <f>HYPERLINK("https://pbs.twimg.com/media/F30M-PIakAAT_hM.jpg")</f>
        <v>https://pbs.twimg.com/media/F30M-PIakAAT_hM.jpg</v>
      </c>
      <c r="AW746" s="81" t="s">
        <v>1141</v>
      </c>
      <c r="AX746" s="81" t="s">
        <v>1141</v>
      </c>
      <c r="AY746" s="77"/>
      <c r="AZ746" s="81" t="s">
        <v>1190</v>
      </c>
      <c r="BA746" s="81" t="s">
        <v>1190</v>
      </c>
      <c r="BB746" s="81" t="s">
        <v>1190</v>
      </c>
      <c r="BC746" s="81" t="s">
        <v>1141</v>
      </c>
      <c r="BD746" s="77">
        <v>325430154</v>
      </c>
      <c r="BE746" s="77"/>
      <c r="BF746" s="77"/>
      <c r="BG746" s="77"/>
      <c r="BH746" s="77"/>
      <c r="BI746" s="77"/>
      <c r="BJ746">
        <v>2</v>
      </c>
      <c r="BK746" s="76" t="str">
        <f>REPLACE(INDEX(GroupVertices[Group],MATCH(Edges[[#This Row],[Vertex 1]],GroupVertices[Vertex],0)),1,1,"")</f>
        <v>7</v>
      </c>
      <c r="BL746" s="76" t="str">
        <f>REPLACE(INDEX(GroupVertices[Group],MATCH(Edges[[#This Row],[Vertex 2]],GroupVertices[Vertex],0)),1,1,"")</f>
        <v>7</v>
      </c>
      <c r="BM746" s="45"/>
      <c r="BN746" s="46"/>
      <c r="BO746" s="45"/>
      <c r="BP746" s="46"/>
      <c r="BQ746" s="45"/>
      <c r="BR746" s="46"/>
      <c r="BS746" s="45"/>
      <c r="BT746" s="46"/>
      <c r="BU746" s="45"/>
    </row>
    <row r="747" spans="1:73" ht="15">
      <c r="A747" s="61" t="s">
        <v>258</v>
      </c>
      <c r="B747" s="61" t="s">
        <v>538</v>
      </c>
      <c r="C747" s="62" t="s">
        <v>11693</v>
      </c>
      <c r="D747" s="63">
        <v>4.4</v>
      </c>
      <c r="E747" s="64" t="s">
        <v>132</v>
      </c>
      <c r="F747" s="65">
        <v>27.6</v>
      </c>
      <c r="G747" s="62"/>
      <c r="H747" s="66"/>
      <c r="I747" s="67"/>
      <c r="J747" s="67"/>
      <c r="K747" s="31" t="s">
        <v>65</v>
      </c>
      <c r="L747" s="75">
        <v>747</v>
      </c>
      <c r="M747" s="75"/>
      <c r="N747" s="69"/>
      <c r="O747" s="77" t="s">
        <v>539</v>
      </c>
      <c r="P747" s="79">
        <v>45161.25696759259</v>
      </c>
      <c r="Q747" s="77" t="s">
        <v>659</v>
      </c>
      <c r="R747" s="77">
        <v>2</v>
      </c>
      <c r="S747" s="77">
        <v>3</v>
      </c>
      <c r="T747" s="77">
        <v>0</v>
      </c>
      <c r="U747" s="77">
        <v>0</v>
      </c>
      <c r="V747" s="77">
        <v>50</v>
      </c>
      <c r="W747" s="81" t="s">
        <v>726</v>
      </c>
      <c r="X747" s="83" t="str">
        <f>HYPERLINK("https://www.linkedin.com/posts/pinakilaskar_ailaw-generativeai-intellectualproperty-activity-7099956740313497600-Rrrw")</f>
        <v>https://www.linkedin.com/posts/pinakilaskar_ailaw-generativeai-intellectualproperty-activity-7099956740313497600-Rrrw</v>
      </c>
      <c r="Y747" s="77" t="s">
        <v>749</v>
      </c>
      <c r="Z747" s="77" t="s">
        <v>808</v>
      </c>
      <c r="AA747" s="77"/>
      <c r="AB747" s="77"/>
      <c r="AC747" s="81" t="s">
        <v>855</v>
      </c>
      <c r="AD747" s="77" t="s">
        <v>867</v>
      </c>
      <c r="AE747" s="83" t="str">
        <f>HYPERLINK("https://twitter.com/fisheyebox/status/1694230497713586501")</f>
        <v>https://twitter.com/fisheyebox/status/1694230497713586501</v>
      </c>
      <c r="AF747" s="79">
        <v>45161.25696759259</v>
      </c>
      <c r="AG747" s="85">
        <v>45161</v>
      </c>
      <c r="AH747" s="81" t="s">
        <v>987</v>
      </c>
      <c r="AI747" s="77" t="b">
        <v>0</v>
      </c>
      <c r="AJ747" s="77"/>
      <c r="AK747" s="77"/>
      <c r="AL747" s="77"/>
      <c r="AM747" s="77"/>
      <c r="AN747" s="77"/>
      <c r="AO747" s="77"/>
      <c r="AP747" s="77"/>
      <c r="AQ747" s="77"/>
      <c r="AR747" s="77"/>
      <c r="AS747" s="77"/>
      <c r="AT747" s="77"/>
      <c r="AU747" s="77"/>
      <c r="AV747" s="83" t="str">
        <f>HYPERLINK("https://pbs.twimg.com/profile_images/1206092231800549376/XVZ2BlIM_normal.jpg")</f>
        <v>https://pbs.twimg.com/profile_images/1206092231800549376/XVZ2BlIM_normal.jpg</v>
      </c>
      <c r="AW747" s="81" t="s">
        <v>1142</v>
      </c>
      <c r="AX747" s="81" t="s">
        <v>1142</v>
      </c>
      <c r="AY747" s="77"/>
      <c r="AZ747" s="81" t="s">
        <v>1190</v>
      </c>
      <c r="BA747" s="81" t="s">
        <v>1190</v>
      </c>
      <c r="BB747" s="81" t="s">
        <v>1190</v>
      </c>
      <c r="BC747" s="81" t="s">
        <v>1142</v>
      </c>
      <c r="BD747" s="77">
        <v>325430154</v>
      </c>
      <c r="BE747" s="77"/>
      <c r="BF747" s="77"/>
      <c r="BG747" s="77"/>
      <c r="BH747" s="77"/>
      <c r="BI747" s="77"/>
      <c r="BJ747">
        <v>2</v>
      </c>
      <c r="BK747" s="76" t="str">
        <f>REPLACE(INDEX(GroupVertices[Group],MATCH(Edges[[#This Row],[Vertex 1]],GroupVertices[Vertex],0)),1,1,"")</f>
        <v>7</v>
      </c>
      <c r="BL747" s="76" t="str">
        <f>REPLACE(INDEX(GroupVertices[Group],MATCH(Edges[[#This Row],[Vertex 2]],GroupVertices[Vertex],0)),1,1,"")</f>
        <v>7</v>
      </c>
      <c r="BM747" s="45"/>
      <c r="BN747" s="46"/>
      <c r="BO747" s="45"/>
      <c r="BP747" s="46"/>
      <c r="BQ747" s="45"/>
      <c r="BR747" s="46"/>
      <c r="BS747" s="45"/>
      <c r="BT747" s="46"/>
      <c r="BU747" s="45"/>
    </row>
    <row r="748" spans="1:73" ht="15">
      <c r="A748" s="61" t="s">
        <v>258</v>
      </c>
      <c r="B748" s="61" t="s">
        <v>228</v>
      </c>
      <c r="C748" s="62" t="s">
        <v>11693</v>
      </c>
      <c r="D748" s="63">
        <v>4.4</v>
      </c>
      <c r="E748" s="64" t="s">
        <v>132</v>
      </c>
      <c r="F748" s="65">
        <v>27.6</v>
      </c>
      <c r="G748" s="62"/>
      <c r="H748" s="66"/>
      <c r="I748" s="67"/>
      <c r="J748" s="67"/>
      <c r="K748" s="31" t="s">
        <v>65</v>
      </c>
      <c r="L748" s="75">
        <v>748</v>
      </c>
      <c r="M748" s="75"/>
      <c r="N748" s="69"/>
      <c r="O748" s="77" t="s">
        <v>539</v>
      </c>
      <c r="P748" s="79">
        <v>45156.546006944445</v>
      </c>
      <c r="Q748" s="77" t="s">
        <v>658</v>
      </c>
      <c r="R748" s="77">
        <v>2</v>
      </c>
      <c r="S748" s="77">
        <v>3</v>
      </c>
      <c r="T748" s="77">
        <v>0</v>
      </c>
      <c r="U748" s="77">
        <v>0</v>
      </c>
      <c r="V748" s="77">
        <v>114</v>
      </c>
      <c r="W748" s="81" t="s">
        <v>725</v>
      </c>
      <c r="X748" s="77"/>
      <c r="Y748" s="77"/>
      <c r="Z748" s="77" t="s">
        <v>818</v>
      </c>
      <c r="AA748" s="77" t="s">
        <v>845</v>
      </c>
      <c r="AB748" s="77" t="s">
        <v>848</v>
      </c>
      <c r="AC748" s="81" t="s">
        <v>855</v>
      </c>
      <c r="AD748" s="77" t="s">
        <v>859</v>
      </c>
      <c r="AE748" s="83" t="str">
        <f>HYPERLINK("https://twitter.com/fisheyebox/status/1692523300751385033")</f>
        <v>https://twitter.com/fisheyebox/status/1692523300751385033</v>
      </c>
      <c r="AF748" s="79">
        <v>45156.546006944445</v>
      </c>
      <c r="AG748" s="85">
        <v>45156</v>
      </c>
      <c r="AH748" s="81" t="s">
        <v>986</v>
      </c>
      <c r="AI748" s="77" t="b">
        <v>0</v>
      </c>
      <c r="AJ748" s="77"/>
      <c r="AK748" s="77"/>
      <c r="AL748" s="77"/>
      <c r="AM748" s="77"/>
      <c r="AN748" s="77"/>
      <c r="AO748" s="77"/>
      <c r="AP748" s="77"/>
      <c r="AQ748" s="77" t="s">
        <v>1024</v>
      </c>
      <c r="AR748" s="77"/>
      <c r="AS748" s="77"/>
      <c r="AT748" s="77"/>
      <c r="AU748" s="77"/>
      <c r="AV748" s="83" t="str">
        <f>HYPERLINK("https://pbs.twimg.com/media/F30M-PIakAAT_hM.jpg")</f>
        <v>https://pbs.twimg.com/media/F30M-PIakAAT_hM.jpg</v>
      </c>
      <c r="AW748" s="81" t="s">
        <v>1141</v>
      </c>
      <c r="AX748" s="81" t="s">
        <v>1141</v>
      </c>
      <c r="AY748" s="77"/>
      <c r="AZ748" s="81" t="s">
        <v>1190</v>
      </c>
      <c r="BA748" s="81" t="s">
        <v>1190</v>
      </c>
      <c r="BB748" s="81" t="s">
        <v>1190</v>
      </c>
      <c r="BC748" s="81" t="s">
        <v>1141</v>
      </c>
      <c r="BD748" s="77">
        <v>325430154</v>
      </c>
      <c r="BE748" s="77"/>
      <c r="BF748" s="77"/>
      <c r="BG748" s="77"/>
      <c r="BH748" s="77"/>
      <c r="BI748" s="77"/>
      <c r="BJ748">
        <v>2</v>
      </c>
      <c r="BK748" s="76" t="str">
        <f>REPLACE(INDEX(GroupVertices[Group],MATCH(Edges[[#This Row],[Vertex 1]],GroupVertices[Vertex],0)),1,1,"")</f>
        <v>7</v>
      </c>
      <c r="BL748" s="76" t="str">
        <f>REPLACE(INDEX(GroupVertices[Group],MATCH(Edges[[#This Row],[Vertex 2]],GroupVertices[Vertex],0)),1,1,"")</f>
        <v>2</v>
      </c>
      <c r="BM748" s="45">
        <v>1</v>
      </c>
      <c r="BN748" s="46">
        <v>3.8461538461538463</v>
      </c>
      <c r="BO748" s="45">
        <v>1</v>
      </c>
      <c r="BP748" s="46">
        <v>3.8461538461538463</v>
      </c>
      <c r="BQ748" s="45">
        <v>0</v>
      </c>
      <c r="BR748" s="46">
        <v>0</v>
      </c>
      <c r="BS748" s="45">
        <v>19</v>
      </c>
      <c r="BT748" s="46">
        <v>73.07692307692308</v>
      </c>
      <c r="BU748" s="45">
        <v>26</v>
      </c>
    </row>
    <row r="749" spans="1:73" ht="15">
      <c r="A749" s="61" t="s">
        <v>258</v>
      </c>
      <c r="B749" s="61" t="s">
        <v>228</v>
      </c>
      <c r="C749" s="62" t="s">
        <v>11693</v>
      </c>
      <c r="D749" s="63">
        <v>4.4</v>
      </c>
      <c r="E749" s="64" t="s">
        <v>132</v>
      </c>
      <c r="F749" s="65">
        <v>27.6</v>
      </c>
      <c r="G749" s="62"/>
      <c r="H749" s="66"/>
      <c r="I749" s="67"/>
      <c r="J749" s="67"/>
      <c r="K749" s="31" t="s">
        <v>65</v>
      </c>
      <c r="L749" s="75">
        <v>749</v>
      </c>
      <c r="M749" s="75"/>
      <c r="N749" s="69"/>
      <c r="O749" s="77" t="s">
        <v>539</v>
      </c>
      <c r="P749" s="79">
        <v>45161.25696759259</v>
      </c>
      <c r="Q749" s="77" t="s">
        <v>659</v>
      </c>
      <c r="R749" s="77">
        <v>2</v>
      </c>
      <c r="S749" s="77">
        <v>3</v>
      </c>
      <c r="T749" s="77">
        <v>0</v>
      </c>
      <c r="U749" s="77">
        <v>0</v>
      </c>
      <c r="V749" s="77">
        <v>50</v>
      </c>
      <c r="W749" s="81" t="s">
        <v>726</v>
      </c>
      <c r="X749" s="83" t="str">
        <f>HYPERLINK("https://www.linkedin.com/posts/pinakilaskar_ailaw-generativeai-intellectualproperty-activity-7099956740313497600-Rrrw")</f>
        <v>https://www.linkedin.com/posts/pinakilaskar_ailaw-generativeai-intellectualproperty-activity-7099956740313497600-Rrrw</v>
      </c>
      <c r="Y749" s="77" t="s">
        <v>749</v>
      </c>
      <c r="Z749" s="77" t="s">
        <v>808</v>
      </c>
      <c r="AA749" s="77"/>
      <c r="AB749" s="77"/>
      <c r="AC749" s="81" t="s">
        <v>855</v>
      </c>
      <c r="AD749" s="77" t="s">
        <v>867</v>
      </c>
      <c r="AE749" s="83" t="str">
        <f>HYPERLINK("https://twitter.com/fisheyebox/status/1694230497713586501")</f>
        <v>https://twitter.com/fisheyebox/status/1694230497713586501</v>
      </c>
      <c r="AF749" s="79">
        <v>45161.25696759259</v>
      </c>
      <c r="AG749" s="85">
        <v>45161</v>
      </c>
      <c r="AH749" s="81" t="s">
        <v>987</v>
      </c>
      <c r="AI749" s="77" t="b">
        <v>0</v>
      </c>
      <c r="AJ749" s="77"/>
      <c r="AK749" s="77"/>
      <c r="AL749" s="77"/>
      <c r="AM749" s="77"/>
      <c r="AN749" s="77"/>
      <c r="AO749" s="77"/>
      <c r="AP749" s="77"/>
      <c r="AQ749" s="77"/>
      <c r="AR749" s="77"/>
      <c r="AS749" s="77"/>
      <c r="AT749" s="77"/>
      <c r="AU749" s="77"/>
      <c r="AV749" s="83" t="str">
        <f>HYPERLINK("https://pbs.twimg.com/profile_images/1206092231800549376/XVZ2BlIM_normal.jpg")</f>
        <v>https://pbs.twimg.com/profile_images/1206092231800549376/XVZ2BlIM_normal.jpg</v>
      </c>
      <c r="AW749" s="81" t="s">
        <v>1142</v>
      </c>
      <c r="AX749" s="81" t="s">
        <v>1142</v>
      </c>
      <c r="AY749" s="77"/>
      <c r="AZ749" s="81" t="s">
        <v>1190</v>
      </c>
      <c r="BA749" s="81" t="s">
        <v>1190</v>
      </c>
      <c r="BB749" s="81" t="s">
        <v>1190</v>
      </c>
      <c r="BC749" s="81" t="s">
        <v>1142</v>
      </c>
      <c r="BD749" s="77">
        <v>325430154</v>
      </c>
      <c r="BE749" s="77"/>
      <c r="BF749" s="77"/>
      <c r="BG749" s="77"/>
      <c r="BH749" s="77"/>
      <c r="BI749" s="77"/>
      <c r="BJ749">
        <v>2</v>
      </c>
      <c r="BK749" s="76" t="str">
        <f>REPLACE(INDEX(GroupVertices[Group],MATCH(Edges[[#This Row],[Vertex 1]],GroupVertices[Vertex],0)),1,1,"")</f>
        <v>7</v>
      </c>
      <c r="BL749" s="76" t="str">
        <f>REPLACE(INDEX(GroupVertices[Group],MATCH(Edges[[#This Row],[Vertex 2]],GroupVertices[Vertex],0)),1,1,"")</f>
        <v>2</v>
      </c>
      <c r="BM749" s="45">
        <v>0</v>
      </c>
      <c r="BN749" s="46">
        <v>0</v>
      </c>
      <c r="BO749" s="45">
        <v>0</v>
      </c>
      <c r="BP749" s="46">
        <v>0</v>
      </c>
      <c r="BQ749" s="45">
        <v>0</v>
      </c>
      <c r="BR749" s="46">
        <v>0</v>
      </c>
      <c r="BS749" s="45">
        <v>20</v>
      </c>
      <c r="BT749" s="46">
        <v>100</v>
      </c>
      <c r="BU749" s="45">
        <v>20</v>
      </c>
    </row>
    <row r="750" spans="1:73" ht="15">
      <c r="A750" s="61" t="s">
        <v>259</v>
      </c>
      <c r="B750" s="61" t="s">
        <v>492</v>
      </c>
      <c r="C750" s="62" t="s">
        <v>11692</v>
      </c>
      <c r="D750" s="63">
        <v>3</v>
      </c>
      <c r="E750" s="64" t="s">
        <v>132</v>
      </c>
      <c r="F750" s="65">
        <v>32</v>
      </c>
      <c r="G750" s="62"/>
      <c r="H750" s="66"/>
      <c r="I750" s="67"/>
      <c r="J750" s="67"/>
      <c r="K750" s="31" t="s">
        <v>65</v>
      </c>
      <c r="L750" s="75">
        <v>750</v>
      </c>
      <c r="M750" s="75"/>
      <c r="N750" s="69"/>
      <c r="O750" s="77" t="s">
        <v>539</v>
      </c>
      <c r="P750" s="79">
        <v>45139.25664351852</v>
      </c>
      <c r="Q750" s="77" t="s">
        <v>660</v>
      </c>
      <c r="R750" s="77">
        <v>2</v>
      </c>
      <c r="S750" s="77">
        <v>8</v>
      </c>
      <c r="T750" s="77">
        <v>3</v>
      </c>
      <c r="U750" s="77">
        <v>0</v>
      </c>
      <c r="V750" s="77">
        <v>221</v>
      </c>
      <c r="W750" s="81" t="s">
        <v>727</v>
      </c>
      <c r="X750" s="77"/>
      <c r="Y750" s="77"/>
      <c r="Z750" s="77" t="s">
        <v>819</v>
      </c>
      <c r="AA750" s="77" t="s">
        <v>846</v>
      </c>
      <c r="AB750" s="77" t="s">
        <v>848</v>
      </c>
      <c r="AC750" s="81" t="s">
        <v>855</v>
      </c>
      <c r="AD750" s="77" t="s">
        <v>859</v>
      </c>
      <c r="AE750" s="83" t="str">
        <f>HYPERLINK("https://twitter.com/michaelbathurst/status/1686257845048590336")</f>
        <v>https://twitter.com/michaelbathurst/status/1686257845048590336</v>
      </c>
      <c r="AF750" s="79">
        <v>45139.25664351852</v>
      </c>
      <c r="AG750" s="85">
        <v>45139</v>
      </c>
      <c r="AH750" s="81" t="s">
        <v>988</v>
      </c>
      <c r="AI750" s="77" t="b">
        <v>0</v>
      </c>
      <c r="AJ750" s="77"/>
      <c r="AK750" s="77"/>
      <c r="AL750" s="77"/>
      <c r="AM750" s="77"/>
      <c r="AN750" s="77"/>
      <c r="AO750" s="77"/>
      <c r="AP750" s="77"/>
      <c r="AQ750" s="77" t="s">
        <v>1025</v>
      </c>
      <c r="AR750" s="77"/>
      <c r="AS750" s="77"/>
      <c r="AT750" s="77"/>
      <c r="AU750" s="77"/>
      <c r="AV750" s="83" t="str">
        <f>HYPERLINK("https://pbs.twimg.com/media/F2bKkr2WQAA2v5-.jpg")</f>
        <v>https://pbs.twimg.com/media/F2bKkr2WQAA2v5-.jpg</v>
      </c>
      <c r="AW750" s="81" t="s">
        <v>1143</v>
      </c>
      <c r="AX750" s="81" t="s">
        <v>1143</v>
      </c>
      <c r="AY750" s="77"/>
      <c r="AZ750" s="81" t="s">
        <v>1190</v>
      </c>
      <c r="BA750" s="81" t="s">
        <v>1190</v>
      </c>
      <c r="BB750" s="81" t="s">
        <v>1190</v>
      </c>
      <c r="BC750" s="81" t="s">
        <v>1143</v>
      </c>
      <c r="BD750" s="77">
        <v>37188645</v>
      </c>
      <c r="BE750" s="77"/>
      <c r="BF750" s="77"/>
      <c r="BG750" s="77"/>
      <c r="BH750" s="77"/>
      <c r="BI750" s="77"/>
      <c r="BJ750">
        <v>1</v>
      </c>
      <c r="BK750" s="76" t="str">
        <f>REPLACE(INDEX(GroupVertices[Group],MATCH(Edges[[#This Row],[Vertex 1]],GroupVertices[Vertex],0)),1,1,"")</f>
        <v>8</v>
      </c>
      <c r="BL750" s="76" t="str">
        <f>REPLACE(INDEX(GroupVertices[Group],MATCH(Edges[[#This Row],[Vertex 2]],GroupVertices[Vertex],0)),1,1,"")</f>
        <v>8</v>
      </c>
      <c r="BM750" s="45"/>
      <c r="BN750" s="46"/>
      <c r="BO750" s="45"/>
      <c r="BP750" s="46"/>
      <c r="BQ750" s="45"/>
      <c r="BR750" s="46"/>
      <c r="BS750" s="45"/>
      <c r="BT750" s="46"/>
      <c r="BU750" s="45"/>
    </row>
    <row r="751" spans="1:73" ht="15">
      <c r="A751" s="61" t="s">
        <v>260</v>
      </c>
      <c r="B751" s="61" t="s">
        <v>492</v>
      </c>
      <c r="C751" s="62" t="s">
        <v>11692</v>
      </c>
      <c r="D751" s="63">
        <v>3</v>
      </c>
      <c r="E751" s="64" t="s">
        <v>132</v>
      </c>
      <c r="F751" s="65">
        <v>32</v>
      </c>
      <c r="G751" s="62"/>
      <c r="H751" s="66"/>
      <c r="I751" s="67"/>
      <c r="J751" s="67"/>
      <c r="K751" s="31" t="s">
        <v>65</v>
      </c>
      <c r="L751" s="75">
        <v>751</v>
      </c>
      <c r="M751" s="75"/>
      <c r="N751" s="69"/>
      <c r="O751" s="77" t="s">
        <v>543</v>
      </c>
      <c r="P751" s="79">
        <v>45140.292337962965</v>
      </c>
      <c r="Q751" s="77" t="s">
        <v>661</v>
      </c>
      <c r="R751" s="77">
        <v>0</v>
      </c>
      <c r="S751" s="77">
        <v>0</v>
      </c>
      <c r="T751" s="77">
        <v>1</v>
      </c>
      <c r="U751" s="77">
        <v>0</v>
      </c>
      <c r="V751" s="77">
        <v>45</v>
      </c>
      <c r="W751" s="77"/>
      <c r="X751" s="77"/>
      <c r="Y751" s="77"/>
      <c r="Z751" s="77" t="s">
        <v>820</v>
      </c>
      <c r="AA751" s="77" t="s">
        <v>847</v>
      </c>
      <c r="AB751" s="77" t="s">
        <v>848</v>
      </c>
      <c r="AC751" s="81" t="s">
        <v>855</v>
      </c>
      <c r="AD751" s="77" t="s">
        <v>859</v>
      </c>
      <c r="AE751" s="83" t="str">
        <f>HYPERLINK("https://twitter.com/sunflwrgirl2/status/1686633170177802240")</f>
        <v>https://twitter.com/sunflwrgirl2/status/1686633170177802240</v>
      </c>
      <c r="AF751" s="79">
        <v>45140.292337962965</v>
      </c>
      <c r="AG751" s="85">
        <v>45140</v>
      </c>
      <c r="AH751" s="81" t="s">
        <v>989</v>
      </c>
      <c r="AI751" s="77" t="b">
        <v>0</v>
      </c>
      <c r="AJ751" s="77"/>
      <c r="AK751" s="77"/>
      <c r="AL751" s="77"/>
      <c r="AM751" s="77"/>
      <c r="AN751" s="77"/>
      <c r="AO751" s="77"/>
      <c r="AP751" s="77"/>
      <c r="AQ751" s="77" t="s">
        <v>1026</v>
      </c>
      <c r="AR751" s="77"/>
      <c r="AS751" s="77"/>
      <c r="AT751" s="77"/>
      <c r="AU751" s="77"/>
      <c r="AV751" s="83" t="str">
        <f>HYPERLINK("https://pbs.twimg.com/media/F2gf7icWEAAFH14.jpg")</f>
        <v>https://pbs.twimg.com/media/F2gf7icWEAAFH14.jpg</v>
      </c>
      <c r="AW751" s="81" t="s">
        <v>1144</v>
      </c>
      <c r="AX751" s="81" t="s">
        <v>1143</v>
      </c>
      <c r="AY751" s="81" t="s">
        <v>1188</v>
      </c>
      <c r="AZ751" s="81" t="s">
        <v>1143</v>
      </c>
      <c r="BA751" s="81" t="s">
        <v>1190</v>
      </c>
      <c r="BB751" s="81" t="s">
        <v>1190</v>
      </c>
      <c r="BC751" s="81" t="s">
        <v>1143</v>
      </c>
      <c r="BD751" s="81" t="s">
        <v>1181</v>
      </c>
      <c r="BE751" s="77"/>
      <c r="BF751" s="77"/>
      <c r="BG751" s="77"/>
      <c r="BH751" s="77"/>
      <c r="BI751" s="77"/>
      <c r="BJ751">
        <v>1</v>
      </c>
      <c r="BK751" s="76" t="str">
        <f>REPLACE(INDEX(GroupVertices[Group],MATCH(Edges[[#This Row],[Vertex 1]],GroupVertices[Vertex],0)),1,1,"")</f>
        <v>8</v>
      </c>
      <c r="BL751" s="76" t="str">
        <f>REPLACE(INDEX(GroupVertices[Group],MATCH(Edges[[#This Row],[Vertex 2]],GroupVertices[Vertex],0)),1,1,"")</f>
        <v>8</v>
      </c>
      <c r="BM751" s="45"/>
      <c r="BN751" s="46"/>
      <c r="BO751" s="45"/>
      <c r="BP751" s="46"/>
      <c r="BQ751" s="45"/>
      <c r="BR751" s="46"/>
      <c r="BS751" s="45"/>
      <c r="BT751" s="46"/>
      <c r="BU751" s="45"/>
    </row>
    <row r="752" spans="1:73" ht="15">
      <c r="A752" s="61" t="s">
        <v>261</v>
      </c>
      <c r="B752" s="61" t="s">
        <v>492</v>
      </c>
      <c r="C752" s="62" t="s">
        <v>11692</v>
      </c>
      <c r="D752" s="63">
        <v>3</v>
      </c>
      <c r="E752" s="64" t="s">
        <v>132</v>
      </c>
      <c r="F752" s="65">
        <v>32</v>
      </c>
      <c r="G752" s="62"/>
      <c r="H752" s="66"/>
      <c r="I752" s="67"/>
      <c r="J752" s="67"/>
      <c r="K752" s="31" t="s">
        <v>65</v>
      </c>
      <c r="L752" s="75">
        <v>752</v>
      </c>
      <c r="M752" s="75"/>
      <c r="N752" s="69"/>
      <c r="O752" s="77" t="s">
        <v>543</v>
      </c>
      <c r="P752" s="79">
        <v>45140.187789351854</v>
      </c>
      <c r="Q752" s="77" t="s">
        <v>662</v>
      </c>
      <c r="R752" s="77">
        <v>1</v>
      </c>
      <c r="S752" s="77">
        <v>2</v>
      </c>
      <c r="T752" s="77">
        <v>0</v>
      </c>
      <c r="U752" s="77">
        <v>0</v>
      </c>
      <c r="V752" s="77">
        <v>93</v>
      </c>
      <c r="W752" s="77"/>
      <c r="X752" s="77"/>
      <c r="Y752" s="77"/>
      <c r="Z752" s="77" t="s">
        <v>821</v>
      </c>
      <c r="AA752" s="77"/>
      <c r="AB752" s="77"/>
      <c r="AC752" s="81" t="s">
        <v>857</v>
      </c>
      <c r="AD752" s="77" t="s">
        <v>859</v>
      </c>
      <c r="AE752" s="83" t="str">
        <f>HYPERLINK("https://twitter.com/chrisgalesmusic/status/1686595281305948160")</f>
        <v>https://twitter.com/chrisgalesmusic/status/1686595281305948160</v>
      </c>
      <c r="AF752" s="79">
        <v>45140.187789351854</v>
      </c>
      <c r="AG752" s="85">
        <v>45140</v>
      </c>
      <c r="AH752" s="81" t="s">
        <v>990</v>
      </c>
      <c r="AI752" s="77"/>
      <c r="AJ752" s="77"/>
      <c r="AK752" s="77"/>
      <c r="AL752" s="77"/>
      <c r="AM752" s="77"/>
      <c r="AN752" s="77"/>
      <c r="AO752" s="77"/>
      <c r="AP752" s="77"/>
      <c r="AQ752" s="77"/>
      <c r="AR752" s="77"/>
      <c r="AS752" s="77"/>
      <c r="AT752" s="77"/>
      <c r="AU752" s="77"/>
      <c r="AV752" s="83" t="str">
        <f>HYPERLINK("https://pbs.twimg.com/profile_images/1646618443414745088/svPKHtn1_normal.jpg")</f>
        <v>https://pbs.twimg.com/profile_images/1646618443414745088/svPKHtn1_normal.jpg</v>
      </c>
      <c r="AW752" s="81" t="s">
        <v>1145</v>
      </c>
      <c r="AX752" s="81" t="s">
        <v>1143</v>
      </c>
      <c r="AY752" s="81" t="s">
        <v>1188</v>
      </c>
      <c r="AZ752" s="81" t="s">
        <v>1143</v>
      </c>
      <c r="BA752" s="81" t="s">
        <v>1190</v>
      </c>
      <c r="BB752" s="81" t="s">
        <v>1190</v>
      </c>
      <c r="BC752" s="81" t="s">
        <v>1143</v>
      </c>
      <c r="BD752" s="77">
        <v>72464113</v>
      </c>
      <c r="BE752" s="77"/>
      <c r="BF752" s="77"/>
      <c r="BG752" s="77"/>
      <c r="BH752" s="77"/>
      <c r="BI752" s="77"/>
      <c r="BJ752">
        <v>1</v>
      </c>
      <c r="BK752" s="76" t="str">
        <f>REPLACE(INDEX(GroupVertices[Group],MATCH(Edges[[#This Row],[Vertex 1]],GroupVertices[Vertex],0)),1,1,"")</f>
        <v>8</v>
      </c>
      <c r="BL752" s="76" t="str">
        <f>REPLACE(INDEX(GroupVertices[Group],MATCH(Edges[[#This Row],[Vertex 2]],GroupVertices[Vertex],0)),1,1,"")</f>
        <v>8</v>
      </c>
      <c r="BM752" s="45"/>
      <c r="BN752" s="46"/>
      <c r="BO752" s="45"/>
      <c r="BP752" s="46"/>
      <c r="BQ752" s="45"/>
      <c r="BR752" s="46"/>
      <c r="BS752" s="45"/>
      <c r="BT752" s="46"/>
      <c r="BU752" s="45"/>
    </row>
    <row r="753" spans="1:73" ht="15">
      <c r="A753" s="61" t="s">
        <v>262</v>
      </c>
      <c r="B753" s="61" t="s">
        <v>492</v>
      </c>
      <c r="C753" s="62" t="s">
        <v>11692</v>
      </c>
      <c r="D753" s="63">
        <v>3</v>
      </c>
      <c r="E753" s="64" t="s">
        <v>132</v>
      </c>
      <c r="F753" s="65">
        <v>32</v>
      </c>
      <c r="G753" s="62"/>
      <c r="H753" s="66"/>
      <c r="I753" s="67"/>
      <c r="J753" s="67"/>
      <c r="K753" s="31" t="s">
        <v>65</v>
      </c>
      <c r="L753" s="75">
        <v>753</v>
      </c>
      <c r="M753" s="75"/>
      <c r="N753" s="69"/>
      <c r="O753" s="77" t="s">
        <v>543</v>
      </c>
      <c r="P753" s="79">
        <v>45140.588055555556</v>
      </c>
      <c r="Q753" s="77" t="s">
        <v>663</v>
      </c>
      <c r="R753" s="77">
        <v>0</v>
      </c>
      <c r="S753" s="77">
        <v>2</v>
      </c>
      <c r="T753" s="77">
        <v>0</v>
      </c>
      <c r="U753" s="77">
        <v>0</v>
      </c>
      <c r="V753" s="77">
        <v>55</v>
      </c>
      <c r="W753" s="77"/>
      <c r="X753" s="77"/>
      <c r="Y753" s="77"/>
      <c r="Z753" s="77" t="s">
        <v>822</v>
      </c>
      <c r="AA753" s="77"/>
      <c r="AB753" s="77"/>
      <c r="AC753" s="81" t="s">
        <v>857</v>
      </c>
      <c r="AD753" s="77" t="s">
        <v>859</v>
      </c>
      <c r="AE753" s="83" t="str">
        <f>HYPERLINK("https://twitter.com/chrismontmusic/status/1686740332401078274")</f>
        <v>https://twitter.com/chrismontmusic/status/1686740332401078274</v>
      </c>
      <c r="AF753" s="79">
        <v>45140.588055555556</v>
      </c>
      <c r="AG753" s="85">
        <v>45140</v>
      </c>
      <c r="AH753" s="81" t="s">
        <v>991</v>
      </c>
      <c r="AI753" s="77"/>
      <c r="AJ753" s="77"/>
      <c r="AK753" s="77"/>
      <c r="AL753" s="77"/>
      <c r="AM753" s="77"/>
      <c r="AN753" s="77"/>
      <c r="AO753" s="77"/>
      <c r="AP753" s="77"/>
      <c r="AQ753" s="77"/>
      <c r="AR753" s="77"/>
      <c r="AS753" s="77"/>
      <c r="AT753" s="77"/>
      <c r="AU753" s="77"/>
      <c r="AV753" s="83" t="str">
        <f>HYPERLINK("https://pbs.twimg.com/profile_images/1700212395728060416/FLrANnNz_normal.jpg")</f>
        <v>https://pbs.twimg.com/profile_images/1700212395728060416/FLrANnNz_normal.jpg</v>
      </c>
      <c r="AW753" s="81" t="s">
        <v>1146</v>
      </c>
      <c r="AX753" s="81" t="s">
        <v>1143</v>
      </c>
      <c r="AY753" s="81" t="s">
        <v>1188</v>
      </c>
      <c r="AZ753" s="81" t="s">
        <v>1143</v>
      </c>
      <c r="BA753" s="81" t="s">
        <v>1190</v>
      </c>
      <c r="BB753" s="81" t="s">
        <v>1190</v>
      </c>
      <c r="BC753" s="81" t="s">
        <v>1143</v>
      </c>
      <c r="BD753" s="77">
        <v>16423356</v>
      </c>
      <c r="BE753" s="77"/>
      <c r="BF753" s="77"/>
      <c r="BG753" s="77"/>
      <c r="BH753" s="77"/>
      <c r="BI753" s="77"/>
      <c r="BJ753">
        <v>1</v>
      </c>
      <c r="BK753" s="76" t="str">
        <f>REPLACE(INDEX(GroupVertices[Group],MATCH(Edges[[#This Row],[Vertex 1]],GroupVertices[Vertex],0)),1,1,"")</f>
        <v>8</v>
      </c>
      <c r="BL753" s="76" t="str">
        <f>REPLACE(INDEX(GroupVertices[Group],MATCH(Edges[[#This Row],[Vertex 2]],GroupVertices[Vertex],0)),1,1,"")</f>
        <v>8</v>
      </c>
      <c r="BM753" s="45"/>
      <c r="BN753" s="46"/>
      <c r="BO753" s="45"/>
      <c r="BP753" s="46"/>
      <c r="BQ753" s="45"/>
      <c r="BR753" s="46"/>
      <c r="BS753" s="45"/>
      <c r="BT753" s="46"/>
      <c r="BU753" s="45"/>
    </row>
    <row r="754" spans="1:73" ht="15">
      <c r="A754" s="61" t="s">
        <v>259</v>
      </c>
      <c r="B754" s="61" t="s">
        <v>261</v>
      </c>
      <c r="C754" s="62" t="s">
        <v>11692</v>
      </c>
      <c r="D754" s="63">
        <v>3</v>
      </c>
      <c r="E754" s="64" t="s">
        <v>132</v>
      </c>
      <c r="F754" s="65">
        <v>32</v>
      </c>
      <c r="G754" s="62"/>
      <c r="H754" s="66"/>
      <c r="I754" s="67"/>
      <c r="J754" s="67"/>
      <c r="K754" s="31" t="s">
        <v>66</v>
      </c>
      <c r="L754" s="75">
        <v>754</v>
      </c>
      <c r="M754" s="75"/>
      <c r="N754" s="69"/>
      <c r="O754" s="77" t="s">
        <v>539</v>
      </c>
      <c r="P754" s="79">
        <v>45139.25664351852</v>
      </c>
      <c r="Q754" s="77" t="s">
        <v>660</v>
      </c>
      <c r="R754" s="77">
        <v>2</v>
      </c>
      <c r="S754" s="77">
        <v>8</v>
      </c>
      <c r="T754" s="77">
        <v>3</v>
      </c>
      <c r="U754" s="77">
        <v>0</v>
      </c>
      <c r="V754" s="77">
        <v>221</v>
      </c>
      <c r="W754" s="81" t="s">
        <v>727</v>
      </c>
      <c r="X754" s="77"/>
      <c r="Y754" s="77"/>
      <c r="Z754" s="77" t="s">
        <v>819</v>
      </c>
      <c r="AA754" s="77" t="s">
        <v>846</v>
      </c>
      <c r="AB754" s="77" t="s">
        <v>848</v>
      </c>
      <c r="AC754" s="81" t="s">
        <v>855</v>
      </c>
      <c r="AD754" s="77" t="s">
        <v>859</v>
      </c>
      <c r="AE754" s="83" t="str">
        <f>HYPERLINK("https://twitter.com/michaelbathurst/status/1686257845048590336")</f>
        <v>https://twitter.com/michaelbathurst/status/1686257845048590336</v>
      </c>
      <c r="AF754" s="79">
        <v>45139.25664351852</v>
      </c>
      <c r="AG754" s="85">
        <v>45139</v>
      </c>
      <c r="AH754" s="81" t="s">
        <v>988</v>
      </c>
      <c r="AI754" s="77" t="b">
        <v>0</v>
      </c>
      <c r="AJ754" s="77"/>
      <c r="AK754" s="77"/>
      <c r="AL754" s="77"/>
      <c r="AM754" s="77"/>
      <c r="AN754" s="77"/>
      <c r="AO754" s="77"/>
      <c r="AP754" s="77"/>
      <c r="AQ754" s="77" t="s">
        <v>1025</v>
      </c>
      <c r="AR754" s="77"/>
      <c r="AS754" s="77"/>
      <c r="AT754" s="77"/>
      <c r="AU754" s="77"/>
      <c r="AV754" s="83" t="str">
        <f>HYPERLINK("https://pbs.twimg.com/media/F2bKkr2WQAA2v5-.jpg")</f>
        <v>https://pbs.twimg.com/media/F2bKkr2WQAA2v5-.jpg</v>
      </c>
      <c r="AW754" s="81" t="s">
        <v>1143</v>
      </c>
      <c r="AX754" s="81" t="s">
        <v>1143</v>
      </c>
      <c r="AY754" s="77"/>
      <c r="AZ754" s="81" t="s">
        <v>1190</v>
      </c>
      <c r="BA754" s="81" t="s">
        <v>1190</v>
      </c>
      <c r="BB754" s="81" t="s">
        <v>1190</v>
      </c>
      <c r="BC754" s="81" t="s">
        <v>1143</v>
      </c>
      <c r="BD754" s="77">
        <v>37188645</v>
      </c>
      <c r="BE754" s="77"/>
      <c r="BF754" s="77"/>
      <c r="BG754" s="77"/>
      <c r="BH754" s="77"/>
      <c r="BI754" s="77"/>
      <c r="BJ754">
        <v>1</v>
      </c>
      <c r="BK754" s="76" t="str">
        <f>REPLACE(INDEX(GroupVertices[Group],MATCH(Edges[[#This Row],[Vertex 1]],GroupVertices[Vertex],0)),1,1,"")</f>
        <v>8</v>
      </c>
      <c r="BL754" s="76" t="str">
        <f>REPLACE(INDEX(GroupVertices[Group],MATCH(Edges[[#This Row],[Vertex 2]],GroupVertices[Vertex],0)),1,1,"")</f>
        <v>8</v>
      </c>
      <c r="BM754" s="45"/>
      <c r="BN754" s="46"/>
      <c r="BO754" s="45"/>
      <c r="BP754" s="46"/>
      <c r="BQ754" s="45"/>
      <c r="BR754" s="46"/>
      <c r="BS754" s="45"/>
      <c r="BT754" s="46"/>
      <c r="BU754" s="45"/>
    </row>
    <row r="755" spans="1:73" ht="15">
      <c r="A755" s="61" t="s">
        <v>260</v>
      </c>
      <c r="B755" s="61" t="s">
        <v>261</v>
      </c>
      <c r="C755" s="62" t="s">
        <v>11692</v>
      </c>
      <c r="D755" s="63">
        <v>3</v>
      </c>
      <c r="E755" s="64" t="s">
        <v>132</v>
      </c>
      <c r="F755" s="65">
        <v>32</v>
      </c>
      <c r="G755" s="62"/>
      <c r="H755" s="66"/>
      <c r="I755" s="67"/>
      <c r="J755" s="67"/>
      <c r="K755" s="31" t="s">
        <v>66</v>
      </c>
      <c r="L755" s="75">
        <v>755</v>
      </c>
      <c r="M755" s="75"/>
      <c r="N755" s="69"/>
      <c r="O755" s="77" t="s">
        <v>543</v>
      </c>
      <c r="P755" s="79">
        <v>45140.292337962965</v>
      </c>
      <c r="Q755" s="77" t="s">
        <v>661</v>
      </c>
      <c r="R755" s="77">
        <v>0</v>
      </c>
      <c r="S755" s="77">
        <v>0</v>
      </c>
      <c r="T755" s="77">
        <v>1</v>
      </c>
      <c r="U755" s="77">
        <v>0</v>
      </c>
      <c r="V755" s="77">
        <v>45</v>
      </c>
      <c r="W755" s="77"/>
      <c r="X755" s="77"/>
      <c r="Y755" s="77"/>
      <c r="Z755" s="77" t="s">
        <v>820</v>
      </c>
      <c r="AA755" s="77" t="s">
        <v>847</v>
      </c>
      <c r="AB755" s="77" t="s">
        <v>848</v>
      </c>
      <c r="AC755" s="81" t="s">
        <v>855</v>
      </c>
      <c r="AD755" s="77" t="s">
        <v>859</v>
      </c>
      <c r="AE755" s="83" t="str">
        <f>HYPERLINK("https://twitter.com/sunflwrgirl2/status/1686633170177802240")</f>
        <v>https://twitter.com/sunflwrgirl2/status/1686633170177802240</v>
      </c>
      <c r="AF755" s="79">
        <v>45140.292337962965</v>
      </c>
      <c r="AG755" s="85">
        <v>45140</v>
      </c>
      <c r="AH755" s="81" t="s">
        <v>989</v>
      </c>
      <c r="AI755" s="77" t="b">
        <v>0</v>
      </c>
      <c r="AJ755" s="77"/>
      <c r="AK755" s="77"/>
      <c r="AL755" s="77"/>
      <c r="AM755" s="77"/>
      <c r="AN755" s="77"/>
      <c r="AO755" s="77"/>
      <c r="AP755" s="77"/>
      <c r="AQ755" s="77" t="s">
        <v>1026</v>
      </c>
      <c r="AR755" s="77"/>
      <c r="AS755" s="77"/>
      <c r="AT755" s="77"/>
      <c r="AU755" s="77"/>
      <c r="AV755" s="83" t="str">
        <f>HYPERLINK("https://pbs.twimg.com/media/F2gf7icWEAAFH14.jpg")</f>
        <v>https://pbs.twimg.com/media/F2gf7icWEAAFH14.jpg</v>
      </c>
      <c r="AW755" s="81" t="s">
        <v>1144</v>
      </c>
      <c r="AX755" s="81" t="s">
        <v>1143</v>
      </c>
      <c r="AY755" s="81" t="s">
        <v>1188</v>
      </c>
      <c r="AZ755" s="81" t="s">
        <v>1143</v>
      </c>
      <c r="BA755" s="81" t="s">
        <v>1190</v>
      </c>
      <c r="BB755" s="81" t="s">
        <v>1190</v>
      </c>
      <c r="BC755" s="81" t="s">
        <v>1143</v>
      </c>
      <c r="BD755" s="81" t="s">
        <v>1181</v>
      </c>
      <c r="BE755" s="77"/>
      <c r="BF755" s="77"/>
      <c r="BG755" s="77"/>
      <c r="BH755" s="77"/>
      <c r="BI755" s="77"/>
      <c r="BJ755">
        <v>1</v>
      </c>
      <c r="BK755" s="76" t="str">
        <f>REPLACE(INDEX(GroupVertices[Group],MATCH(Edges[[#This Row],[Vertex 1]],GroupVertices[Vertex],0)),1,1,"")</f>
        <v>8</v>
      </c>
      <c r="BL755" s="76" t="str">
        <f>REPLACE(INDEX(GroupVertices[Group],MATCH(Edges[[#This Row],[Vertex 2]],GroupVertices[Vertex],0)),1,1,"")</f>
        <v>8</v>
      </c>
      <c r="BM755" s="45"/>
      <c r="BN755" s="46"/>
      <c r="BO755" s="45"/>
      <c r="BP755" s="46"/>
      <c r="BQ755" s="45"/>
      <c r="BR755" s="46"/>
      <c r="BS755" s="45"/>
      <c r="BT755" s="46"/>
      <c r="BU755" s="45"/>
    </row>
    <row r="756" spans="1:73" ht="15">
      <c r="A756" s="61" t="s">
        <v>261</v>
      </c>
      <c r="B756" s="61" t="s">
        <v>259</v>
      </c>
      <c r="C756" s="62" t="s">
        <v>11692</v>
      </c>
      <c r="D756" s="63">
        <v>3</v>
      </c>
      <c r="E756" s="64" t="s">
        <v>132</v>
      </c>
      <c r="F756" s="65">
        <v>32</v>
      </c>
      <c r="G756" s="62"/>
      <c r="H756" s="66"/>
      <c r="I756" s="67"/>
      <c r="J756" s="67"/>
      <c r="K756" s="31" t="s">
        <v>66</v>
      </c>
      <c r="L756" s="75">
        <v>756</v>
      </c>
      <c r="M756" s="75"/>
      <c r="N756" s="69"/>
      <c r="O756" s="77" t="s">
        <v>543</v>
      </c>
      <c r="P756" s="79">
        <v>45140.187789351854</v>
      </c>
      <c r="Q756" s="77" t="s">
        <v>662</v>
      </c>
      <c r="R756" s="77">
        <v>1</v>
      </c>
      <c r="S756" s="77">
        <v>2</v>
      </c>
      <c r="T756" s="77">
        <v>0</v>
      </c>
      <c r="U756" s="77">
        <v>0</v>
      </c>
      <c r="V756" s="77">
        <v>93</v>
      </c>
      <c r="W756" s="77"/>
      <c r="X756" s="77"/>
      <c r="Y756" s="77"/>
      <c r="Z756" s="77" t="s">
        <v>821</v>
      </c>
      <c r="AA756" s="77"/>
      <c r="AB756" s="77"/>
      <c r="AC756" s="81" t="s">
        <v>857</v>
      </c>
      <c r="AD756" s="77" t="s">
        <v>859</v>
      </c>
      <c r="AE756" s="83" t="str">
        <f>HYPERLINK("https://twitter.com/chrisgalesmusic/status/1686595281305948160")</f>
        <v>https://twitter.com/chrisgalesmusic/status/1686595281305948160</v>
      </c>
      <c r="AF756" s="79">
        <v>45140.187789351854</v>
      </c>
      <c r="AG756" s="85">
        <v>45140</v>
      </c>
      <c r="AH756" s="81" t="s">
        <v>990</v>
      </c>
      <c r="AI756" s="77"/>
      <c r="AJ756" s="77"/>
      <c r="AK756" s="77"/>
      <c r="AL756" s="77"/>
      <c r="AM756" s="77"/>
      <c r="AN756" s="77"/>
      <c r="AO756" s="77"/>
      <c r="AP756" s="77"/>
      <c r="AQ756" s="77"/>
      <c r="AR756" s="77"/>
      <c r="AS756" s="77"/>
      <c r="AT756" s="77"/>
      <c r="AU756" s="77"/>
      <c r="AV756" s="83" t="str">
        <f>HYPERLINK("https://pbs.twimg.com/profile_images/1646618443414745088/svPKHtn1_normal.jpg")</f>
        <v>https://pbs.twimg.com/profile_images/1646618443414745088/svPKHtn1_normal.jpg</v>
      </c>
      <c r="AW756" s="81" t="s">
        <v>1145</v>
      </c>
      <c r="AX756" s="81" t="s">
        <v>1143</v>
      </c>
      <c r="AY756" s="81" t="s">
        <v>1188</v>
      </c>
      <c r="AZ756" s="81" t="s">
        <v>1143</v>
      </c>
      <c r="BA756" s="81" t="s">
        <v>1190</v>
      </c>
      <c r="BB756" s="81" t="s">
        <v>1190</v>
      </c>
      <c r="BC756" s="81" t="s">
        <v>1143</v>
      </c>
      <c r="BD756" s="77">
        <v>72464113</v>
      </c>
      <c r="BE756" s="77"/>
      <c r="BF756" s="77"/>
      <c r="BG756" s="77"/>
      <c r="BH756" s="77"/>
      <c r="BI756" s="77"/>
      <c r="BJ756">
        <v>1</v>
      </c>
      <c r="BK756" s="76" t="str">
        <f>REPLACE(INDEX(GroupVertices[Group],MATCH(Edges[[#This Row],[Vertex 1]],GroupVertices[Vertex],0)),1,1,"")</f>
        <v>8</v>
      </c>
      <c r="BL756" s="76" t="str">
        <f>REPLACE(INDEX(GroupVertices[Group],MATCH(Edges[[#This Row],[Vertex 2]],GroupVertices[Vertex],0)),1,1,"")</f>
        <v>8</v>
      </c>
      <c r="BM756" s="45"/>
      <c r="BN756" s="46"/>
      <c r="BO756" s="45"/>
      <c r="BP756" s="46"/>
      <c r="BQ756" s="45"/>
      <c r="BR756" s="46"/>
      <c r="BS756" s="45"/>
      <c r="BT756" s="46"/>
      <c r="BU756" s="45"/>
    </row>
    <row r="757" spans="1:73" ht="15">
      <c r="A757" s="61" t="s">
        <v>261</v>
      </c>
      <c r="B757" s="61" t="s">
        <v>262</v>
      </c>
      <c r="C757" s="62" t="s">
        <v>11692</v>
      </c>
      <c r="D757" s="63">
        <v>3</v>
      </c>
      <c r="E757" s="64" t="s">
        <v>132</v>
      </c>
      <c r="F757" s="65">
        <v>32</v>
      </c>
      <c r="G757" s="62"/>
      <c r="H757" s="66"/>
      <c r="I757" s="67"/>
      <c r="J757" s="67"/>
      <c r="K757" s="31" t="s">
        <v>66</v>
      </c>
      <c r="L757" s="75">
        <v>757</v>
      </c>
      <c r="M757" s="75"/>
      <c r="N757" s="69"/>
      <c r="O757" s="77" t="s">
        <v>543</v>
      </c>
      <c r="P757" s="79">
        <v>45140.187789351854</v>
      </c>
      <c r="Q757" s="77" t="s">
        <v>662</v>
      </c>
      <c r="R757" s="77">
        <v>1</v>
      </c>
      <c r="S757" s="77">
        <v>2</v>
      </c>
      <c r="T757" s="77">
        <v>0</v>
      </c>
      <c r="U757" s="77">
        <v>0</v>
      </c>
      <c r="V757" s="77">
        <v>93</v>
      </c>
      <c r="W757" s="77"/>
      <c r="X757" s="77"/>
      <c r="Y757" s="77"/>
      <c r="Z757" s="77" t="s">
        <v>821</v>
      </c>
      <c r="AA757" s="77"/>
      <c r="AB757" s="77"/>
      <c r="AC757" s="81" t="s">
        <v>857</v>
      </c>
      <c r="AD757" s="77" t="s">
        <v>859</v>
      </c>
      <c r="AE757" s="83" t="str">
        <f>HYPERLINK("https://twitter.com/chrisgalesmusic/status/1686595281305948160")</f>
        <v>https://twitter.com/chrisgalesmusic/status/1686595281305948160</v>
      </c>
      <c r="AF757" s="79">
        <v>45140.187789351854</v>
      </c>
      <c r="AG757" s="85">
        <v>45140</v>
      </c>
      <c r="AH757" s="81" t="s">
        <v>990</v>
      </c>
      <c r="AI757" s="77"/>
      <c r="AJ757" s="77"/>
      <c r="AK757" s="77"/>
      <c r="AL757" s="77"/>
      <c r="AM757" s="77"/>
      <c r="AN757" s="77"/>
      <c r="AO757" s="77"/>
      <c r="AP757" s="77"/>
      <c r="AQ757" s="77"/>
      <c r="AR757" s="77"/>
      <c r="AS757" s="77"/>
      <c r="AT757" s="77"/>
      <c r="AU757" s="77"/>
      <c r="AV757" s="83" t="str">
        <f>HYPERLINK("https://pbs.twimg.com/profile_images/1646618443414745088/svPKHtn1_normal.jpg")</f>
        <v>https://pbs.twimg.com/profile_images/1646618443414745088/svPKHtn1_normal.jpg</v>
      </c>
      <c r="AW757" s="81" t="s">
        <v>1145</v>
      </c>
      <c r="AX757" s="81" t="s">
        <v>1143</v>
      </c>
      <c r="AY757" s="81" t="s">
        <v>1188</v>
      </c>
      <c r="AZ757" s="81" t="s">
        <v>1143</v>
      </c>
      <c r="BA757" s="81" t="s">
        <v>1190</v>
      </c>
      <c r="BB757" s="81" t="s">
        <v>1190</v>
      </c>
      <c r="BC757" s="81" t="s">
        <v>1143</v>
      </c>
      <c r="BD757" s="77">
        <v>72464113</v>
      </c>
      <c r="BE757" s="77"/>
      <c r="BF757" s="77"/>
      <c r="BG757" s="77"/>
      <c r="BH757" s="77"/>
      <c r="BI757" s="77"/>
      <c r="BJ757">
        <v>1</v>
      </c>
      <c r="BK757" s="76" t="str">
        <f>REPLACE(INDEX(GroupVertices[Group],MATCH(Edges[[#This Row],[Vertex 1]],GroupVertices[Vertex],0)),1,1,"")</f>
        <v>8</v>
      </c>
      <c r="BL757" s="76" t="str">
        <f>REPLACE(INDEX(GroupVertices[Group],MATCH(Edges[[#This Row],[Vertex 2]],GroupVertices[Vertex],0)),1,1,"")</f>
        <v>8</v>
      </c>
      <c r="BM757" s="45"/>
      <c r="BN757" s="46"/>
      <c r="BO757" s="45"/>
      <c r="BP757" s="46"/>
      <c r="BQ757" s="45"/>
      <c r="BR757" s="46"/>
      <c r="BS757" s="45"/>
      <c r="BT757" s="46"/>
      <c r="BU757" s="45"/>
    </row>
    <row r="758" spans="1:73" ht="15">
      <c r="A758" s="61" t="s">
        <v>261</v>
      </c>
      <c r="B758" s="61" t="s">
        <v>493</v>
      </c>
      <c r="C758" s="62" t="s">
        <v>11692</v>
      </c>
      <c r="D758" s="63">
        <v>3</v>
      </c>
      <c r="E758" s="64" t="s">
        <v>132</v>
      </c>
      <c r="F758" s="65">
        <v>32</v>
      </c>
      <c r="G758" s="62"/>
      <c r="H758" s="66"/>
      <c r="I758" s="67"/>
      <c r="J758" s="67"/>
      <c r="K758" s="31" t="s">
        <v>65</v>
      </c>
      <c r="L758" s="75">
        <v>758</v>
      </c>
      <c r="M758" s="75"/>
      <c r="N758" s="69"/>
      <c r="O758" s="77" t="s">
        <v>543</v>
      </c>
      <c r="P758" s="79">
        <v>45140.187789351854</v>
      </c>
      <c r="Q758" s="77" t="s">
        <v>662</v>
      </c>
      <c r="R758" s="77">
        <v>1</v>
      </c>
      <c r="S758" s="77">
        <v>2</v>
      </c>
      <c r="T758" s="77">
        <v>0</v>
      </c>
      <c r="U758" s="77">
        <v>0</v>
      </c>
      <c r="V758" s="77">
        <v>93</v>
      </c>
      <c r="W758" s="77"/>
      <c r="X758" s="77"/>
      <c r="Y758" s="77"/>
      <c r="Z758" s="77" t="s">
        <v>821</v>
      </c>
      <c r="AA758" s="77"/>
      <c r="AB758" s="77"/>
      <c r="AC758" s="81" t="s">
        <v>857</v>
      </c>
      <c r="AD758" s="77" t="s">
        <v>859</v>
      </c>
      <c r="AE758" s="83" t="str">
        <f>HYPERLINK("https://twitter.com/chrisgalesmusic/status/1686595281305948160")</f>
        <v>https://twitter.com/chrisgalesmusic/status/1686595281305948160</v>
      </c>
      <c r="AF758" s="79">
        <v>45140.187789351854</v>
      </c>
      <c r="AG758" s="85">
        <v>45140</v>
      </c>
      <c r="AH758" s="81" t="s">
        <v>990</v>
      </c>
      <c r="AI758" s="77"/>
      <c r="AJ758" s="77"/>
      <c r="AK758" s="77"/>
      <c r="AL758" s="77"/>
      <c r="AM758" s="77"/>
      <c r="AN758" s="77"/>
      <c r="AO758" s="77"/>
      <c r="AP758" s="77"/>
      <c r="AQ758" s="77"/>
      <c r="AR758" s="77"/>
      <c r="AS758" s="77"/>
      <c r="AT758" s="77"/>
      <c r="AU758" s="77"/>
      <c r="AV758" s="83" t="str">
        <f>HYPERLINK("https://pbs.twimg.com/profile_images/1646618443414745088/svPKHtn1_normal.jpg")</f>
        <v>https://pbs.twimg.com/profile_images/1646618443414745088/svPKHtn1_normal.jpg</v>
      </c>
      <c r="AW758" s="81" t="s">
        <v>1145</v>
      </c>
      <c r="AX758" s="81" t="s">
        <v>1143</v>
      </c>
      <c r="AY758" s="81" t="s">
        <v>1188</v>
      </c>
      <c r="AZ758" s="81" t="s">
        <v>1143</v>
      </c>
      <c r="BA758" s="81" t="s">
        <v>1190</v>
      </c>
      <c r="BB758" s="81" t="s">
        <v>1190</v>
      </c>
      <c r="BC758" s="81" t="s">
        <v>1143</v>
      </c>
      <c r="BD758" s="77">
        <v>72464113</v>
      </c>
      <c r="BE758" s="77"/>
      <c r="BF758" s="77"/>
      <c r="BG758" s="77"/>
      <c r="BH758" s="77"/>
      <c r="BI758" s="77"/>
      <c r="BJ758">
        <v>1</v>
      </c>
      <c r="BK758" s="76" t="str">
        <f>REPLACE(INDEX(GroupVertices[Group],MATCH(Edges[[#This Row],[Vertex 1]],GroupVertices[Vertex],0)),1,1,"")</f>
        <v>8</v>
      </c>
      <c r="BL758" s="76" t="str">
        <f>REPLACE(INDEX(GroupVertices[Group],MATCH(Edges[[#This Row],[Vertex 2]],GroupVertices[Vertex],0)),1,1,"")</f>
        <v>8</v>
      </c>
      <c r="BM758" s="45"/>
      <c r="BN758" s="46"/>
      <c r="BO758" s="45"/>
      <c r="BP758" s="46"/>
      <c r="BQ758" s="45"/>
      <c r="BR758" s="46"/>
      <c r="BS758" s="45"/>
      <c r="BT758" s="46"/>
      <c r="BU758" s="45"/>
    </row>
    <row r="759" spans="1:73" ht="15">
      <c r="A759" s="61" t="s">
        <v>261</v>
      </c>
      <c r="B759" s="61" t="s">
        <v>494</v>
      </c>
      <c r="C759" s="62" t="s">
        <v>11692</v>
      </c>
      <c r="D759" s="63">
        <v>3</v>
      </c>
      <c r="E759" s="64" t="s">
        <v>132</v>
      </c>
      <c r="F759" s="65">
        <v>32</v>
      </c>
      <c r="G759" s="62"/>
      <c r="H759" s="66"/>
      <c r="I759" s="67"/>
      <c r="J759" s="67"/>
      <c r="K759" s="31" t="s">
        <v>65</v>
      </c>
      <c r="L759" s="75">
        <v>759</v>
      </c>
      <c r="M759" s="75"/>
      <c r="N759" s="69"/>
      <c r="O759" s="77" t="s">
        <v>543</v>
      </c>
      <c r="P759" s="79">
        <v>45140.187789351854</v>
      </c>
      <c r="Q759" s="77" t="s">
        <v>662</v>
      </c>
      <c r="R759" s="77">
        <v>1</v>
      </c>
      <c r="S759" s="77">
        <v>2</v>
      </c>
      <c r="T759" s="77">
        <v>0</v>
      </c>
      <c r="U759" s="77">
        <v>0</v>
      </c>
      <c r="V759" s="77">
        <v>93</v>
      </c>
      <c r="W759" s="77"/>
      <c r="X759" s="77"/>
      <c r="Y759" s="77"/>
      <c r="Z759" s="77" t="s">
        <v>821</v>
      </c>
      <c r="AA759" s="77"/>
      <c r="AB759" s="77"/>
      <c r="AC759" s="81" t="s">
        <v>857</v>
      </c>
      <c r="AD759" s="77" t="s">
        <v>859</v>
      </c>
      <c r="AE759" s="83" t="str">
        <f>HYPERLINK("https://twitter.com/chrisgalesmusic/status/1686595281305948160")</f>
        <v>https://twitter.com/chrisgalesmusic/status/1686595281305948160</v>
      </c>
      <c r="AF759" s="79">
        <v>45140.187789351854</v>
      </c>
      <c r="AG759" s="85">
        <v>45140</v>
      </c>
      <c r="AH759" s="81" t="s">
        <v>990</v>
      </c>
      <c r="AI759" s="77"/>
      <c r="AJ759" s="77"/>
      <c r="AK759" s="77"/>
      <c r="AL759" s="77"/>
      <c r="AM759" s="77"/>
      <c r="AN759" s="77"/>
      <c r="AO759" s="77"/>
      <c r="AP759" s="77"/>
      <c r="AQ759" s="77"/>
      <c r="AR759" s="77"/>
      <c r="AS759" s="77"/>
      <c r="AT759" s="77"/>
      <c r="AU759" s="77"/>
      <c r="AV759" s="83" t="str">
        <f>HYPERLINK("https://pbs.twimg.com/profile_images/1646618443414745088/svPKHtn1_normal.jpg")</f>
        <v>https://pbs.twimg.com/profile_images/1646618443414745088/svPKHtn1_normal.jpg</v>
      </c>
      <c r="AW759" s="81" t="s">
        <v>1145</v>
      </c>
      <c r="AX759" s="81" t="s">
        <v>1143</v>
      </c>
      <c r="AY759" s="81" t="s">
        <v>1188</v>
      </c>
      <c r="AZ759" s="81" t="s">
        <v>1143</v>
      </c>
      <c r="BA759" s="81" t="s">
        <v>1190</v>
      </c>
      <c r="BB759" s="81" t="s">
        <v>1190</v>
      </c>
      <c r="BC759" s="81" t="s">
        <v>1143</v>
      </c>
      <c r="BD759" s="77">
        <v>72464113</v>
      </c>
      <c r="BE759" s="77"/>
      <c r="BF759" s="77"/>
      <c r="BG759" s="77"/>
      <c r="BH759" s="77"/>
      <c r="BI759" s="77"/>
      <c r="BJ759">
        <v>1</v>
      </c>
      <c r="BK759" s="76" t="str">
        <f>REPLACE(INDEX(GroupVertices[Group],MATCH(Edges[[#This Row],[Vertex 1]],GroupVertices[Vertex],0)),1,1,"")</f>
        <v>8</v>
      </c>
      <c r="BL759" s="76" t="str">
        <f>REPLACE(INDEX(GroupVertices[Group],MATCH(Edges[[#This Row],[Vertex 2]],GroupVertices[Vertex],0)),1,1,"")</f>
        <v>8</v>
      </c>
      <c r="BM759" s="45"/>
      <c r="BN759" s="46"/>
      <c r="BO759" s="45"/>
      <c r="BP759" s="46"/>
      <c r="BQ759" s="45"/>
      <c r="BR759" s="46"/>
      <c r="BS759" s="45"/>
      <c r="BT759" s="46"/>
      <c r="BU759" s="45"/>
    </row>
    <row r="760" spans="1:73" ht="15">
      <c r="A760" s="61" t="s">
        <v>261</v>
      </c>
      <c r="B760" s="61" t="s">
        <v>228</v>
      </c>
      <c r="C760" s="62" t="s">
        <v>11692</v>
      </c>
      <c r="D760" s="63">
        <v>3</v>
      </c>
      <c r="E760" s="64" t="s">
        <v>132</v>
      </c>
      <c r="F760" s="65">
        <v>32</v>
      </c>
      <c r="G760" s="62"/>
      <c r="H760" s="66"/>
      <c r="I760" s="67"/>
      <c r="J760" s="67"/>
      <c r="K760" s="31" t="s">
        <v>65</v>
      </c>
      <c r="L760" s="75">
        <v>760</v>
      </c>
      <c r="M760" s="75"/>
      <c r="N760" s="69"/>
      <c r="O760" s="77" t="s">
        <v>543</v>
      </c>
      <c r="P760" s="79">
        <v>45140.187789351854</v>
      </c>
      <c r="Q760" s="77" t="s">
        <v>662</v>
      </c>
      <c r="R760" s="77">
        <v>1</v>
      </c>
      <c r="S760" s="77">
        <v>2</v>
      </c>
      <c r="T760" s="77">
        <v>0</v>
      </c>
      <c r="U760" s="77">
        <v>0</v>
      </c>
      <c r="V760" s="77">
        <v>93</v>
      </c>
      <c r="W760" s="77"/>
      <c r="X760" s="77"/>
      <c r="Y760" s="77"/>
      <c r="Z760" s="77" t="s">
        <v>821</v>
      </c>
      <c r="AA760" s="77"/>
      <c r="AB760" s="77"/>
      <c r="AC760" s="81" t="s">
        <v>857</v>
      </c>
      <c r="AD760" s="77" t="s">
        <v>859</v>
      </c>
      <c r="AE760" s="83" t="str">
        <f>HYPERLINK("https://twitter.com/chrisgalesmusic/status/1686595281305948160")</f>
        <v>https://twitter.com/chrisgalesmusic/status/1686595281305948160</v>
      </c>
      <c r="AF760" s="79">
        <v>45140.187789351854</v>
      </c>
      <c r="AG760" s="85">
        <v>45140</v>
      </c>
      <c r="AH760" s="81" t="s">
        <v>990</v>
      </c>
      <c r="AI760" s="77"/>
      <c r="AJ760" s="77"/>
      <c r="AK760" s="77"/>
      <c r="AL760" s="77"/>
      <c r="AM760" s="77"/>
      <c r="AN760" s="77"/>
      <c r="AO760" s="77"/>
      <c r="AP760" s="77"/>
      <c r="AQ760" s="77"/>
      <c r="AR760" s="77"/>
      <c r="AS760" s="77"/>
      <c r="AT760" s="77"/>
      <c r="AU760" s="77"/>
      <c r="AV760" s="83" t="str">
        <f>HYPERLINK("https://pbs.twimg.com/profile_images/1646618443414745088/svPKHtn1_normal.jpg")</f>
        <v>https://pbs.twimg.com/profile_images/1646618443414745088/svPKHtn1_normal.jpg</v>
      </c>
      <c r="AW760" s="81" t="s">
        <v>1145</v>
      </c>
      <c r="AX760" s="81" t="s">
        <v>1143</v>
      </c>
      <c r="AY760" s="81" t="s">
        <v>1188</v>
      </c>
      <c r="AZ760" s="81" t="s">
        <v>1143</v>
      </c>
      <c r="BA760" s="81" t="s">
        <v>1190</v>
      </c>
      <c r="BB760" s="81" t="s">
        <v>1190</v>
      </c>
      <c r="BC760" s="81" t="s">
        <v>1143</v>
      </c>
      <c r="BD760" s="77">
        <v>72464113</v>
      </c>
      <c r="BE760" s="77"/>
      <c r="BF760" s="77"/>
      <c r="BG760" s="77"/>
      <c r="BH760" s="77"/>
      <c r="BI760" s="77"/>
      <c r="BJ760">
        <v>1</v>
      </c>
      <c r="BK760" s="76" t="str">
        <f>REPLACE(INDEX(GroupVertices[Group],MATCH(Edges[[#This Row],[Vertex 1]],GroupVertices[Vertex],0)),1,1,"")</f>
        <v>8</v>
      </c>
      <c r="BL760" s="76" t="str">
        <f>REPLACE(INDEX(GroupVertices[Group],MATCH(Edges[[#This Row],[Vertex 2]],GroupVertices[Vertex],0)),1,1,"")</f>
        <v>2</v>
      </c>
      <c r="BM760" s="45"/>
      <c r="BN760" s="46"/>
      <c r="BO760" s="45"/>
      <c r="BP760" s="46"/>
      <c r="BQ760" s="45"/>
      <c r="BR760" s="46"/>
      <c r="BS760" s="45"/>
      <c r="BT760" s="46"/>
      <c r="BU760" s="45"/>
    </row>
    <row r="761" spans="1:73" ht="15">
      <c r="A761" s="61" t="s">
        <v>261</v>
      </c>
      <c r="B761" s="61" t="s">
        <v>495</v>
      </c>
      <c r="C761" s="62" t="s">
        <v>11692</v>
      </c>
      <c r="D761" s="63">
        <v>3</v>
      </c>
      <c r="E761" s="64" t="s">
        <v>132</v>
      </c>
      <c r="F761" s="65">
        <v>32</v>
      </c>
      <c r="G761" s="62"/>
      <c r="H761" s="66"/>
      <c r="I761" s="67"/>
      <c r="J761" s="67"/>
      <c r="K761" s="31" t="s">
        <v>65</v>
      </c>
      <c r="L761" s="75">
        <v>761</v>
      </c>
      <c r="M761" s="75"/>
      <c r="N761" s="69"/>
      <c r="O761" s="77" t="s">
        <v>543</v>
      </c>
      <c r="P761" s="79">
        <v>45140.187789351854</v>
      </c>
      <c r="Q761" s="77" t="s">
        <v>662</v>
      </c>
      <c r="R761" s="77">
        <v>1</v>
      </c>
      <c r="S761" s="77">
        <v>2</v>
      </c>
      <c r="T761" s="77">
        <v>0</v>
      </c>
      <c r="U761" s="77">
        <v>0</v>
      </c>
      <c r="V761" s="77">
        <v>93</v>
      </c>
      <c r="W761" s="77"/>
      <c r="X761" s="77"/>
      <c r="Y761" s="77"/>
      <c r="Z761" s="77" t="s">
        <v>821</v>
      </c>
      <c r="AA761" s="77"/>
      <c r="AB761" s="77"/>
      <c r="AC761" s="81" t="s">
        <v>857</v>
      </c>
      <c r="AD761" s="77" t="s">
        <v>859</v>
      </c>
      <c r="AE761" s="83" t="str">
        <f>HYPERLINK("https://twitter.com/chrisgalesmusic/status/1686595281305948160")</f>
        <v>https://twitter.com/chrisgalesmusic/status/1686595281305948160</v>
      </c>
      <c r="AF761" s="79">
        <v>45140.187789351854</v>
      </c>
      <c r="AG761" s="85">
        <v>45140</v>
      </c>
      <c r="AH761" s="81" t="s">
        <v>990</v>
      </c>
      <c r="AI761" s="77"/>
      <c r="AJ761" s="77"/>
      <c r="AK761" s="77"/>
      <c r="AL761" s="77"/>
      <c r="AM761" s="77"/>
      <c r="AN761" s="77"/>
      <c r="AO761" s="77"/>
      <c r="AP761" s="77"/>
      <c r="AQ761" s="77"/>
      <c r="AR761" s="77"/>
      <c r="AS761" s="77"/>
      <c r="AT761" s="77"/>
      <c r="AU761" s="77"/>
      <c r="AV761" s="83" t="str">
        <f>HYPERLINK("https://pbs.twimg.com/profile_images/1646618443414745088/svPKHtn1_normal.jpg")</f>
        <v>https://pbs.twimg.com/profile_images/1646618443414745088/svPKHtn1_normal.jpg</v>
      </c>
      <c r="AW761" s="81" t="s">
        <v>1145</v>
      </c>
      <c r="AX761" s="81" t="s">
        <v>1143</v>
      </c>
      <c r="AY761" s="81" t="s">
        <v>1188</v>
      </c>
      <c r="AZ761" s="81" t="s">
        <v>1143</v>
      </c>
      <c r="BA761" s="81" t="s">
        <v>1190</v>
      </c>
      <c r="BB761" s="81" t="s">
        <v>1190</v>
      </c>
      <c r="BC761" s="81" t="s">
        <v>1143</v>
      </c>
      <c r="BD761" s="77">
        <v>72464113</v>
      </c>
      <c r="BE761" s="77"/>
      <c r="BF761" s="77"/>
      <c r="BG761" s="77"/>
      <c r="BH761" s="77"/>
      <c r="BI761" s="77"/>
      <c r="BJ761">
        <v>1</v>
      </c>
      <c r="BK761" s="76" t="str">
        <f>REPLACE(INDEX(GroupVertices[Group],MATCH(Edges[[#This Row],[Vertex 1]],GroupVertices[Vertex],0)),1,1,"")</f>
        <v>8</v>
      </c>
      <c r="BL761" s="76" t="str">
        <f>REPLACE(INDEX(GroupVertices[Group],MATCH(Edges[[#This Row],[Vertex 2]],GroupVertices[Vertex],0)),1,1,"")</f>
        <v>8</v>
      </c>
      <c r="BM761" s="45"/>
      <c r="BN761" s="46"/>
      <c r="BO761" s="45"/>
      <c r="BP761" s="46"/>
      <c r="BQ761" s="45"/>
      <c r="BR761" s="46"/>
      <c r="BS761" s="45"/>
      <c r="BT761" s="46"/>
      <c r="BU761" s="45"/>
    </row>
    <row r="762" spans="1:73" ht="15">
      <c r="A762" s="61" t="s">
        <v>261</v>
      </c>
      <c r="B762" s="61" t="s">
        <v>496</v>
      </c>
      <c r="C762" s="62" t="s">
        <v>11692</v>
      </c>
      <c r="D762" s="63">
        <v>3</v>
      </c>
      <c r="E762" s="64" t="s">
        <v>132</v>
      </c>
      <c r="F762" s="65">
        <v>32</v>
      </c>
      <c r="G762" s="62"/>
      <c r="H762" s="66"/>
      <c r="I762" s="67"/>
      <c r="J762" s="67"/>
      <c r="K762" s="31" t="s">
        <v>65</v>
      </c>
      <c r="L762" s="75">
        <v>762</v>
      </c>
      <c r="M762" s="75"/>
      <c r="N762" s="69"/>
      <c r="O762" s="77" t="s">
        <v>543</v>
      </c>
      <c r="P762" s="79">
        <v>45140.187789351854</v>
      </c>
      <c r="Q762" s="77" t="s">
        <v>662</v>
      </c>
      <c r="R762" s="77">
        <v>1</v>
      </c>
      <c r="S762" s="77">
        <v>2</v>
      </c>
      <c r="T762" s="77">
        <v>0</v>
      </c>
      <c r="U762" s="77">
        <v>0</v>
      </c>
      <c r="V762" s="77">
        <v>93</v>
      </c>
      <c r="W762" s="77"/>
      <c r="X762" s="77"/>
      <c r="Y762" s="77"/>
      <c r="Z762" s="77" t="s">
        <v>821</v>
      </c>
      <c r="AA762" s="77"/>
      <c r="AB762" s="77"/>
      <c r="AC762" s="81" t="s">
        <v>857</v>
      </c>
      <c r="AD762" s="77" t="s">
        <v>859</v>
      </c>
      <c r="AE762" s="83" t="str">
        <f>HYPERLINK("https://twitter.com/chrisgalesmusic/status/1686595281305948160")</f>
        <v>https://twitter.com/chrisgalesmusic/status/1686595281305948160</v>
      </c>
      <c r="AF762" s="79">
        <v>45140.187789351854</v>
      </c>
      <c r="AG762" s="85">
        <v>45140</v>
      </c>
      <c r="AH762" s="81" t="s">
        <v>990</v>
      </c>
      <c r="AI762" s="77"/>
      <c r="AJ762" s="77"/>
      <c r="AK762" s="77"/>
      <c r="AL762" s="77"/>
      <c r="AM762" s="77"/>
      <c r="AN762" s="77"/>
      <c r="AO762" s="77"/>
      <c r="AP762" s="77"/>
      <c r="AQ762" s="77"/>
      <c r="AR762" s="77"/>
      <c r="AS762" s="77"/>
      <c r="AT762" s="77"/>
      <c r="AU762" s="77"/>
      <c r="AV762" s="83" t="str">
        <f>HYPERLINK("https://pbs.twimg.com/profile_images/1646618443414745088/svPKHtn1_normal.jpg")</f>
        <v>https://pbs.twimg.com/profile_images/1646618443414745088/svPKHtn1_normal.jpg</v>
      </c>
      <c r="AW762" s="81" t="s">
        <v>1145</v>
      </c>
      <c r="AX762" s="81" t="s">
        <v>1143</v>
      </c>
      <c r="AY762" s="81" t="s">
        <v>1188</v>
      </c>
      <c r="AZ762" s="81" t="s">
        <v>1143</v>
      </c>
      <c r="BA762" s="81" t="s">
        <v>1190</v>
      </c>
      <c r="BB762" s="81" t="s">
        <v>1190</v>
      </c>
      <c r="BC762" s="81" t="s">
        <v>1143</v>
      </c>
      <c r="BD762" s="77">
        <v>72464113</v>
      </c>
      <c r="BE762" s="77"/>
      <c r="BF762" s="77"/>
      <c r="BG762" s="77"/>
      <c r="BH762" s="77"/>
      <c r="BI762" s="77"/>
      <c r="BJ762">
        <v>1</v>
      </c>
      <c r="BK762" s="76" t="str">
        <f>REPLACE(INDEX(GroupVertices[Group],MATCH(Edges[[#This Row],[Vertex 1]],GroupVertices[Vertex],0)),1,1,"")</f>
        <v>8</v>
      </c>
      <c r="BL762" s="76" t="str">
        <f>REPLACE(INDEX(GroupVertices[Group],MATCH(Edges[[#This Row],[Vertex 2]],GroupVertices[Vertex],0)),1,1,"")</f>
        <v>8</v>
      </c>
      <c r="BM762" s="45"/>
      <c r="BN762" s="46"/>
      <c r="BO762" s="45"/>
      <c r="BP762" s="46"/>
      <c r="BQ762" s="45"/>
      <c r="BR762" s="46"/>
      <c r="BS762" s="45"/>
      <c r="BT762" s="46"/>
      <c r="BU762" s="45"/>
    </row>
    <row r="763" spans="1:73" ht="15">
      <c r="A763" s="61" t="s">
        <v>261</v>
      </c>
      <c r="B763" s="61" t="s">
        <v>260</v>
      </c>
      <c r="C763" s="62" t="s">
        <v>11692</v>
      </c>
      <c r="D763" s="63">
        <v>3</v>
      </c>
      <c r="E763" s="64" t="s">
        <v>132</v>
      </c>
      <c r="F763" s="65">
        <v>32</v>
      </c>
      <c r="G763" s="62"/>
      <c r="H763" s="66"/>
      <c r="I763" s="67"/>
      <c r="J763" s="67"/>
      <c r="K763" s="31" t="s">
        <v>66</v>
      </c>
      <c r="L763" s="75">
        <v>763</v>
      </c>
      <c r="M763" s="75"/>
      <c r="N763" s="69"/>
      <c r="O763" s="77" t="s">
        <v>543</v>
      </c>
      <c r="P763" s="79">
        <v>45140.187789351854</v>
      </c>
      <c r="Q763" s="77" t="s">
        <v>662</v>
      </c>
      <c r="R763" s="77">
        <v>1</v>
      </c>
      <c r="S763" s="77">
        <v>2</v>
      </c>
      <c r="T763" s="77">
        <v>0</v>
      </c>
      <c r="U763" s="77">
        <v>0</v>
      </c>
      <c r="V763" s="77">
        <v>93</v>
      </c>
      <c r="W763" s="77"/>
      <c r="X763" s="77"/>
      <c r="Y763" s="77"/>
      <c r="Z763" s="77" t="s">
        <v>821</v>
      </c>
      <c r="AA763" s="77"/>
      <c r="AB763" s="77"/>
      <c r="AC763" s="81" t="s">
        <v>857</v>
      </c>
      <c r="AD763" s="77" t="s">
        <v>859</v>
      </c>
      <c r="AE763" s="83" t="str">
        <f>HYPERLINK("https://twitter.com/chrisgalesmusic/status/1686595281305948160")</f>
        <v>https://twitter.com/chrisgalesmusic/status/1686595281305948160</v>
      </c>
      <c r="AF763" s="79">
        <v>45140.187789351854</v>
      </c>
      <c r="AG763" s="85">
        <v>45140</v>
      </c>
      <c r="AH763" s="81" t="s">
        <v>990</v>
      </c>
      <c r="AI763" s="77"/>
      <c r="AJ763" s="77"/>
      <c r="AK763" s="77"/>
      <c r="AL763" s="77"/>
      <c r="AM763" s="77"/>
      <c r="AN763" s="77"/>
      <c r="AO763" s="77"/>
      <c r="AP763" s="77"/>
      <c r="AQ763" s="77"/>
      <c r="AR763" s="77"/>
      <c r="AS763" s="77"/>
      <c r="AT763" s="77"/>
      <c r="AU763" s="77"/>
      <c r="AV763" s="83" t="str">
        <f>HYPERLINK("https://pbs.twimg.com/profile_images/1646618443414745088/svPKHtn1_normal.jpg")</f>
        <v>https://pbs.twimg.com/profile_images/1646618443414745088/svPKHtn1_normal.jpg</v>
      </c>
      <c r="AW763" s="81" t="s">
        <v>1145</v>
      </c>
      <c r="AX763" s="81" t="s">
        <v>1143</v>
      </c>
      <c r="AY763" s="81" t="s">
        <v>1188</v>
      </c>
      <c r="AZ763" s="81" t="s">
        <v>1143</v>
      </c>
      <c r="BA763" s="81" t="s">
        <v>1190</v>
      </c>
      <c r="BB763" s="81" t="s">
        <v>1190</v>
      </c>
      <c r="BC763" s="81" t="s">
        <v>1143</v>
      </c>
      <c r="BD763" s="77">
        <v>72464113</v>
      </c>
      <c r="BE763" s="77"/>
      <c r="BF763" s="77"/>
      <c r="BG763" s="77"/>
      <c r="BH763" s="77"/>
      <c r="BI763" s="77"/>
      <c r="BJ763">
        <v>1</v>
      </c>
      <c r="BK763" s="76" t="str">
        <f>REPLACE(INDEX(GroupVertices[Group],MATCH(Edges[[#This Row],[Vertex 1]],GroupVertices[Vertex],0)),1,1,"")</f>
        <v>8</v>
      </c>
      <c r="BL763" s="76" t="str">
        <f>REPLACE(INDEX(GroupVertices[Group],MATCH(Edges[[#This Row],[Vertex 2]],GroupVertices[Vertex],0)),1,1,"")</f>
        <v>8</v>
      </c>
      <c r="BM763" s="45">
        <v>1</v>
      </c>
      <c r="BN763" s="46">
        <v>5.2631578947368425</v>
      </c>
      <c r="BO763" s="45">
        <v>0</v>
      </c>
      <c r="BP763" s="46">
        <v>0</v>
      </c>
      <c r="BQ763" s="45">
        <v>0</v>
      </c>
      <c r="BR763" s="46">
        <v>0</v>
      </c>
      <c r="BS763" s="45">
        <v>16</v>
      </c>
      <c r="BT763" s="46">
        <v>84.21052631578948</v>
      </c>
      <c r="BU763" s="45">
        <v>19</v>
      </c>
    </row>
    <row r="764" spans="1:73" ht="15">
      <c r="A764" s="61" t="s">
        <v>261</v>
      </c>
      <c r="B764" s="61" t="s">
        <v>497</v>
      </c>
      <c r="C764" s="62" t="s">
        <v>11692</v>
      </c>
      <c r="D764" s="63">
        <v>3</v>
      </c>
      <c r="E764" s="64" t="s">
        <v>132</v>
      </c>
      <c r="F764" s="65">
        <v>32</v>
      </c>
      <c r="G764" s="62"/>
      <c r="H764" s="66"/>
      <c r="I764" s="67"/>
      <c r="J764" s="67"/>
      <c r="K764" s="31" t="s">
        <v>65</v>
      </c>
      <c r="L764" s="75">
        <v>764</v>
      </c>
      <c r="M764" s="75"/>
      <c r="N764" s="69"/>
      <c r="O764" s="77" t="s">
        <v>543</v>
      </c>
      <c r="P764" s="79">
        <v>45140.187789351854</v>
      </c>
      <c r="Q764" s="77" t="s">
        <v>662</v>
      </c>
      <c r="R764" s="77">
        <v>1</v>
      </c>
      <c r="S764" s="77">
        <v>2</v>
      </c>
      <c r="T764" s="77">
        <v>0</v>
      </c>
      <c r="U764" s="77">
        <v>0</v>
      </c>
      <c r="V764" s="77">
        <v>93</v>
      </c>
      <c r="W764" s="77"/>
      <c r="X764" s="77"/>
      <c r="Y764" s="77"/>
      <c r="Z764" s="77" t="s">
        <v>821</v>
      </c>
      <c r="AA764" s="77"/>
      <c r="AB764" s="77"/>
      <c r="AC764" s="81" t="s">
        <v>857</v>
      </c>
      <c r="AD764" s="77" t="s">
        <v>859</v>
      </c>
      <c r="AE764" s="83" t="str">
        <f>HYPERLINK("https://twitter.com/chrisgalesmusic/status/1686595281305948160")</f>
        <v>https://twitter.com/chrisgalesmusic/status/1686595281305948160</v>
      </c>
      <c r="AF764" s="79">
        <v>45140.187789351854</v>
      </c>
      <c r="AG764" s="85">
        <v>45140</v>
      </c>
      <c r="AH764" s="81" t="s">
        <v>990</v>
      </c>
      <c r="AI764" s="77"/>
      <c r="AJ764" s="77"/>
      <c r="AK764" s="77"/>
      <c r="AL764" s="77"/>
      <c r="AM764" s="77"/>
      <c r="AN764" s="77"/>
      <c r="AO764" s="77"/>
      <c r="AP764" s="77"/>
      <c r="AQ764" s="77"/>
      <c r="AR764" s="77"/>
      <c r="AS764" s="77"/>
      <c r="AT764" s="77"/>
      <c r="AU764" s="77"/>
      <c r="AV764" s="83" t="str">
        <f>HYPERLINK("https://pbs.twimg.com/profile_images/1646618443414745088/svPKHtn1_normal.jpg")</f>
        <v>https://pbs.twimg.com/profile_images/1646618443414745088/svPKHtn1_normal.jpg</v>
      </c>
      <c r="AW764" s="81" t="s">
        <v>1145</v>
      </c>
      <c r="AX764" s="81" t="s">
        <v>1143</v>
      </c>
      <c r="AY764" s="81" t="s">
        <v>1188</v>
      </c>
      <c r="AZ764" s="81" t="s">
        <v>1143</v>
      </c>
      <c r="BA764" s="81" t="s">
        <v>1190</v>
      </c>
      <c r="BB764" s="81" t="s">
        <v>1190</v>
      </c>
      <c r="BC764" s="81" t="s">
        <v>1143</v>
      </c>
      <c r="BD764" s="77">
        <v>72464113</v>
      </c>
      <c r="BE764" s="77"/>
      <c r="BF764" s="77"/>
      <c r="BG764" s="77"/>
      <c r="BH764" s="77"/>
      <c r="BI764" s="77"/>
      <c r="BJ764">
        <v>1</v>
      </c>
      <c r="BK764" s="76" t="str">
        <f>REPLACE(INDEX(GroupVertices[Group],MATCH(Edges[[#This Row],[Vertex 1]],GroupVertices[Vertex],0)),1,1,"")</f>
        <v>8</v>
      </c>
      <c r="BL764" s="76" t="str">
        <f>REPLACE(INDEX(GroupVertices[Group],MATCH(Edges[[#This Row],[Vertex 2]],GroupVertices[Vertex],0)),1,1,"")</f>
        <v>8</v>
      </c>
      <c r="BM764" s="45"/>
      <c r="BN764" s="46"/>
      <c r="BO764" s="45"/>
      <c r="BP764" s="46"/>
      <c r="BQ764" s="45"/>
      <c r="BR764" s="46"/>
      <c r="BS764" s="45"/>
      <c r="BT764" s="46"/>
      <c r="BU764" s="45"/>
    </row>
    <row r="765" spans="1:73" ht="15">
      <c r="A765" s="61" t="s">
        <v>261</v>
      </c>
      <c r="B765" s="61" t="s">
        <v>498</v>
      </c>
      <c r="C765" s="62" t="s">
        <v>11692</v>
      </c>
      <c r="D765" s="63">
        <v>3</v>
      </c>
      <c r="E765" s="64" t="s">
        <v>132</v>
      </c>
      <c r="F765" s="65">
        <v>32</v>
      </c>
      <c r="G765" s="62"/>
      <c r="H765" s="66"/>
      <c r="I765" s="67"/>
      <c r="J765" s="67"/>
      <c r="K765" s="31" t="s">
        <v>65</v>
      </c>
      <c r="L765" s="75">
        <v>765</v>
      </c>
      <c r="M765" s="75"/>
      <c r="N765" s="69"/>
      <c r="O765" s="77" t="s">
        <v>543</v>
      </c>
      <c r="P765" s="79">
        <v>45140.187789351854</v>
      </c>
      <c r="Q765" s="77" t="s">
        <v>662</v>
      </c>
      <c r="R765" s="77">
        <v>1</v>
      </c>
      <c r="S765" s="77">
        <v>2</v>
      </c>
      <c r="T765" s="77">
        <v>0</v>
      </c>
      <c r="U765" s="77">
        <v>0</v>
      </c>
      <c r="V765" s="77">
        <v>93</v>
      </c>
      <c r="W765" s="77"/>
      <c r="X765" s="77"/>
      <c r="Y765" s="77"/>
      <c r="Z765" s="77" t="s">
        <v>821</v>
      </c>
      <c r="AA765" s="77"/>
      <c r="AB765" s="77"/>
      <c r="AC765" s="81" t="s">
        <v>857</v>
      </c>
      <c r="AD765" s="77" t="s">
        <v>859</v>
      </c>
      <c r="AE765" s="83" t="str">
        <f>HYPERLINK("https://twitter.com/chrisgalesmusic/status/1686595281305948160")</f>
        <v>https://twitter.com/chrisgalesmusic/status/1686595281305948160</v>
      </c>
      <c r="AF765" s="79">
        <v>45140.187789351854</v>
      </c>
      <c r="AG765" s="85">
        <v>45140</v>
      </c>
      <c r="AH765" s="81" t="s">
        <v>990</v>
      </c>
      <c r="AI765" s="77"/>
      <c r="AJ765" s="77"/>
      <c r="AK765" s="77"/>
      <c r="AL765" s="77"/>
      <c r="AM765" s="77"/>
      <c r="AN765" s="77"/>
      <c r="AO765" s="77"/>
      <c r="AP765" s="77"/>
      <c r="AQ765" s="77"/>
      <c r="AR765" s="77"/>
      <c r="AS765" s="77"/>
      <c r="AT765" s="77"/>
      <c r="AU765" s="77"/>
      <c r="AV765" s="83" t="str">
        <f>HYPERLINK("https://pbs.twimg.com/profile_images/1646618443414745088/svPKHtn1_normal.jpg")</f>
        <v>https://pbs.twimg.com/profile_images/1646618443414745088/svPKHtn1_normal.jpg</v>
      </c>
      <c r="AW765" s="81" t="s">
        <v>1145</v>
      </c>
      <c r="AX765" s="81" t="s">
        <v>1143</v>
      </c>
      <c r="AY765" s="81" t="s">
        <v>1188</v>
      </c>
      <c r="AZ765" s="81" t="s">
        <v>1143</v>
      </c>
      <c r="BA765" s="81" t="s">
        <v>1190</v>
      </c>
      <c r="BB765" s="81" t="s">
        <v>1190</v>
      </c>
      <c r="BC765" s="81" t="s">
        <v>1143</v>
      </c>
      <c r="BD765" s="77">
        <v>72464113</v>
      </c>
      <c r="BE765" s="77"/>
      <c r="BF765" s="77"/>
      <c r="BG765" s="77"/>
      <c r="BH765" s="77"/>
      <c r="BI765" s="77"/>
      <c r="BJ765">
        <v>1</v>
      </c>
      <c r="BK765" s="76" t="str">
        <f>REPLACE(INDEX(GroupVertices[Group],MATCH(Edges[[#This Row],[Vertex 1]],GroupVertices[Vertex],0)),1,1,"")</f>
        <v>8</v>
      </c>
      <c r="BL765" s="76" t="str">
        <f>REPLACE(INDEX(GroupVertices[Group],MATCH(Edges[[#This Row],[Vertex 2]],GroupVertices[Vertex],0)),1,1,"")</f>
        <v>8</v>
      </c>
      <c r="BM765" s="45"/>
      <c r="BN765" s="46"/>
      <c r="BO765" s="45"/>
      <c r="BP765" s="46"/>
      <c r="BQ765" s="45"/>
      <c r="BR765" s="46"/>
      <c r="BS765" s="45"/>
      <c r="BT765" s="46"/>
      <c r="BU765" s="45"/>
    </row>
    <row r="766" spans="1:73" ht="15">
      <c r="A766" s="61" t="s">
        <v>261</v>
      </c>
      <c r="B766" s="61" t="s">
        <v>499</v>
      </c>
      <c r="C766" s="62" t="s">
        <v>11692</v>
      </c>
      <c r="D766" s="63">
        <v>3</v>
      </c>
      <c r="E766" s="64" t="s">
        <v>132</v>
      </c>
      <c r="F766" s="65">
        <v>32</v>
      </c>
      <c r="G766" s="62"/>
      <c r="H766" s="66"/>
      <c r="I766" s="67"/>
      <c r="J766" s="67"/>
      <c r="K766" s="31" t="s">
        <v>65</v>
      </c>
      <c r="L766" s="75">
        <v>766</v>
      </c>
      <c r="M766" s="75"/>
      <c r="N766" s="69"/>
      <c r="O766" s="77" t="s">
        <v>543</v>
      </c>
      <c r="P766" s="79">
        <v>45140.187789351854</v>
      </c>
      <c r="Q766" s="77" t="s">
        <v>662</v>
      </c>
      <c r="R766" s="77">
        <v>1</v>
      </c>
      <c r="S766" s="77">
        <v>2</v>
      </c>
      <c r="T766" s="77">
        <v>0</v>
      </c>
      <c r="U766" s="77">
        <v>0</v>
      </c>
      <c r="V766" s="77">
        <v>93</v>
      </c>
      <c r="W766" s="77"/>
      <c r="X766" s="77"/>
      <c r="Y766" s="77"/>
      <c r="Z766" s="77" t="s">
        <v>821</v>
      </c>
      <c r="AA766" s="77"/>
      <c r="AB766" s="77"/>
      <c r="AC766" s="81" t="s">
        <v>857</v>
      </c>
      <c r="AD766" s="77" t="s">
        <v>859</v>
      </c>
      <c r="AE766" s="83" t="str">
        <f>HYPERLINK("https://twitter.com/chrisgalesmusic/status/1686595281305948160")</f>
        <v>https://twitter.com/chrisgalesmusic/status/1686595281305948160</v>
      </c>
      <c r="AF766" s="79">
        <v>45140.187789351854</v>
      </c>
      <c r="AG766" s="85">
        <v>45140</v>
      </c>
      <c r="AH766" s="81" t="s">
        <v>990</v>
      </c>
      <c r="AI766" s="77"/>
      <c r="AJ766" s="77"/>
      <c r="AK766" s="77"/>
      <c r="AL766" s="77"/>
      <c r="AM766" s="77"/>
      <c r="AN766" s="77"/>
      <c r="AO766" s="77"/>
      <c r="AP766" s="77"/>
      <c r="AQ766" s="77"/>
      <c r="AR766" s="77"/>
      <c r="AS766" s="77"/>
      <c r="AT766" s="77"/>
      <c r="AU766" s="77"/>
      <c r="AV766" s="83" t="str">
        <f>HYPERLINK("https://pbs.twimg.com/profile_images/1646618443414745088/svPKHtn1_normal.jpg")</f>
        <v>https://pbs.twimg.com/profile_images/1646618443414745088/svPKHtn1_normal.jpg</v>
      </c>
      <c r="AW766" s="81" t="s">
        <v>1145</v>
      </c>
      <c r="AX766" s="81" t="s">
        <v>1143</v>
      </c>
      <c r="AY766" s="81" t="s">
        <v>1188</v>
      </c>
      <c r="AZ766" s="81" t="s">
        <v>1143</v>
      </c>
      <c r="BA766" s="81" t="s">
        <v>1190</v>
      </c>
      <c r="BB766" s="81" t="s">
        <v>1190</v>
      </c>
      <c r="BC766" s="81" t="s">
        <v>1143</v>
      </c>
      <c r="BD766" s="77">
        <v>72464113</v>
      </c>
      <c r="BE766" s="77"/>
      <c r="BF766" s="77"/>
      <c r="BG766" s="77"/>
      <c r="BH766" s="77"/>
      <c r="BI766" s="77"/>
      <c r="BJ766">
        <v>1</v>
      </c>
      <c r="BK766" s="76" t="str">
        <f>REPLACE(INDEX(GroupVertices[Group],MATCH(Edges[[#This Row],[Vertex 1]],GroupVertices[Vertex],0)),1,1,"")</f>
        <v>8</v>
      </c>
      <c r="BL766" s="76" t="str">
        <f>REPLACE(INDEX(GroupVertices[Group],MATCH(Edges[[#This Row],[Vertex 2]],GroupVertices[Vertex],0)),1,1,"")</f>
        <v>8</v>
      </c>
      <c r="BM766" s="45"/>
      <c r="BN766" s="46"/>
      <c r="BO766" s="45"/>
      <c r="BP766" s="46"/>
      <c r="BQ766" s="45"/>
      <c r="BR766" s="46"/>
      <c r="BS766" s="45"/>
      <c r="BT766" s="46"/>
      <c r="BU766" s="45"/>
    </row>
    <row r="767" spans="1:73" ht="15">
      <c r="A767" s="61" t="s">
        <v>261</v>
      </c>
      <c r="B767" s="61" t="s">
        <v>500</v>
      </c>
      <c r="C767" s="62" t="s">
        <v>11692</v>
      </c>
      <c r="D767" s="63">
        <v>3</v>
      </c>
      <c r="E767" s="64" t="s">
        <v>132</v>
      </c>
      <c r="F767" s="65">
        <v>32</v>
      </c>
      <c r="G767" s="62"/>
      <c r="H767" s="66"/>
      <c r="I767" s="67"/>
      <c r="J767" s="67"/>
      <c r="K767" s="31" t="s">
        <v>65</v>
      </c>
      <c r="L767" s="75">
        <v>767</v>
      </c>
      <c r="M767" s="75"/>
      <c r="N767" s="69"/>
      <c r="O767" s="77" t="s">
        <v>543</v>
      </c>
      <c r="P767" s="79">
        <v>45140.187789351854</v>
      </c>
      <c r="Q767" s="77" t="s">
        <v>662</v>
      </c>
      <c r="R767" s="77">
        <v>1</v>
      </c>
      <c r="S767" s="77">
        <v>2</v>
      </c>
      <c r="T767" s="77">
        <v>0</v>
      </c>
      <c r="U767" s="77">
        <v>0</v>
      </c>
      <c r="V767" s="77">
        <v>93</v>
      </c>
      <c r="W767" s="77"/>
      <c r="X767" s="77"/>
      <c r="Y767" s="77"/>
      <c r="Z767" s="77" t="s">
        <v>821</v>
      </c>
      <c r="AA767" s="77"/>
      <c r="AB767" s="77"/>
      <c r="AC767" s="81" t="s">
        <v>857</v>
      </c>
      <c r="AD767" s="77" t="s">
        <v>859</v>
      </c>
      <c r="AE767" s="83" t="str">
        <f>HYPERLINK("https://twitter.com/chrisgalesmusic/status/1686595281305948160")</f>
        <v>https://twitter.com/chrisgalesmusic/status/1686595281305948160</v>
      </c>
      <c r="AF767" s="79">
        <v>45140.187789351854</v>
      </c>
      <c r="AG767" s="85">
        <v>45140</v>
      </c>
      <c r="AH767" s="81" t="s">
        <v>990</v>
      </c>
      <c r="AI767" s="77"/>
      <c r="AJ767" s="77"/>
      <c r="AK767" s="77"/>
      <c r="AL767" s="77"/>
      <c r="AM767" s="77"/>
      <c r="AN767" s="77"/>
      <c r="AO767" s="77"/>
      <c r="AP767" s="77"/>
      <c r="AQ767" s="77"/>
      <c r="AR767" s="77"/>
      <c r="AS767" s="77"/>
      <c r="AT767" s="77"/>
      <c r="AU767" s="77"/>
      <c r="AV767" s="83" t="str">
        <f>HYPERLINK("https://pbs.twimg.com/profile_images/1646618443414745088/svPKHtn1_normal.jpg")</f>
        <v>https://pbs.twimg.com/profile_images/1646618443414745088/svPKHtn1_normal.jpg</v>
      </c>
      <c r="AW767" s="81" t="s">
        <v>1145</v>
      </c>
      <c r="AX767" s="81" t="s">
        <v>1143</v>
      </c>
      <c r="AY767" s="81" t="s">
        <v>1188</v>
      </c>
      <c r="AZ767" s="81" t="s">
        <v>1143</v>
      </c>
      <c r="BA767" s="81" t="s">
        <v>1190</v>
      </c>
      <c r="BB767" s="81" t="s">
        <v>1190</v>
      </c>
      <c r="BC767" s="81" t="s">
        <v>1143</v>
      </c>
      <c r="BD767" s="77">
        <v>72464113</v>
      </c>
      <c r="BE767" s="77"/>
      <c r="BF767" s="77"/>
      <c r="BG767" s="77"/>
      <c r="BH767" s="77"/>
      <c r="BI767" s="77"/>
      <c r="BJ767">
        <v>1</v>
      </c>
      <c r="BK767" s="76" t="str">
        <f>REPLACE(INDEX(GroupVertices[Group],MATCH(Edges[[#This Row],[Vertex 1]],GroupVertices[Vertex],0)),1,1,"")</f>
        <v>8</v>
      </c>
      <c r="BL767" s="76" t="str">
        <f>REPLACE(INDEX(GroupVertices[Group],MATCH(Edges[[#This Row],[Vertex 2]],GroupVertices[Vertex],0)),1,1,"")</f>
        <v>8</v>
      </c>
      <c r="BM767" s="45"/>
      <c r="BN767" s="46"/>
      <c r="BO767" s="45"/>
      <c r="BP767" s="46"/>
      <c r="BQ767" s="45"/>
      <c r="BR767" s="46"/>
      <c r="BS767" s="45"/>
      <c r="BT767" s="46"/>
      <c r="BU767" s="45"/>
    </row>
    <row r="768" spans="1:73" ht="15">
      <c r="A768" s="61" t="s">
        <v>261</v>
      </c>
      <c r="B768" s="61" t="s">
        <v>501</v>
      </c>
      <c r="C768" s="62" t="s">
        <v>11692</v>
      </c>
      <c r="D768" s="63">
        <v>3</v>
      </c>
      <c r="E768" s="64" t="s">
        <v>132</v>
      </c>
      <c r="F768" s="65">
        <v>32</v>
      </c>
      <c r="G768" s="62"/>
      <c r="H768" s="66"/>
      <c r="I768" s="67"/>
      <c r="J768" s="67"/>
      <c r="K768" s="31" t="s">
        <v>65</v>
      </c>
      <c r="L768" s="75">
        <v>768</v>
      </c>
      <c r="M768" s="75"/>
      <c r="N768" s="69"/>
      <c r="O768" s="77" t="s">
        <v>543</v>
      </c>
      <c r="P768" s="79">
        <v>45140.187789351854</v>
      </c>
      <c r="Q768" s="77" t="s">
        <v>662</v>
      </c>
      <c r="R768" s="77">
        <v>1</v>
      </c>
      <c r="S768" s="77">
        <v>2</v>
      </c>
      <c r="T768" s="77">
        <v>0</v>
      </c>
      <c r="U768" s="77">
        <v>0</v>
      </c>
      <c r="V768" s="77">
        <v>93</v>
      </c>
      <c r="W768" s="77"/>
      <c r="X768" s="77"/>
      <c r="Y768" s="77"/>
      <c r="Z768" s="77" t="s">
        <v>821</v>
      </c>
      <c r="AA768" s="77"/>
      <c r="AB768" s="77"/>
      <c r="AC768" s="81" t="s">
        <v>857</v>
      </c>
      <c r="AD768" s="77" t="s">
        <v>859</v>
      </c>
      <c r="AE768" s="83" t="str">
        <f>HYPERLINK("https://twitter.com/chrisgalesmusic/status/1686595281305948160")</f>
        <v>https://twitter.com/chrisgalesmusic/status/1686595281305948160</v>
      </c>
      <c r="AF768" s="79">
        <v>45140.187789351854</v>
      </c>
      <c r="AG768" s="85">
        <v>45140</v>
      </c>
      <c r="AH768" s="81" t="s">
        <v>990</v>
      </c>
      <c r="AI768" s="77"/>
      <c r="AJ768" s="77"/>
      <c r="AK768" s="77"/>
      <c r="AL768" s="77"/>
      <c r="AM768" s="77"/>
      <c r="AN768" s="77"/>
      <c r="AO768" s="77"/>
      <c r="AP768" s="77"/>
      <c r="AQ768" s="77"/>
      <c r="AR768" s="77"/>
      <c r="AS768" s="77"/>
      <c r="AT768" s="77"/>
      <c r="AU768" s="77"/>
      <c r="AV768" s="83" t="str">
        <f>HYPERLINK("https://pbs.twimg.com/profile_images/1646618443414745088/svPKHtn1_normal.jpg")</f>
        <v>https://pbs.twimg.com/profile_images/1646618443414745088/svPKHtn1_normal.jpg</v>
      </c>
      <c r="AW768" s="81" t="s">
        <v>1145</v>
      </c>
      <c r="AX768" s="81" t="s">
        <v>1143</v>
      </c>
      <c r="AY768" s="81" t="s">
        <v>1188</v>
      </c>
      <c r="AZ768" s="81" t="s">
        <v>1143</v>
      </c>
      <c r="BA768" s="81" t="s">
        <v>1190</v>
      </c>
      <c r="BB768" s="81" t="s">
        <v>1190</v>
      </c>
      <c r="BC768" s="81" t="s">
        <v>1143</v>
      </c>
      <c r="BD768" s="77">
        <v>72464113</v>
      </c>
      <c r="BE768" s="77"/>
      <c r="BF768" s="77"/>
      <c r="BG768" s="77"/>
      <c r="BH768" s="77"/>
      <c r="BI768" s="77"/>
      <c r="BJ768">
        <v>1</v>
      </c>
      <c r="BK768" s="76" t="str">
        <f>REPLACE(INDEX(GroupVertices[Group],MATCH(Edges[[#This Row],[Vertex 1]],GroupVertices[Vertex],0)),1,1,"")</f>
        <v>8</v>
      </c>
      <c r="BL768" s="76" t="str">
        <f>REPLACE(INDEX(GroupVertices[Group],MATCH(Edges[[#This Row],[Vertex 2]],GroupVertices[Vertex],0)),1,1,"")</f>
        <v>8</v>
      </c>
      <c r="BM768" s="45"/>
      <c r="BN768" s="46"/>
      <c r="BO768" s="45"/>
      <c r="BP768" s="46"/>
      <c r="BQ768" s="45"/>
      <c r="BR768" s="46"/>
      <c r="BS768" s="45"/>
      <c r="BT768" s="46"/>
      <c r="BU768" s="45"/>
    </row>
    <row r="769" spans="1:73" ht="15">
      <c r="A769" s="61" t="s">
        <v>261</v>
      </c>
      <c r="B769" s="61" t="s">
        <v>259</v>
      </c>
      <c r="C769" s="62" t="s">
        <v>11692</v>
      </c>
      <c r="D769" s="63">
        <v>3</v>
      </c>
      <c r="E769" s="64" t="s">
        <v>132</v>
      </c>
      <c r="F769" s="65">
        <v>32</v>
      </c>
      <c r="G769" s="62"/>
      <c r="H769" s="66"/>
      <c r="I769" s="67"/>
      <c r="J769" s="67"/>
      <c r="K769" s="31" t="s">
        <v>66</v>
      </c>
      <c r="L769" s="75">
        <v>769</v>
      </c>
      <c r="M769" s="75"/>
      <c r="N769" s="69"/>
      <c r="O769" s="77" t="s">
        <v>540</v>
      </c>
      <c r="P769" s="79">
        <v>45140.187789351854</v>
      </c>
      <c r="Q769" s="77" t="s">
        <v>662</v>
      </c>
      <c r="R769" s="77">
        <v>1</v>
      </c>
      <c r="S769" s="77">
        <v>2</v>
      </c>
      <c r="T769" s="77">
        <v>0</v>
      </c>
      <c r="U769" s="77">
        <v>0</v>
      </c>
      <c r="V769" s="77">
        <v>93</v>
      </c>
      <c r="W769" s="77"/>
      <c r="X769" s="77"/>
      <c r="Y769" s="77"/>
      <c r="Z769" s="77" t="s">
        <v>821</v>
      </c>
      <c r="AA769" s="77"/>
      <c r="AB769" s="77"/>
      <c r="AC769" s="81" t="s">
        <v>857</v>
      </c>
      <c r="AD769" s="77" t="s">
        <v>859</v>
      </c>
      <c r="AE769" s="83" t="str">
        <f>HYPERLINK("https://twitter.com/chrisgalesmusic/status/1686595281305948160")</f>
        <v>https://twitter.com/chrisgalesmusic/status/1686595281305948160</v>
      </c>
      <c r="AF769" s="79">
        <v>45140.187789351854</v>
      </c>
      <c r="AG769" s="85">
        <v>45140</v>
      </c>
      <c r="AH769" s="81" t="s">
        <v>990</v>
      </c>
      <c r="AI769" s="77"/>
      <c r="AJ769" s="77"/>
      <c r="AK769" s="77"/>
      <c r="AL769" s="77"/>
      <c r="AM769" s="77"/>
      <c r="AN769" s="77"/>
      <c r="AO769" s="77"/>
      <c r="AP769" s="77"/>
      <c r="AQ769" s="77"/>
      <c r="AR769" s="77"/>
      <c r="AS769" s="77"/>
      <c r="AT769" s="77"/>
      <c r="AU769" s="77"/>
      <c r="AV769" s="83" t="str">
        <f>HYPERLINK("https://pbs.twimg.com/profile_images/1646618443414745088/svPKHtn1_normal.jpg")</f>
        <v>https://pbs.twimg.com/profile_images/1646618443414745088/svPKHtn1_normal.jpg</v>
      </c>
      <c r="AW769" s="81" t="s">
        <v>1145</v>
      </c>
      <c r="AX769" s="81" t="s">
        <v>1143</v>
      </c>
      <c r="AY769" s="81" t="s">
        <v>1188</v>
      </c>
      <c r="AZ769" s="81" t="s">
        <v>1143</v>
      </c>
      <c r="BA769" s="81" t="s">
        <v>1190</v>
      </c>
      <c r="BB769" s="81" t="s">
        <v>1190</v>
      </c>
      <c r="BC769" s="81" t="s">
        <v>1143</v>
      </c>
      <c r="BD769" s="77">
        <v>72464113</v>
      </c>
      <c r="BE769" s="77"/>
      <c r="BF769" s="77"/>
      <c r="BG769" s="77"/>
      <c r="BH769" s="77"/>
      <c r="BI769" s="77"/>
      <c r="BJ769">
        <v>1</v>
      </c>
      <c r="BK769" s="76" t="str">
        <f>REPLACE(INDEX(GroupVertices[Group],MATCH(Edges[[#This Row],[Vertex 1]],GroupVertices[Vertex],0)),1,1,"")</f>
        <v>8</v>
      </c>
      <c r="BL769" s="76" t="str">
        <f>REPLACE(INDEX(GroupVertices[Group],MATCH(Edges[[#This Row],[Vertex 2]],GroupVertices[Vertex],0)),1,1,"")</f>
        <v>8</v>
      </c>
      <c r="BM769" s="45"/>
      <c r="BN769" s="46"/>
      <c r="BO769" s="45"/>
      <c r="BP769" s="46"/>
      <c r="BQ769" s="45"/>
      <c r="BR769" s="46"/>
      <c r="BS769" s="45"/>
      <c r="BT769" s="46"/>
      <c r="BU769" s="45"/>
    </row>
    <row r="770" spans="1:73" ht="15">
      <c r="A770" s="61" t="s">
        <v>262</v>
      </c>
      <c r="B770" s="61" t="s">
        <v>261</v>
      </c>
      <c r="C770" s="62" t="s">
        <v>11692</v>
      </c>
      <c r="D770" s="63">
        <v>3</v>
      </c>
      <c r="E770" s="64" t="s">
        <v>132</v>
      </c>
      <c r="F770" s="65">
        <v>32</v>
      </c>
      <c r="G770" s="62"/>
      <c r="H770" s="66"/>
      <c r="I770" s="67"/>
      <c r="J770" s="67"/>
      <c r="K770" s="31" t="s">
        <v>66</v>
      </c>
      <c r="L770" s="75">
        <v>770</v>
      </c>
      <c r="M770" s="75"/>
      <c r="N770" s="69"/>
      <c r="O770" s="77" t="s">
        <v>543</v>
      </c>
      <c r="P770" s="79">
        <v>45140.588055555556</v>
      </c>
      <c r="Q770" s="77" t="s">
        <v>663</v>
      </c>
      <c r="R770" s="77">
        <v>0</v>
      </c>
      <c r="S770" s="77">
        <v>2</v>
      </c>
      <c r="T770" s="77">
        <v>0</v>
      </c>
      <c r="U770" s="77">
        <v>0</v>
      </c>
      <c r="V770" s="77">
        <v>55</v>
      </c>
      <c r="W770" s="77"/>
      <c r="X770" s="77"/>
      <c r="Y770" s="77"/>
      <c r="Z770" s="77" t="s">
        <v>822</v>
      </c>
      <c r="AA770" s="77"/>
      <c r="AB770" s="77"/>
      <c r="AC770" s="81" t="s">
        <v>857</v>
      </c>
      <c r="AD770" s="77" t="s">
        <v>859</v>
      </c>
      <c r="AE770" s="83" t="str">
        <f>HYPERLINK("https://twitter.com/chrismontmusic/status/1686740332401078274")</f>
        <v>https://twitter.com/chrismontmusic/status/1686740332401078274</v>
      </c>
      <c r="AF770" s="79">
        <v>45140.588055555556</v>
      </c>
      <c r="AG770" s="85">
        <v>45140</v>
      </c>
      <c r="AH770" s="81" t="s">
        <v>991</v>
      </c>
      <c r="AI770" s="77"/>
      <c r="AJ770" s="77"/>
      <c r="AK770" s="77"/>
      <c r="AL770" s="77"/>
      <c r="AM770" s="77"/>
      <c r="AN770" s="77"/>
      <c r="AO770" s="77"/>
      <c r="AP770" s="77"/>
      <c r="AQ770" s="77"/>
      <c r="AR770" s="77"/>
      <c r="AS770" s="77"/>
      <c r="AT770" s="77"/>
      <c r="AU770" s="77"/>
      <c r="AV770" s="83" t="str">
        <f>HYPERLINK("https://pbs.twimg.com/profile_images/1700212395728060416/FLrANnNz_normal.jpg")</f>
        <v>https://pbs.twimg.com/profile_images/1700212395728060416/FLrANnNz_normal.jpg</v>
      </c>
      <c r="AW770" s="81" t="s">
        <v>1146</v>
      </c>
      <c r="AX770" s="81" t="s">
        <v>1143</v>
      </c>
      <c r="AY770" s="81" t="s">
        <v>1188</v>
      </c>
      <c r="AZ770" s="81" t="s">
        <v>1143</v>
      </c>
      <c r="BA770" s="81" t="s">
        <v>1190</v>
      </c>
      <c r="BB770" s="81" t="s">
        <v>1190</v>
      </c>
      <c r="BC770" s="81" t="s">
        <v>1143</v>
      </c>
      <c r="BD770" s="77">
        <v>16423356</v>
      </c>
      <c r="BE770" s="77"/>
      <c r="BF770" s="77"/>
      <c r="BG770" s="77"/>
      <c r="BH770" s="77"/>
      <c r="BI770" s="77"/>
      <c r="BJ770">
        <v>1</v>
      </c>
      <c r="BK770" s="76" t="str">
        <f>REPLACE(INDEX(GroupVertices[Group],MATCH(Edges[[#This Row],[Vertex 1]],GroupVertices[Vertex],0)),1,1,"")</f>
        <v>8</v>
      </c>
      <c r="BL770" s="76" t="str">
        <f>REPLACE(INDEX(GroupVertices[Group],MATCH(Edges[[#This Row],[Vertex 2]],GroupVertices[Vertex],0)),1,1,"")</f>
        <v>8</v>
      </c>
      <c r="BM770" s="45"/>
      <c r="BN770" s="46"/>
      <c r="BO770" s="45"/>
      <c r="BP770" s="46"/>
      <c r="BQ770" s="45"/>
      <c r="BR770" s="46"/>
      <c r="BS770" s="45"/>
      <c r="BT770" s="46"/>
      <c r="BU770" s="45"/>
    </row>
    <row r="771" spans="1:73" ht="15">
      <c r="A771" s="61" t="s">
        <v>259</v>
      </c>
      <c r="B771" s="61" t="s">
        <v>493</v>
      </c>
      <c r="C771" s="62" t="s">
        <v>11692</v>
      </c>
      <c r="D771" s="63">
        <v>3</v>
      </c>
      <c r="E771" s="64" t="s">
        <v>132</v>
      </c>
      <c r="F771" s="65">
        <v>32</v>
      </c>
      <c r="G771" s="62"/>
      <c r="H771" s="66"/>
      <c r="I771" s="67"/>
      <c r="J771" s="67"/>
      <c r="K771" s="31" t="s">
        <v>65</v>
      </c>
      <c r="L771" s="75">
        <v>771</v>
      </c>
      <c r="M771" s="75"/>
      <c r="N771" s="69"/>
      <c r="O771" s="77" t="s">
        <v>539</v>
      </c>
      <c r="P771" s="79">
        <v>45139.25664351852</v>
      </c>
      <c r="Q771" s="77" t="s">
        <v>660</v>
      </c>
      <c r="R771" s="77">
        <v>2</v>
      </c>
      <c r="S771" s="77">
        <v>8</v>
      </c>
      <c r="T771" s="77">
        <v>3</v>
      </c>
      <c r="U771" s="77">
        <v>0</v>
      </c>
      <c r="V771" s="77">
        <v>221</v>
      </c>
      <c r="W771" s="81" t="s">
        <v>727</v>
      </c>
      <c r="X771" s="77"/>
      <c r="Y771" s="77"/>
      <c r="Z771" s="77" t="s">
        <v>819</v>
      </c>
      <c r="AA771" s="77" t="s">
        <v>846</v>
      </c>
      <c r="AB771" s="77" t="s">
        <v>848</v>
      </c>
      <c r="AC771" s="81" t="s">
        <v>855</v>
      </c>
      <c r="AD771" s="77" t="s">
        <v>859</v>
      </c>
      <c r="AE771" s="83" t="str">
        <f>HYPERLINK("https://twitter.com/michaelbathurst/status/1686257845048590336")</f>
        <v>https://twitter.com/michaelbathurst/status/1686257845048590336</v>
      </c>
      <c r="AF771" s="79">
        <v>45139.25664351852</v>
      </c>
      <c r="AG771" s="85">
        <v>45139</v>
      </c>
      <c r="AH771" s="81" t="s">
        <v>988</v>
      </c>
      <c r="AI771" s="77" t="b">
        <v>0</v>
      </c>
      <c r="AJ771" s="77"/>
      <c r="AK771" s="77"/>
      <c r="AL771" s="77"/>
      <c r="AM771" s="77"/>
      <c r="AN771" s="77"/>
      <c r="AO771" s="77"/>
      <c r="AP771" s="77"/>
      <c r="AQ771" s="77" t="s">
        <v>1025</v>
      </c>
      <c r="AR771" s="77"/>
      <c r="AS771" s="77"/>
      <c r="AT771" s="77"/>
      <c r="AU771" s="77"/>
      <c r="AV771" s="83" t="str">
        <f>HYPERLINK("https://pbs.twimg.com/media/F2bKkr2WQAA2v5-.jpg")</f>
        <v>https://pbs.twimg.com/media/F2bKkr2WQAA2v5-.jpg</v>
      </c>
      <c r="AW771" s="81" t="s">
        <v>1143</v>
      </c>
      <c r="AX771" s="81" t="s">
        <v>1143</v>
      </c>
      <c r="AY771" s="77"/>
      <c r="AZ771" s="81" t="s">
        <v>1190</v>
      </c>
      <c r="BA771" s="81" t="s">
        <v>1190</v>
      </c>
      <c r="BB771" s="81" t="s">
        <v>1190</v>
      </c>
      <c r="BC771" s="81" t="s">
        <v>1143</v>
      </c>
      <c r="BD771" s="77">
        <v>37188645</v>
      </c>
      <c r="BE771" s="77"/>
      <c r="BF771" s="77"/>
      <c r="BG771" s="77"/>
      <c r="BH771" s="77"/>
      <c r="BI771" s="77"/>
      <c r="BJ771">
        <v>1</v>
      </c>
      <c r="BK771" s="76" t="str">
        <f>REPLACE(INDEX(GroupVertices[Group],MATCH(Edges[[#This Row],[Vertex 1]],GroupVertices[Vertex],0)),1,1,"")</f>
        <v>8</v>
      </c>
      <c r="BL771" s="76" t="str">
        <f>REPLACE(INDEX(GroupVertices[Group],MATCH(Edges[[#This Row],[Vertex 2]],GroupVertices[Vertex],0)),1,1,"")</f>
        <v>8</v>
      </c>
      <c r="BM771" s="45"/>
      <c r="BN771" s="46"/>
      <c r="BO771" s="45"/>
      <c r="BP771" s="46"/>
      <c r="BQ771" s="45"/>
      <c r="BR771" s="46"/>
      <c r="BS771" s="45"/>
      <c r="BT771" s="46"/>
      <c r="BU771" s="45"/>
    </row>
    <row r="772" spans="1:73" ht="15">
      <c r="A772" s="61" t="s">
        <v>260</v>
      </c>
      <c r="B772" s="61" t="s">
        <v>493</v>
      </c>
      <c r="C772" s="62" t="s">
        <v>11692</v>
      </c>
      <c r="D772" s="63">
        <v>3</v>
      </c>
      <c r="E772" s="64" t="s">
        <v>132</v>
      </c>
      <c r="F772" s="65">
        <v>32</v>
      </c>
      <c r="G772" s="62"/>
      <c r="H772" s="66"/>
      <c r="I772" s="67"/>
      <c r="J772" s="67"/>
      <c r="K772" s="31" t="s">
        <v>65</v>
      </c>
      <c r="L772" s="75">
        <v>772</v>
      </c>
      <c r="M772" s="75"/>
      <c r="N772" s="69"/>
      <c r="O772" s="77" t="s">
        <v>543</v>
      </c>
      <c r="P772" s="79">
        <v>45140.292337962965</v>
      </c>
      <c r="Q772" s="77" t="s">
        <v>661</v>
      </c>
      <c r="R772" s="77">
        <v>0</v>
      </c>
      <c r="S772" s="77">
        <v>0</v>
      </c>
      <c r="T772" s="77">
        <v>1</v>
      </c>
      <c r="U772" s="77">
        <v>0</v>
      </c>
      <c r="V772" s="77">
        <v>45</v>
      </c>
      <c r="W772" s="77"/>
      <c r="X772" s="77"/>
      <c r="Y772" s="77"/>
      <c r="Z772" s="77" t="s">
        <v>820</v>
      </c>
      <c r="AA772" s="77" t="s">
        <v>847</v>
      </c>
      <c r="AB772" s="77" t="s">
        <v>848</v>
      </c>
      <c r="AC772" s="81" t="s">
        <v>855</v>
      </c>
      <c r="AD772" s="77" t="s">
        <v>859</v>
      </c>
      <c r="AE772" s="83" t="str">
        <f>HYPERLINK("https://twitter.com/sunflwrgirl2/status/1686633170177802240")</f>
        <v>https://twitter.com/sunflwrgirl2/status/1686633170177802240</v>
      </c>
      <c r="AF772" s="79">
        <v>45140.292337962965</v>
      </c>
      <c r="AG772" s="85">
        <v>45140</v>
      </c>
      <c r="AH772" s="81" t="s">
        <v>989</v>
      </c>
      <c r="AI772" s="77" t="b">
        <v>0</v>
      </c>
      <c r="AJ772" s="77"/>
      <c r="AK772" s="77"/>
      <c r="AL772" s="77"/>
      <c r="AM772" s="77"/>
      <c r="AN772" s="77"/>
      <c r="AO772" s="77"/>
      <c r="AP772" s="77"/>
      <c r="AQ772" s="77" t="s">
        <v>1026</v>
      </c>
      <c r="AR772" s="77"/>
      <c r="AS772" s="77"/>
      <c r="AT772" s="77"/>
      <c r="AU772" s="77"/>
      <c r="AV772" s="83" t="str">
        <f>HYPERLINK("https://pbs.twimg.com/media/F2gf7icWEAAFH14.jpg")</f>
        <v>https://pbs.twimg.com/media/F2gf7icWEAAFH14.jpg</v>
      </c>
      <c r="AW772" s="81" t="s">
        <v>1144</v>
      </c>
      <c r="AX772" s="81" t="s">
        <v>1143</v>
      </c>
      <c r="AY772" s="81" t="s">
        <v>1188</v>
      </c>
      <c r="AZ772" s="81" t="s">
        <v>1143</v>
      </c>
      <c r="BA772" s="81" t="s">
        <v>1190</v>
      </c>
      <c r="BB772" s="81" t="s">
        <v>1190</v>
      </c>
      <c r="BC772" s="81" t="s">
        <v>1143</v>
      </c>
      <c r="BD772" s="81" t="s">
        <v>1181</v>
      </c>
      <c r="BE772" s="77"/>
      <c r="BF772" s="77"/>
      <c r="BG772" s="77"/>
      <c r="BH772" s="77"/>
      <c r="BI772" s="77"/>
      <c r="BJ772">
        <v>1</v>
      </c>
      <c r="BK772" s="76" t="str">
        <f>REPLACE(INDEX(GroupVertices[Group],MATCH(Edges[[#This Row],[Vertex 1]],GroupVertices[Vertex],0)),1,1,"")</f>
        <v>8</v>
      </c>
      <c r="BL772" s="76" t="str">
        <f>REPLACE(INDEX(GroupVertices[Group],MATCH(Edges[[#This Row],[Vertex 2]],GroupVertices[Vertex],0)),1,1,"")</f>
        <v>8</v>
      </c>
      <c r="BM772" s="45"/>
      <c r="BN772" s="46"/>
      <c r="BO772" s="45"/>
      <c r="BP772" s="46"/>
      <c r="BQ772" s="45"/>
      <c r="BR772" s="46"/>
      <c r="BS772" s="45"/>
      <c r="BT772" s="46"/>
      <c r="BU772" s="45"/>
    </row>
    <row r="773" spans="1:73" ht="15">
      <c r="A773" s="61" t="s">
        <v>262</v>
      </c>
      <c r="B773" s="61" t="s">
        <v>493</v>
      </c>
      <c r="C773" s="62" t="s">
        <v>11692</v>
      </c>
      <c r="D773" s="63">
        <v>3</v>
      </c>
      <c r="E773" s="64" t="s">
        <v>132</v>
      </c>
      <c r="F773" s="65">
        <v>32</v>
      </c>
      <c r="G773" s="62"/>
      <c r="H773" s="66"/>
      <c r="I773" s="67"/>
      <c r="J773" s="67"/>
      <c r="K773" s="31" t="s">
        <v>65</v>
      </c>
      <c r="L773" s="75">
        <v>773</v>
      </c>
      <c r="M773" s="75"/>
      <c r="N773" s="69"/>
      <c r="O773" s="77" t="s">
        <v>543</v>
      </c>
      <c r="P773" s="79">
        <v>45140.588055555556</v>
      </c>
      <c r="Q773" s="77" t="s">
        <v>663</v>
      </c>
      <c r="R773" s="77">
        <v>0</v>
      </c>
      <c r="S773" s="77">
        <v>2</v>
      </c>
      <c r="T773" s="77">
        <v>0</v>
      </c>
      <c r="U773" s="77">
        <v>0</v>
      </c>
      <c r="V773" s="77">
        <v>55</v>
      </c>
      <c r="W773" s="77"/>
      <c r="X773" s="77"/>
      <c r="Y773" s="77"/>
      <c r="Z773" s="77" t="s">
        <v>822</v>
      </c>
      <c r="AA773" s="77"/>
      <c r="AB773" s="77"/>
      <c r="AC773" s="81" t="s">
        <v>857</v>
      </c>
      <c r="AD773" s="77" t="s">
        <v>859</v>
      </c>
      <c r="AE773" s="83" t="str">
        <f>HYPERLINK("https://twitter.com/chrismontmusic/status/1686740332401078274")</f>
        <v>https://twitter.com/chrismontmusic/status/1686740332401078274</v>
      </c>
      <c r="AF773" s="79">
        <v>45140.588055555556</v>
      </c>
      <c r="AG773" s="85">
        <v>45140</v>
      </c>
      <c r="AH773" s="81" t="s">
        <v>991</v>
      </c>
      <c r="AI773" s="77"/>
      <c r="AJ773" s="77"/>
      <c r="AK773" s="77"/>
      <c r="AL773" s="77"/>
      <c r="AM773" s="77"/>
      <c r="AN773" s="77"/>
      <c r="AO773" s="77"/>
      <c r="AP773" s="77"/>
      <c r="AQ773" s="77"/>
      <c r="AR773" s="77"/>
      <c r="AS773" s="77"/>
      <c r="AT773" s="77"/>
      <c r="AU773" s="77"/>
      <c r="AV773" s="83" t="str">
        <f>HYPERLINK("https://pbs.twimg.com/profile_images/1700212395728060416/FLrANnNz_normal.jpg")</f>
        <v>https://pbs.twimg.com/profile_images/1700212395728060416/FLrANnNz_normal.jpg</v>
      </c>
      <c r="AW773" s="81" t="s">
        <v>1146</v>
      </c>
      <c r="AX773" s="81" t="s">
        <v>1143</v>
      </c>
      <c r="AY773" s="81" t="s">
        <v>1188</v>
      </c>
      <c r="AZ773" s="81" t="s">
        <v>1143</v>
      </c>
      <c r="BA773" s="81" t="s">
        <v>1190</v>
      </c>
      <c r="BB773" s="81" t="s">
        <v>1190</v>
      </c>
      <c r="BC773" s="81" t="s">
        <v>1143</v>
      </c>
      <c r="BD773" s="77">
        <v>16423356</v>
      </c>
      <c r="BE773" s="77"/>
      <c r="BF773" s="77"/>
      <c r="BG773" s="77"/>
      <c r="BH773" s="77"/>
      <c r="BI773" s="77"/>
      <c r="BJ773">
        <v>1</v>
      </c>
      <c r="BK773" s="76" t="str">
        <f>REPLACE(INDEX(GroupVertices[Group],MATCH(Edges[[#This Row],[Vertex 1]],GroupVertices[Vertex],0)),1,1,"")</f>
        <v>8</v>
      </c>
      <c r="BL773" s="76" t="str">
        <f>REPLACE(INDEX(GroupVertices[Group],MATCH(Edges[[#This Row],[Vertex 2]],GroupVertices[Vertex],0)),1,1,"")</f>
        <v>8</v>
      </c>
      <c r="BM773" s="45"/>
      <c r="BN773" s="46"/>
      <c r="BO773" s="45"/>
      <c r="BP773" s="46"/>
      <c r="BQ773" s="45"/>
      <c r="BR773" s="46"/>
      <c r="BS773" s="45"/>
      <c r="BT773" s="46"/>
      <c r="BU773" s="45"/>
    </row>
    <row r="774" spans="1:73" ht="15">
      <c r="A774" s="61" t="s">
        <v>259</v>
      </c>
      <c r="B774" s="61" t="s">
        <v>494</v>
      </c>
      <c r="C774" s="62" t="s">
        <v>11692</v>
      </c>
      <c r="D774" s="63">
        <v>3</v>
      </c>
      <c r="E774" s="64" t="s">
        <v>132</v>
      </c>
      <c r="F774" s="65">
        <v>32</v>
      </c>
      <c r="G774" s="62"/>
      <c r="H774" s="66"/>
      <c r="I774" s="67"/>
      <c r="J774" s="67"/>
      <c r="K774" s="31" t="s">
        <v>65</v>
      </c>
      <c r="L774" s="75">
        <v>774</v>
      </c>
      <c r="M774" s="75"/>
      <c r="N774" s="69"/>
      <c r="O774" s="77" t="s">
        <v>539</v>
      </c>
      <c r="P774" s="79">
        <v>45139.25664351852</v>
      </c>
      <c r="Q774" s="77" t="s">
        <v>660</v>
      </c>
      <c r="R774" s="77">
        <v>2</v>
      </c>
      <c r="S774" s="77">
        <v>8</v>
      </c>
      <c r="T774" s="77">
        <v>3</v>
      </c>
      <c r="U774" s="77">
        <v>0</v>
      </c>
      <c r="V774" s="77">
        <v>221</v>
      </c>
      <c r="W774" s="81" t="s">
        <v>727</v>
      </c>
      <c r="X774" s="77"/>
      <c r="Y774" s="77"/>
      <c r="Z774" s="77" t="s">
        <v>819</v>
      </c>
      <c r="AA774" s="77" t="s">
        <v>846</v>
      </c>
      <c r="AB774" s="77" t="s">
        <v>848</v>
      </c>
      <c r="AC774" s="81" t="s">
        <v>855</v>
      </c>
      <c r="AD774" s="77" t="s">
        <v>859</v>
      </c>
      <c r="AE774" s="83" t="str">
        <f>HYPERLINK("https://twitter.com/michaelbathurst/status/1686257845048590336")</f>
        <v>https://twitter.com/michaelbathurst/status/1686257845048590336</v>
      </c>
      <c r="AF774" s="79">
        <v>45139.25664351852</v>
      </c>
      <c r="AG774" s="85">
        <v>45139</v>
      </c>
      <c r="AH774" s="81" t="s">
        <v>988</v>
      </c>
      <c r="AI774" s="77" t="b">
        <v>0</v>
      </c>
      <c r="AJ774" s="77"/>
      <c r="AK774" s="77"/>
      <c r="AL774" s="77"/>
      <c r="AM774" s="77"/>
      <c r="AN774" s="77"/>
      <c r="AO774" s="77"/>
      <c r="AP774" s="77"/>
      <c r="AQ774" s="77" t="s">
        <v>1025</v>
      </c>
      <c r="AR774" s="77"/>
      <c r="AS774" s="77"/>
      <c r="AT774" s="77"/>
      <c r="AU774" s="77"/>
      <c r="AV774" s="83" t="str">
        <f>HYPERLINK("https://pbs.twimg.com/media/F2bKkr2WQAA2v5-.jpg")</f>
        <v>https://pbs.twimg.com/media/F2bKkr2WQAA2v5-.jpg</v>
      </c>
      <c r="AW774" s="81" t="s">
        <v>1143</v>
      </c>
      <c r="AX774" s="81" t="s">
        <v>1143</v>
      </c>
      <c r="AY774" s="77"/>
      <c r="AZ774" s="81" t="s">
        <v>1190</v>
      </c>
      <c r="BA774" s="81" t="s">
        <v>1190</v>
      </c>
      <c r="BB774" s="81" t="s">
        <v>1190</v>
      </c>
      <c r="BC774" s="81" t="s">
        <v>1143</v>
      </c>
      <c r="BD774" s="77">
        <v>37188645</v>
      </c>
      <c r="BE774" s="77"/>
      <c r="BF774" s="77"/>
      <c r="BG774" s="77"/>
      <c r="BH774" s="77"/>
      <c r="BI774" s="77"/>
      <c r="BJ774">
        <v>1</v>
      </c>
      <c r="BK774" s="76" t="str">
        <f>REPLACE(INDEX(GroupVertices[Group],MATCH(Edges[[#This Row],[Vertex 1]],GroupVertices[Vertex],0)),1,1,"")</f>
        <v>8</v>
      </c>
      <c r="BL774" s="76" t="str">
        <f>REPLACE(INDEX(GroupVertices[Group],MATCH(Edges[[#This Row],[Vertex 2]],GroupVertices[Vertex],0)),1,1,"")</f>
        <v>8</v>
      </c>
      <c r="BM774" s="45"/>
      <c r="BN774" s="46"/>
      <c r="BO774" s="45"/>
      <c r="BP774" s="46"/>
      <c r="BQ774" s="45"/>
      <c r="BR774" s="46"/>
      <c r="BS774" s="45"/>
      <c r="BT774" s="46"/>
      <c r="BU774" s="45"/>
    </row>
    <row r="775" spans="1:73" ht="15">
      <c r="A775" s="61" t="s">
        <v>260</v>
      </c>
      <c r="B775" s="61" t="s">
        <v>494</v>
      </c>
      <c r="C775" s="62" t="s">
        <v>11692</v>
      </c>
      <c r="D775" s="63">
        <v>3</v>
      </c>
      <c r="E775" s="64" t="s">
        <v>132</v>
      </c>
      <c r="F775" s="65">
        <v>32</v>
      </c>
      <c r="G775" s="62"/>
      <c r="H775" s="66"/>
      <c r="I775" s="67"/>
      <c r="J775" s="67"/>
      <c r="K775" s="31" t="s">
        <v>65</v>
      </c>
      <c r="L775" s="75">
        <v>775</v>
      </c>
      <c r="M775" s="75"/>
      <c r="N775" s="69"/>
      <c r="O775" s="77" t="s">
        <v>543</v>
      </c>
      <c r="P775" s="79">
        <v>45140.292337962965</v>
      </c>
      <c r="Q775" s="77" t="s">
        <v>661</v>
      </c>
      <c r="R775" s="77">
        <v>0</v>
      </c>
      <c r="S775" s="77">
        <v>0</v>
      </c>
      <c r="T775" s="77">
        <v>1</v>
      </c>
      <c r="U775" s="77">
        <v>0</v>
      </c>
      <c r="V775" s="77">
        <v>45</v>
      </c>
      <c r="W775" s="77"/>
      <c r="X775" s="77"/>
      <c r="Y775" s="77"/>
      <c r="Z775" s="77" t="s">
        <v>820</v>
      </c>
      <c r="AA775" s="77" t="s">
        <v>847</v>
      </c>
      <c r="AB775" s="77" t="s">
        <v>848</v>
      </c>
      <c r="AC775" s="81" t="s">
        <v>855</v>
      </c>
      <c r="AD775" s="77" t="s">
        <v>859</v>
      </c>
      <c r="AE775" s="83" t="str">
        <f>HYPERLINK("https://twitter.com/sunflwrgirl2/status/1686633170177802240")</f>
        <v>https://twitter.com/sunflwrgirl2/status/1686633170177802240</v>
      </c>
      <c r="AF775" s="79">
        <v>45140.292337962965</v>
      </c>
      <c r="AG775" s="85">
        <v>45140</v>
      </c>
      <c r="AH775" s="81" t="s">
        <v>989</v>
      </c>
      <c r="AI775" s="77" t="b">
        <v>0</v>
      </c>
      <c r="AJ775" s="77"/>
      <c r="AK775" s="77"/>
      <c r="AL775" s="77"/>
      <c r="AM775" s="77"/>
      <c r="AN775" s="77"/>
      <c r="AO775" s="77"/>
      <c r="AP775" s="77"/>
      <c r="AQ775" s="77" t="s">
        <v>1026</v>
      </c>
      <c r="AR775" s="77"/>
      <c r="AS775" s="77"/>
      <c r="AT775" s="77"/>
      <c r="AU775" s="77"/>
      <c r="AV775" s="83" t="str">
        <f>HYPERLINK("https://pbs.twimg.com/media/F2gf7icWEAAFH14.jpg")</f>
        <v>https://pbs.twimg.com/media/F2gf7icWEAAFH14.jpg</v>
      </c>
      <c r="AW775" s="81" t="s">
        <v>1144</v>
      </c>
      <c r="AX775" s="81" t="s">
        <v>1143</v>
      </c>
      <c r="AY775" s="81" t="s">
        <v>1188</v>
      </c>
      <c r="AZ775" s="81" t="s">
        <v>1143</v>
      </c>
      <c r="BA775" s="81" t="s">
        <v>1190</v>
      </c>
      <c r="BB775" s="81" t="s">
        <v>1190</v>
      </c>
      <c r="BC775" s="81" t="s">
        <v>1143</v>
      </c>
      <c r="BD775" s="81" t="s">
        <v>1181</v>
      </c>
      <c r="BE775" s="77"/>
      <c r="BF775" s="77"/>
      <c r="BG775" s="77"/>
      <c r="BH775" s="77"/>
      <c r="BI775" s="77"/>
      <c r="BJ775">
        <v>1</v>
      </c>
      <c r="BK775" s="76" t="str">
        <f>REPLACE(INDEX(GroupVertices[Group],MATCH(Edges[[#This Row],[Vertex 1]],GroupVertices[Vertex],0)),1,1,"")</f>
        <v>8</v>
      </c>
      <c r="BL775" s="76" t="str">
        <f>REPLACE(INDEX(GroupVertices[Group],MATCH(Edges[[#This Row],[Vertex 2]],GroupVertices[Vertex],0)),1,1,"")</f>
        <v>8</v>
      </c>
      <c r="BM775" s="45"/>
      <c r="BN775" s="46"/>
      <c r="BO775" s="45"/>
      <c r="BP775" s="46"/>
      <c r="BQ775" s="45"/>
      <c r="BR775" s="46"/>
      <c r="BS775" s="45"/>
      <c r="BT775" s="46"/>
      <c r="BU775" s="45"/>
    </row>
    <row r="776" spans="1:73" ht="15">
      <c r="A776" s="61" t="s">
        <v>262</v>
      </c>
      <c r="B776" s="61" t="s">
        <v>494</v>
      </c>
      <c r="C776" s="62" t="s">
        <v>11692</v>
      </c>
      <c r="D776" s="63">
        <v>3</v>
      </c>
      <c r="E776" s="64" t="s">
        <v>132</v>
      </c>
      <c r="F776" s="65">
        <v>32</v>
      </c>
      <c r="G776" s="62"/>
      <c r="H776" s="66"/>
      <c r="I776" s="67"/>
      <c r="J776" s="67"/>
      <c r="K776" s="31" t="s">
        <v>65</v>
      </c>
      <c r="L776" s="75">
        <v>776</v>
      </c>
      <c r="M776" s="75"/>
      <c r="N776" s="69"/>
      <c r="O776" s="77" t="s">
        <v>543</v>
      </c>
      <c r="P776" s="79">
        <v>45140.588055555556</v>
      </c>
      <c r="Q776" s="77" t="s">
        <v>663</v>
      </c>
      <c r="R776" s="77">
        <v>0</v>
      </c>
      <c r="S776" s="77">
        <v>2</v>
      </c>
      <c r="T776" s="77">
        <v>0</v>
      </c>
      <c r="U776" s="77">
        <v>0</v>
      </c>
      <c r="V776" s="77">
        <v>55</v>
      </c>
      <c r="W776" s="77"/>
      <c r="X776" s="77"/>
      <c r="Y776" s="77"/>
      <c r="Z776" s="77" t="s">
        <v>822</v>
      </c>
      <c r="AA776" s="77"/>
      <c r="AB776" s="77"/>
      <c r="AC776" s="81" t="s">
        <v>857</v>
      </c>
      <c r="AD776" s="77" t="s">
        <v>859</v>
      </c>
      <c r="AE776" s="83" t="str">
        <f>HYPERLINK("https://twitter.com/chrismontmusic/status/1686740332401078274")</f>
        <v>https://twitter.com/chrismontmusic/status/1686740332401078274</v>
      </c>
      <c r="AF776" s="79">
        <v>45140.588055555556</v>
      </c>
      <c r="AG776" s="85">
        <v>45140</v>
      </c>
      <c r="AH776" s="81" t="s">
        <v>991</v>
      </c>
      <c r="AI776" s="77"/>
      <c r="AJ776" s="77"/>
      <c r="AK776" s="77"/>
      <c r="AL776" s="77"/>
      <c r="AM776" s="77"/>
      <c r="AN776" s="77"/>
      <c r="AO776" s="77"/>
      <c r="AP776" s="77"/>
      <c r="AQ776" s="77"/>
      <c r="AR776" s="77"/>
      <c r="AS776" s="77"/>
      <c r="AT776" s="77"/>
      <c r="AU776" s="77"/>
      <c r="AV776" s="83" t="str">
        <f>HYPERLINK("https://pbs.twimg.com/profile_images/1700212395728060416/FLrANnNz_normal.jpg")</f>
        <v>https://pbs.twimg.com/profile_images/1700212395728060416/FLrANnNz_normal.jpg</v>
      </c>
      <c r="AW776" s="81" t="s">
        <v>1146</v>
      </c>
      <c r="AX776" s="81" t="s">
        <v>1143</v>
      </c>
      <c r="AY776" s="81" t="s">
        <v>1188</v>
      </c>
      <c r="AZ776" s="81" t="s">
        <v>1143</v>
      </c>
      <c r="BA776" s="81" t="s">
        <v>1190</v>
      </c>
      <c r="BB776" s="81" t="s">
        <v>1190</v>
      </c>
      <c r="BC776" s="81" t="s">
        <v>1143</v>
      </c>
      <c r="BD776" s="77">
        <v>16423356</v>
      </c>
      <c r="BE776" s="77"/>
      <c r="BF776" s="77"/>
      <c r="BG776" s="77"/>
      <c r="BH776" s="77"/>
      <c r="BI776" s="77"/>
      <c r="BJ776">
        <v>1</v>
      </c>
      <c r="BK776" s="76" t="str">
        <f>REPLACE(INDEX(GroupVertices[Group],MATCH(Edges[[#This Row],[Vertex 1]],GroupVertices[Vertex],0)),1,1,"")</f>
        <v>8</v>
      </c>
      <c r="BL776" s="76" t="str">
        <f>REPLACE(INDEX(GroupVertices[Group],MATCH(Edges[[#This Row],[Vertex 2]],GroupVertices[Vertex],0)),1,1,"")</f>
        <v>8</v>
      </c>
      <c r="BM776" s="45"/>
      <c r="BN776" s="46"/>
      <c r="BO776" s="45"/>
      <c r="BP776" s="46"/>
      <c r="BQ776" s="45"/>
      <c r="BR776" s="46"/>
      <c r="BS776" s="45"/>
      <c r="BT776" s="46"/>
      <c r="BU776" s="45"/>
    </row>
    <row r="777" spans="1:73" ht="15">
      <c r="A777" s="61" t="s">
        <v>259</v>
      </c>
      <c r="B777" s="61" t="s">
        <v>228</v>
      </c>
      <c r="C777" s="62" t="s">
        <v>11692</v>
      </c>
      <c r="D777" s="63">
        <v>3</v>
      </c>
      <c r="E777" s="64" t="s">
        <v>132</v>
      </c>
      <c r="F777" s="65">
        <v>32</v>
      </c>
      <c r="G777" s="62"/>
      <c r="H777" s="66"/>
      <c r="I777" s="67"/>
      <c r="J777" s="67"/>
      <c r="K777" s="31" t="s">
        <v>65</v>
      </c>
      <c r="L777" s="75">
        <v>777</v>
      </c>
      <c r="M777" s="75"/>
      <c r="N777" s="69"/>
      <c r="O777" s="77" t="s">
        <v>539</v>
      </c>
      <c r="P777" s="79">
        <v>45139.25664351852</v>
      </c>
      <c r="Q777" s="77" t="s">
        <v>660</v>
      </c>
      <c r="R777" s="77">
        <v>2</v>
      </c>
      <c r="S777" s="77">
        <v>8</v>
      </c>
      <c r="T777" s="77">
        <v>3</v>
      </c>
      <c r="U777" s="77">
        <v>0</v>
      </c>
      <c r="V777" s="77">
        <v>221</v>
      </c>
      <c r="W777" s="81" t="s">
        <v>727</v>
      </c>
      <c r="X777" s="77"/>
      <c r="Y777" s="77"/>
      <c r="Z777" s="77" t="s">
        <v>819</v>
      </c>
      <c r="AA777" s="77" t="s">
        <v>846</v>
      </c>
      <c r="AB777" s="77" t="s">
        <v>848</v>
      </c>
      <c r="AC777" s="81" t="s">
        <v>855</v>
      </c>
      <c r="AD777" s="77" t="s">
        <v>859</v>
      </c>
      <c r="AE777" s="83" t="str">
        <f>HYPERLINK("https://twitter.com/michaelbathurst/status/1686257845048590336")</f>
        <v>https://twitter.com/michaelbathurst/status/1686257845048590336</v>
      </c>
      <c r="AF777" s="79">
        <v>45139.25664351852</v>
      </c>
      <c r="AG777" s="85">
        <v>45139</v>
      </c>
      <c r="AH777" s="81" t="s">
        <v>988</v>
      </c>
      <c r="AI777" s="77" t="b">
        <v>0</v>
      </c>
      <c r="AJ777" s="77"/>
      <c r="AK777" s="77"/>
      <c r="AL777" s="77"/>
      <c r="AM777" s="77"/>
      <c r="AN777" s="77"/>
      <c r="AO777" s="77"/>
      <c r="AP777" s="77"/>
      <c r="AQ777" s="77" t="s">
        <v>1025</v>
      </c>
      <c r="AR777" s="77"/>
      <c r="AS777" s="77"/>
      <c r="AT777" s="77"/>
      <c r="AU777" s="77"/>
      <c r="AV777" s="83" t="str">
        <f>HYPERLINK("https://pbs.twimg.com/media/F2bKkr2WQAA2v5-.jpg")</f>
        <v>https://pbs.twimg.com/media/F2bKkr2WQAA2v5-.jpg</v>
      </c>
      <c r="AW777" s="81" t="s">
        <v>1143</v>
      </c>
      <c r="AX777" s="81" t="s">
        <v>1143</v>
      </c>
      <c r="AY777" s="77"/>
      <c r="AZ777" s="81" t="s">
        <v>1190</v>
      </c>
      <c r="BA777" s="81" t="s">
        <v>1190</v>
      </c>
      <c r="BB777" s="81" t="s">
        <v>1190</v>
      </c>
      <c r="BC777" s="81" t="s">
        <v>1143</v>
      </c>
      <c r="BD777" s="77">
        <v>37188645</v>
      </c>
      <c r="BE777" s="77"/>
      <c r="BF777" s="77"/>
      <c r="BG777" s="77"/>
      <c r="BH777" s="77"/>
      <c r="BI777" s="77"/>
      <c r="BJ777">
        <v>1</v>
      </c>
      <c r="BK777" s="76" t="str">
        <f>REPLACE(INDEX(GroupVertices[Group],MATCH(Edges[[#This Row],[Vertex 1]],GroupVertices[Vertex],0)),1,1,"")</f>
        <v>8</v>
      </c>
      <c r="BL777" s="76" t="str">
        <f>REPLACE(INDEX(GroupVertices[Group],MATCH(Edges[[#This Row],[Vertex 2]],GroupVertices[Vertex],0)),1,1,"")</f>
        <v>2</v>
      </c>
      <c r="BM777" s="45"/>
      <c r="BN777" s="46"/>
      <c r="BO777" s="45"/>
      <c r="BP777" s="46"/>
      <c r="BQ777" s="45"/>
      <c r="BR777" s="46"/>
      <c r="BS777" s="45"/>
      <c r="BT777" s="46"/>
      <c r="BU777" s="45"/>
    </row>
    <row r="778" spans="1:73" ht="15">
      <c r="A778" s="61" t="s">
        <v>228</v>
      </c>
      <c r="B778" s="61" t="s">
        <v>228</v>
      </c>
      <c r="C778" s="62" t="s">
        <v>11693</v>
      </c>
      <c r="D778" s="63">
        <v>4.4</v>
      </c>
      <c r="E778" s="64" t="s">
        <v>132</v>
      </c>
      <c r="F778" s="65">
        <v>27.6</v>
      </c>
      <c r="G778" s="62"/>
      <c r="H778" s="66"/>
      <c r="I778" s="67"/>
      <c r="J778" s="67"/>
      <c r="K778" s="31" t="s">
        <v>65</v>
      </c>
      <c r="L778" s="75">
        <v>778</v>
      </c>
      <c r="M778" s="75"/>
      <c r="N778" s="69"/>
      <c r="O778" s="77" t="s">
        <v>540</v>
      </c>
      <c r="P778" s="79">
        <v>45148.729629629626</v>
      </c>
      <c r="Q778" s="77" t="s">
        <v>664</v>
      </c>
      <c r="R778" s="77">
        <v>0</v>
      </c>
      <c r="S778" s="77">
        <v>5</v>
      </c>
      <c r="T778" s="77">
        <v>0</v>
      </c>
      <c r="U778" s="77">
        <v>0</v>
      </c>
      <c r="V778" s="77">
        <v>107</v>
      </c>
      <c r="W778" s="77"/>
      <c r="X778"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778" s="77" t="s">
        <v>744</v>
      </c>
      <c r="Z778" s="77"/>
      <c r="AA778" s="77"/>
      <c r="AB778" s="77"/>
      <c r="AC778" s="81" t="s">
        <v>857</v>
      </c>
      <c r="AD778" s="77" t="s">
        <v>859</v>
      </c>
      <c r="AE778" s="83" t="str">
        <f>HYPERLINK("https://twitter.com/nodexl/status/1689690743101952000")</f>
        <v>https://twitter.com/nodexl/status/1689690743101952000</v>
      </c>
      <c r="AF778" s="79">
        <v>45148.729629629626</v>
      </c>
      <c r="AG778" s="85">
        <v>45148</v>
      </c>
      <c r="AH778" s="81" t="s">
        <v>992</v>
      </c>
      <c r="AI778" s="77" t="b">
        <v>0</v>
      </c>
      <c r="AJ778" s="77"/>
      <c r="AK778" s="77"/>
      <c r="AL778" s="77"/>
      <c r="AM778" s="77"/>
      <c r="AN778" s="77"/>
      <c r="AO778" s="77"/>
      <c r="AP778" s="77"/>
      <c r="AQ778" s="77"/>
      <c r="AR778" s="77"/>
      <c r="AS778" s="77"/>
      <c r="AT778" s="77"/>
      <c r="AU778" s="77"/>
      <c r="AV778" s="83" t="str">
        <f>HYPERLINK("https://pbs.twimg.com/profile_images/849132774661308416/pa2Uplq1_normal.jpg")</f>
        <v>https://pbs.twimg.com/profile_images/849132774661308416/pa2Uplq1_normal.jpg</v>
      </c>
      <c r="AW778" s="81" t="s">
        <v>1147</v>
      </c>
      <c r="AX778" s="81" t="s">
        <v>1044</v>
      </c>
      <c r="AY778" s="81" t="s">
        <v>1171</v>
      </c>
      <c r="AZ778" s="81" t="s">
        <v>1044</v>
      </c>
      <c r="BA778" s="81" t="s">
        <v>1190</v>
      </c>
      <c r="BB778" s="81" t="s">
        <v>1190</v>
      </c>
      <c r="BC778" s="81" t="s">
        <v>1044</v>
      </c>
      <c r="BD778" s="77">
        <v>87606674</v>
      </c>
      <c r="BE778" s="77"/>
      <c r="BF778" s="77"/>
      <c r="BG778" s="77"/>
      <c r="BH778" s="77"/>
      <c r="BI778" s="77"/>
      <c r="BJ778">
        <v>2</v>
      </c>
      <c r="BK778" s="76" t="str">
        <f>REPLACE(INDEX(GroupVertices[Group],MATCH(Edges[[#This Row],[Vertex 1]],GroupVertices[Vertex],0)),1,1,"")</f>
        <v>2</v>
      </c>
      <c r="BL778" s="76" t="str">
        <f>REPLACE(INDEX(GroupVertices[Group],MATCH(Edges[[#This Row],[Vertex 2]],GroupVertices[Vertex],0)),1,1,"")</f>
        <v>2</v>
      </c>
      <c r="BM778" s="45">
        <v>0</v>
      </c>
      <c r="BN778" s="46">
        <v>0</v>
      </c>
      <c r="BO778" s="45">
        <v>0</v>
      </c>
      <c r="BP778" s="46">
        <v>0</v>
      </c>
      <c r="BQ778" s="45">
        <v>0</v>
      </c>
      <c r="BR778" s="46">
        <v>0</v>
      </c>
      <c r="BS778" s="45">
        <v>4</v>
      </c>
      <c r="BT778" s="46">
        <v>66.66666666666667</v>
      </c>
      <c r="BU778" s="45">
        <v>6</v>
      </c>
    </row>
    <row r="779" spans="1:73" ht="15">
      <c r="A779" s="61" t="s">
        <v>228</v>
      </c>
      <c r="B779" s="61" t="s">
        <v>228</v>
      </c>
      <c r="C779" s="62" t="s">
        <v>11693</v>
      </c>
      <c r="D779" s="63">
        <v>4.4</v>
      </c>
      <c r="E779" s="64" t="s">
        <v>132</v>
      </c>
      <c r="F779" s="65">
        <v>27.6</v>
      </c>
      <c r="G779" s="62"/>
      <c r="H779" s="66"/>
      <c r="I779" s="67"/>
      <c r="J779" s="67"/>
      <c r="K779" s="31" t="s">
        <v>65</v>
      </c>
      <c r="L779" s="75">
        <v>779</v>
      </c>
      <c r="M779" s="75"/>
      <c r="N779" s="69"/>
      <c r="O779" s="77" t="s">
        <v>540</v>
      </c>
      <c r="P779" s="79">
        <v>45169.59741898148</v>
      </c>
      <c r="Q779" s="77" t="s">
        <v>665</v>
      </c>
      <c r="R779" s="77">
        <v>0</v>
      </c>
      <c r="S779" s="77">
        <v>1</v>
      </c>
      <c r="T779" s="77">
        <v>0</v>
      </c>
      <c r="U779" s="77">
        <v>0</v>
      </c>
      <c r="V779" s="77">
        <v>95</v>
      </c>
      <c r="W779" s="77"/>
      <c r="X779" s="77"/>
      <c r="Y779" s="77"/>
      <c r="Z779" s="77"/>
      <c r="AA779" s="77"/>
      <c r="AB779" s="77"/>
      <c r="AC779" s="81" t="s">
        <v>857</v>
      </c>
      <c r="AD779" s="77" t="s">
        <v>859</v>
      </c>
      <c r="AE779" s="83" t="str">
        <f>HYPERLINK("https://twitter.com/nodexl/status/1697252974752645265")</f>
        <v>https://twitter.com/nodexl/status/1697252974752645265</v>
      </c>
      <c r="AF779" s="79">
        <v>45169.59741898148</v>
      </c>
      <c r="AG779" s="85">
        <v>45169</v>
      </c>
      <c r="AH779" s="81" t="s">
        <v>993</v>
      </c>
      <c r="AI779" s="77"/>
      <c r="AJ779" s="77"/>
      <c r="AK779" s="77"/>
      <c r="AL779" s="77"/>
      <c r="AM779" s="77"/>
      <c r="AN779" s="77"/>
      <c r="AO779" s="77"/>
      <c r="AP779" s="77"/>
      <c r="AQ779" s="77"/>
      <c r="AR779" s="77"/>
      <c r="AS779" s="77"/>
      <c r="AT779" s="77"/>
      <c r="AU779" s="77"/>
      <c r="AV779" s="83" t="str">
        <f>HYPERLINK("https://pbs.twimg.com/profile_images/849132774661308416/pa2Uplq1_normal.jpg")</f>
        <v>https://pbs.twimg.com/profile_images/849132774661308416/pa2Uplq1_normal.jpg</v>
      </c>
      <c r="AW779" s="81" t="s">
        <v>1148</v>
      </c>
      <c r="AX779" s="81" t="s">
        <v>1167</v>
      </c>
      <c r="AY779" s="81" t="s">
        <v>1171</v>
      </c>
      <c r="AZ779" s="81" t="s">
        <v>1167</v>
      </c>
      <c r="BA779" s="81" t="s">
        <v>1190</v>
      </c>
      <c r="BB779" s="81" t="s">
        <v>1190</v>
      </c>
      <c r="BC779" s="81" t="s">
        <v>1167</v>
      </c>
      <c r="BD779" s="77">
        <v>87606674</v>
      </c>
      <c r="BE779" s="77"/>
      <c r="BF779" s="77"/>
      <c r="BG779" s="77"/>
      <c r="BH779" s="77"/>
      <c r="BI779" s="77"/>
      <c r="BJ779">
        <v>2</v>
      </c>
      <c r="BK779" s="76" t="str">
        <f>REPLACE(INDEX(GroupVertices[Group],MATCH(Edges[[#This Row],[Vertex 1]],GroupVertices[Vertex],0)),1,1,"")</f>
        <v>2</v>
      </c>
      <c r="BL779" s="76" t="str">
        <f>REPLACE(INDEX(GroupVertices[Group],MATCH(Edges[[#This Row],[Vertex 2]],GroupVertices[Vertex],0)),1,1,"")</f>
        <v>2</v>
      </c>
      <c r="BM779" s="45">
        <v>0</v>
      </c>
      <c r="BN779" s="46">
        <v>0</v>
      </c>
      <c r="BO779" s="45">
        <v>0</v>
      </c>
      <c r="BP779" s="46">
        <v>0</v>
      </c>
      <c r="BQ779" s="45">
        <v>0</v>
      </c>
      <c r="BR779" s="46">
        <v>0</v>
      </c>
      <c r="BS779" s="45">
        <v>11</v>
      </c>
      <c r="BT779" s="46">
        <v>73.33333333333333</v>
      </c>
      <c r="BU779" s="45">
        <v>15</v>
      </c>
    </row>
    <row r="780" spans="1:73" ht="15">
      <c r="A780" s="61" t="s">
        <v>260</v>
      </c>
      <c r="B780" s="61" t="s">
        <v>228</v>
      </c>
      <c r="C780" s="62" t="s">
        <v>11692</v>
      </c>
      <c r="D780" s="63">
        <v>3</v>
      </c>
      <c r="E780" s="64" t="s">
        <v>132</v>
      </c>
      <c r="F780" s="65">
        <v>32</v>
      </c>
      <c r="G780" s="62"/>
      <c r="H780" s="66"/>
      <c r="I780" s="67"/>
      <c r="J780" s="67"/>
      <c r="K780" s="31" t="s">
        <v>65</v>
      </c>
      <c r="L780" s="75">
        <v>780</v>
      </c>
      <c r="M780" s="75"/>
      <c r="N780" s="69"/>
      <c r="O780" s="77" t="s">
        <v>543</v>
      </c>
      <c r="P780" s="79">
        <v>45140.292337962965</v>
      </c>
      <c r="Q780" s="77" t="s">
        <v>661</v>
      </c>
      <c r="R780" s="77">
        <v>0</v>
      </c>
      <c r="S780" s="77">
        <v>0</v>
      </c>
      <c r="T780" s="77">
        <v>1</v>
      </c>
      <c r="U780" s="77">
        <v>0</v>
      </c>
      <c r="V780" s="77">
        <v>45</v>
      </c>
      <c r="W780" s="77"/>
      <c r="X780" s="77"/>
      <c r="Y780" s="77"/>
      <c r="Z780" s="77" t="s">
        <v>820</v>
      </c>
      <c r="AA780" s="77" t="s">
        <v>847</v>
      </c>
      <c r="AB780" s="77" t="s">
        <v>848</v>
      </c>
      <c r="AC780" s="81" t="s">
        <v>855</v>
      </c>
      <c r="AD780" s="77" t="s">
        <v>859</v>
      </c>
      <c r="AE780" s="83" t="str">
        <f>HYPERLINK("https://twitter.com/sunflwrgirl2/status/1686633170177802240")</f>
        <v>https://twitter.com/sunflwrgirl2/status/1686633170177802240</v>
      </c>
      <c r="AF780" s="79">
        <v>45140.292337962965</v>
      </c>
      <c r="AG780" s="85">
        <v>45140</v>
      </c>
      <c r="AH780" s="81" t="s">
        <v>989</v>
      </c>
      <c r="AI780" s="77" t="b">
        <v>0</v>
      </c>
      <c r="AJ780" s="77"/>
      <c r="AK780" s="77"/>
      <c r="AL780" s="77"/>
      <c r="AM780" s="77"/>
      <c r="AN780" s="77"/>
      <c r="AO780" s="77"/>
      <c r="AP780" s="77"/>
      <c r="AQ780" s="77" t="s">
        <v>1026</v>
      </c>
      <c r="AR780" s="77"/>
      <c r="AS780" s="77"/>
      <c r="AT780" s="77"/>
      <c r="AU780" s="77"/>
      <c r="AV780" s="83" t="str">
        <f>HYPERLINK("https://pbs.twimg.com/media/F2gf7icWEAAFH14.jpg")</f>
        <v>https://pbs.twimg.com/media/F2gf7icWEAAFH14.jpg</v>
      </c>
      <c r="AW780" s="81" t="s">
        <v>1144</v>
      </c>
      <c r="AX780" s="81" t="s">
        <v>1143</v>
      </c>
      <c r="AY780" s="81" t="s">
        <v>1188</v>
      </c>
      <c r="AZ780" s="81" t="s">
        <v>1143</v>
      </c>
      <c r="BA780" s="81" t="s">
        <v>1190</v>
      </c>
      <c r="BB780" s="81" t="s">
        <v>1190</v>
      </c>
      <c r="BC780" s="81" t="s">
        <v>1143</v>
      </c>
      <c r="BD780" s="81" t="s">
        <v>1181</v>
      </c>
      <c r="BE780" s="77"/>
      <c r="BF780" s="77"/>
      <c r="BG780" s="77"/>
      <c r="BH780" s="77"/>
      <c r="BI780" s="77"/>
      <c r="BJ780">
        <v>1</v>
      </c>
      <c r="BK780" s="76" t="str">
        <f>REPLACE(INDEX(GroupVertices[Group],MATCH(Edges[[#This Row],[Vertex 1]],GroupVertices[Vertex],0)),1,1,"")</f>
        <v>8</v>
      </c>
      <c r="BL780" s="76" t="str">
        <f>REPLACE(INDEX(GroupVertices[Group],MATCH(Edges[[#This Row],[Vertex 2]],GroupVertices[Vertex],0)),1,1,"")</f>
        <v>2</v>
      </c>
      <c r="BM780" s="45"/>
      <c r="BN780" s="46"/>
      <c r="BO780" s="45"/>
      <c r="BP780" s="46"/>
      <c r="BQ780" s="45"/>
      <c r="BR780" s="46"/>
      <c r="BS780" s="45"/>
      <c r="BT780" s="46"/>
      <c r="BU780" s="45"/>
    </row>
    <row r="781" spans="1:73" ht="15">
      <c r="A781" s="61" t="s">
        <v>262</v>
      </c>
      <c r="B781" s="61" t="s">
        <v>228</v>
      </c>
      <c r="C781" s="62" t="s">
        <v>11692</v>
      </c>
      <c r="D781" s="63">
        <v>3</v>
      </c>
      <c r="E781" s="64" t="s">
        <v>132</v>
      </c>
      <c r="F781" s="65">
        <v>32</v>
      </c>
      <c r="G781" s="62"/>
      <c r="H781" s="66"/>
      <c r="I781" s="67"/>
      <c r="J781" s="67"/>
      <c r="K781" s="31" t="s">
        <v>65</v>
      </c>
      <c r="L781" s="75">
        <v>781</v>
      </c>
      <c r="M781" s="75"/>
      <c r="N781" s="69"/>
      <c r="O781" s="77" t="s">
        <v>543</v>
      </c>
      <c r="P781" s="79">
        <v>45140.588055555556</v>
      </c>
      <c r="Q781" s="77" t="s">
        <v>663</v>
      </c>
      <c r="R781" s="77">
        <v>0</v>
      </c>
      <c r="S781" s="77">
        <v>2</v>
      </c>
      <c r="T781" s="77">
        <v>0</v>
      </c>
      <c r="U781" s="77">
        <v>0</v>
      </c>
      <c r="V781" s="77">
        <v>55</v>
      </c>
      <c r="W781" s="77"/>
      <c r="X781" s="77"/>
      <c r="Y781" s="77"/>
      <c r="Z781" s="77" t="s">
        <v>822</v>
      </c>
      <c r="AA781" s="77"/>
      <c r="AB781" s="77"/>
      <c r="AC781" s="81" t="s">
        <v>857</v>
      </c>
      <c r="AD781" s="77" t="s">
        <v>859</v>
      </c>
      <c r="AE781" s="83" t="str">
        <f>HYPERLINK("https://twitter.com/chrismontmusic/status/1686740332401078274")</f>
        <v>https://twitter.com/chrismontmusic/status/1686740332401078274</v>
      </c>
      <c r="AF781" s="79">
        <v>45140.588055555556</v>
      </c>
      <c r="AG781" s="85">
        <v>45140</v>
      </c>
      <c r="AH781" s="81" t="s">
        <v>991</v>
      </c>
      <c r="AI781" s="77"/>
      <c r="AJ781" s="77"/>
      <c r="AK781" s="77"/>
      <c r="AL781" s="77"/>
      <c r="AM781" s="77"/>
      <c r="AN781" s="77"/>
      <c r="AO781" s="77"/>
      <c r="AP781" s="77"/>
      <c r="AQ781" s="77"/>
      <c r="AR781" s="77"/>
      <c r="AS781" s="77"/>
      <c r="AT781" s="77"/>
      <c r="AU781" s="77"/>
      <c r="AV781" s="83" t="str">
        <f>HYPERLINK("https://pbs.twimg.com/profile_images/1700212395728060416/FLrANnNz_normal.jpg")</f>
        <v>https://pbs.twimg.com/profile_images/1700212395728060416/FLrANnNz_normal.jpg</v>
      </c>
      <c r="AW781" s="81" t="s">
        <v>1146</v>
      </c>
      <c r="AX781" s="81" t="s">
        <v>1143</v>
      </c>
      <c r="AY781" s="81" t="s">
        <v>1188</v>
      </c>
      <c r="AZ781" s="81" t="s">
        <v>1143</v>
      </c>
      <c r="BA781" s="81" t="s">
        <v>1190</v>
      </c>
      <c r="BB781" s="81" t="s">
        <v>1190</v>
      </c>
      <c r="BC781" s="81" t="s">
        <v>1143</v>
      </c>
      <c r="BD781" s="77">
        <v>16423356</v>
      </c>
      <c r="BE781" s="77"/>
      <c r="BF781" s="77"/>
      <c r="BG781" s="77"/>
      <c r="BH781" s="77"/>
      <c r="BI781" s="77"/>
      <c r="BJ781">
        <v>1</v>
      </c>
      <c r="BK781" s="76" t="str">
        <f>REPLACE(INDEX(GroupVertices[Group],MATCH(Edges[[#This Row],[Vertex 1]],GroupVertices[Vertex],0)),1,1,"")</f>
        <v>8</v>
      </c>
      <c r="BL781" s="76" t="str">
        <f>REPLACE(INDEX(GroupVertices[Group],MATCH(Edges[[#This Row],[Vertex 2]],GroupVertices[Vertex],0)),1,1,"")</f>
        <v>2</v>
      </c>
      <c r="BM781" s="45"/>
      <c r="BN781" s="46"/>
      <c r="BO781" s="45"/>
      <c r="BP781" s="46"/>
      <c r="BQ781" s="45"/>
      <c r="BR781" s="46"/>
      <c r="BS781" s="45"/>
      <c r="BT781" s="46"/>
      <c r="BU781" s="45"/>
    </row>
    <row r="782" spans="1:73" ht="15">
      <c r="A782" s="61" t="s">
        <v>259</v>
      </c>
      <c r="B782" s="61" t="s">
        <v>495</v>
      </c>
      <c r="C782" s="62" t="s">
        <v>11692</v>
      </c>
      <c r="D782" s="63">
        <v>3</v>
      </c>
      <c r="E782" s="64" t="s">
        <v>132</v>
      </c>
      <c r="F782" s="65">
        <v>32</v>
      </c>
      <c r="G782" s="62"/>
      <c r="H782" s="66"/>
      <c r="I782" s="67"/>
      <c r="J782" s="67"/>
      <c r="K782" s="31" t="s">
        <v>65</v>
      </c>
      <c r="L782" s="75">
        <v>782</v>
      </c>
      <c r="M782" s="75"/>
      <c r="N782" s="69"/>
      <c r="O782" s="77" t="s">
        <v>539</v>
      </c>
      <c r="P782" s="79">
        <v>45139.25664351852</v>
      </c>
      <c r="Q782" s="77" t="s">
        <v>660</v>
      </c>
      <c r="R782" s="77">
        <v>2</v>
      </c>
      <c r="S782" s="77">
        <v>8</v>
      </c>
      <c r="T782" s="77">
        <v>3</v>
      </c>
      <c r="U782" s="77">
        <v>0</v>
      </c>
      <c r="V782" s="77">
        <v>221</v>
      </c>
      <c r="W782" s="81" t="s">
        <v>727</v>
      </c>
      <c r="X782" s="77"/>
      <c r="Y782" s="77"/>
      <c r="Z782" s="77" t="s">
        <v>819</v>
      </c>
      <c r="AA782" s="77" t="s">
        <v>846</v>
      </c>
      <c r="AB782" s="77" t="s">
        <v>848</v>
      </c>
      <c r="AC782" s="81" t="s">
        <v>855</v>
      </c>
      <c r="AD782" s="77" t="s">
        <v>859</v>
      </c>
      <c r="AE782" s="83" t="str">
        <f>HYPERLINK("https://twitter.com/michaelbathurst/status/1686257845048590336")</f>
        <v>https://twitter.com/michaelbathurst/status/1686257845048590336</v>
      </c>
      <c r="AF782" s="79">
        <v>45139.25664351852</v>
      </c>
      <c r="AG782" s="85">
        <v>45139</v>
      </c>
      <c r="AH782" s="81" t="s">
        <v>988</v>
      </c>
      <c r="AI782" s="77" t="b">
        <v>0</v>
      </c>
      <c r="AJ782" s="77"/>
      <c r="AK782" s="77"/>
      <c r="AL782" s="77"/>
      <c r="AM782" s="77"/>
      <c r="AN782" s="77"/>
      <c r="AO782" s="77"/>
      <c r="AP782" s="77"/>
      <c r="AQ782" s="77" t="s">
        <v>1025</v>
      </c>
      <c r="AR782" s="77"/>
      <c r="AS782" s="77"/>
      <c r="AT782" s="77"/>
      <c r="AU782" s="77"/>
      <c r="AV782" s="83" t="str">
        <f>HYPERLINK("https://pbs.twimg.com/media/F2bKkr2WQAA2v5-.jpg")</f>
        <v>https://pbs.twimg.com/media/F2bKkr2WQAA2v5-.jpg</v>
      </c>
      <c r="AW782" s="81" t="s">
        <v>1143</v>
      </c>
      <c r="AX782" s="81" t="s">
        <v>1143</v>
      </c>
      <c r="AY782" s="77"/>
      <c r="AZ782" s="81" t="s">
        <v>1190</v>
      </c>
      <c r="BA782" s="81" t="s">
        <v>1190</v>
      </c>
      <c r="BB782" s="81" t="s">
        <v>1190</v>
      </c>
      <c r="BC782" s="81" t="s">
        <v>1143</v>
      </c>
      <c r="BD782" s="77">
        <v>37188645</v>
      </c>
      <c r="BE782" s="77"/>
      <c r="BF782" s="77"/>
      <c r="BG782" s="77"/>
      <c r="BH782" s="77"/>
      <c r="BI782" s="77"/>
      <c r="BJ782">
        <v>1</v>
      </c>
      <c r="BK782" s="76" t="str">
        <f>REPLACE(INDEX(GroupVertices[Group],MATCH(Edges[[#This Row],[Vertex 1]],GroupVertices[Vertex],0)),1,1,"")</f>
        <v>8</v>
      </c>
      <c r="BL782" s="76" t="str">
        <f>REPLACE(INDEX(GroupVertices[Group],MATCH(Edges[[#This Row],[Vertex 2]],GroupVertices[Vertex],0)),1,1,"")</f>
        <v>8</v>
      </c>
      <c r="BM782" s="45"/>
      <c r="BN782" s="46"/>
      <c r="BO782" s="45"/>
      <c r="BP782" s="46"/>
      <c r="BQ782" s="45"/>
      <c r="BR782" s="46"/>
      <c r="BS782" s="45"/>
      <c r="BT782" s="46"/>
      <c r="BU782" s="45"/>
    </row>
    <row r="783" spans="1:73" ht="15">
      <c r="A783" s="61" t="s">
        <v>260</v>
      </c>
      <c r="B783" s="61" t="s">
        <v>495</v>
      </c>
      <c r="C783" s="62" t="s">
        <v>11692</v>
      </c>
      <c r="D783" s="63">
        <v>3</v>
      </c>
      <c r="E783" s="64" t="s">
        <v>132</v>
      </c>
      <c r="F783" s="65">
        <v>32</v>
      </c>
      <c r="G783" s="62"/>
      <c r="H783" s="66"/>
      <c r="I783" s="67"/>
      <c r="J783" s="67"/>
      <c r="K783" s="31" t="s">
        <v>65</v>
      </c>
      <c r="L783" s="75">
        <v>783</v>
      </c>
      <c r="M783" s="75"/>
      <c r="N783" s="69"/>
      <c r="O783" s="77" t="s">
        <v>543</v>
      </c>
      <c r="P783" s="79">
        <v>45140.292337962965</v>
      </c>
      <c r="Q783" s="77" t="s">
        <v>661</v>
      </c>
      <c r="R783" s="77">
        <v>0</v>
      </c>
      <c r="S783" s="77">
        <v>0</v>
      </c>
      <c r="T783" s="77">
        <v>1</v>
      </c>
      <c r="U783" s="77">
        <v>0</v>
      </c>
      <c r="V783" s="77">
        <v>45</v>
      </c>
      <c r="W783" s="77"/>
      <c r="X783" s="77"/>
      <c r="Y783" s="77"/>
      <c r="Z783" s="77" t="s">
        <v>820</v>
      </c>
      <c r="AA783" s="77" t="s">
        <v>847</v>
      </c>
      <c r="AB783" s="77" t="s">
        <v>848</v>
      </c>
      <c r="AC783" s="81" t="s">
        <v>855</v>
      </c>
      <c r="AD783" s="77" t="s">
        <v>859</v>
      </c>
      <c r="AE783" s="83" t="str">
        <f>HYPERLINK("https://twitter.com/sunflwrgirl2/status/1686633170177802240")</f>
        <v>https://twitter.com/sunflwrgirl2/status/1686633170177802240</v>
      </c>
      <c r="AF783" s="79">
        <v>45140.292337962965</v>
      </c>
      <c r="AG783" s="85">
        <v>45140</v>
      </c>
      <c r="AH783" s="81" t="s">
        <v>989</v>
      </c>
      <c r="AI783" s="77" t="b">
        <v>0</v>
      </c>
      <c r="AJ783" s="77"/>
      <c r="AK783" s="77"/>
      <c r="AL783" s="77"/>
      <c r="AM783" s="77"/>
      <c r="AN783" s="77"/>
      <c r="AO783" s="77"/>
      <c r="AP783" s="77"/>
      <c r="AQ783" s="77" t="s">
        <v>1026</v>
      </c>
      <c r="AR783" s="77"/>
      <c r="AS783" s="77"/>
      <c r="AT783" s="77"/>
      <c r="AU783" s="77"/>
      <c r="AV783" s="83" t="str">
        <f>HYPERLINK("https://pbs.twimg.com/media/F2gf7icWEAAFH14.jpg")</f>
        <v>https://pbs.twimg.com/media/F2gf7icWEAAFH14.jpg</v>
      </c>
      <c r="AW783" s="81" t="s">
        <v>1144</v>
      </c>
      <c r="AX783" s="81" t="s">
        <v>1143</v>
      </c>
      <c r="AY783" s="81" t="s">
        <v>1188</v>
      </c>
      <c r="AZ783" s="81" t="s">
        <v>1143</v>
      </c>
      <c r="BA783" s="81" t="s">
        <v>1190</v>
      </c>
      <c r="BB783" s="81" t="s">
        <v>1190</v>
      </c>
      <c r="BC783" s="81" t="s">
        <v>1143</v>
      </c>
      <c r="BD783" s="81" t="s">
        <v>1181</v>
      </c>
      <c r="BE783" s="77"/>
      <c r="BF783" s="77"/>
      <c r="BG783" s="77"/>
      <c r="BH783" s="77"/>
      <c r="BI783" s="77"/>
      <c r="BJ783">
        <v>1</v>
      </c>
      <c r="BK783" s="76" t="str">
        <f>REPLACE(INDEX(GroupVertices[Group],MATCH(Edges[[#This Row],[Vertex 1]],GroupVertices[Vertex],0)),1,1,"")</f>
        <v>8</v>
      </c>
      <c r="BL783" s="76" t="str">
        <f>REPLACE(INDEX(GroupVertices[Group],MATCH(Edges[[#This Row],[Vertex 2]],GroupVertices[Vertex],0)),1,1,"")</f>
        <v>8</v>
      </c>
      <c r="BM783" s="45"/>
      <c r="BN783" s="46"/>
      <c r="BO783" s="45"/>
      <c r="BP783" s="46"/>
      <c r="BQ783" s="45"/>
      <c r="BR783" s="46"/>
      <c r="BS783" s="45"/>
      <c r="BT783" s="46"/>
      <c r="BU783" s="45"/>
    </row>
    <row r="784" spans="1:73" ht="15">
      <c r="A784" s="61" t="s">
        <v>262</v>
      </c>
      <c r="B784" s="61" t="s">
        <v>495</v>
      </c>
      <c r="C784" s="62" t="s">
        <v>11692</v>
      </c>
      <c r="D784" s="63">
        <v>3</v>
      </c>
      <c r="E784" s="64" t="s">
        <v>132</v>
      </c>
      <c r="F784" s="65">
        <v>32</v>
      </c>
      <c r="G784" s="62"/>
      <c r="H784" s="66"/>
      <c r="I784" s="67"/>
      <c r="J784" s="67"/>
      <c r="K784" s="31" t="s">
        <v>65</v>
      </c>
      <c r="L784" s="75">
        <v>784</v>
      </c>
      <c r="M784" s="75"/>
      <c r="N784" s="69"/>
      <c r="O784" s="77" t="s">
        <v>543</v>
      </c>
      <c r="P784" s="79">
        <v>45140.588055555556</v>
      </c>
      <c r="Q784" s="77" t="s">
        <v>663</v>
      </c>
      <c r="R784" s="77">
        <v>0</v>
      </c>
      <c r="S784" s="77">
        <v>2</v>
      </c>
      <c r="T784" s="77">
        <v>0</v>
      </c>
      <c r="U784" s="77">
        <v>0</v>
      </c>
      <c r="V784" s="77">
        <v>55</v>
      </c>
      <c r="W784" s="77"/>
      <c r="X784" s="77"/>
      <c r="Y784" s="77"/>
      <c r="Z784" s="77" t="s">
        <v>822</v>
      </c>
      <c r="AA784" s="77"/>
      <c r="AB784" s="77"/>
      <c r="AC784" s="81" t="s">
        <v>857</v>
      </c>
      <c r="AD784" s="77" t="s">
        <v>859</v>
      </c>
      <c r="AE784" s="83" t="str">
        <f>HYPERLINK("https://twitter.com/chrismontmusic/status/1686740332401078274")</f>
        <v>https://twitter.com/chrismontmusic/status/1686740332401078274</v>
      </c>
      <c r="AF784" s="79">
        <v>45140.588055555556</v>
      </c>
      <c r="AG784" s="85">
        <v>45140</v>
      </c>
      <c r="AH784" s="81" t="s">
        <v>991</v>
      </c>
      <c r="AI784" s="77"/>
      <c r="AJ784" s="77"/>
      <c r="AK784" s="77"/>
      <c r="AL784" s="77"/>
      <c r="AM784" s="77"/>
      <c r="AN784" s="77"/>
      <c r="AO784" s="77"/>
      <c r="AP784" s="77"/>
      <c r="AQ784" s="77"/>
      <c r="AR784" s="77"/>
      <c r="AS784" s="77"/>
      <c r="AT784" s="77"/>
      <c r="AU784" s="77"/>
      <c r="AV784" s="83" t="str">
        <f>HYPERLINK("https://pbs.twimg.com/profile_images/1700212395728060416/FLrANnNz_normal.jpg")</f>
        <v>https://pbs.twimg.com/profile_images/1700212395728060416/FLrANnNz_normal.jpg</v>
      </c>
      <c r="AW784" s="81" t="s">
        <v>1146</v>
      </c>
      <c r="AX784" s="81" t="s">
        <v>1143</v>
      </c>
      <c r="AY784" s="81" t="s">
        <v>1188</v>
      </c>
      <c r="AZ784" s="81" t="s">
        <v>1143</v>
      </c>
      <c r="BA784" s="81" t="s">
        <v>1190</v>
      </c>
      <c r="BB784" s="81" t="s">
        <v>1190</v>
      </c>
      <c r="BC784" s="81" t="s">
        <v>1143</v>
      </c>
      <c r="BD784" s="77">
        <v>16423356</v>
      </c>
      <c r="BE784" s="77"/>
      <c r="BF784" s="77"/>
      <c r="BG784" s="77"/>
      <c r="BH784" s="77"/>
      <c r="BI784" s="77"/>
      <c r="BJ784">
        <v>1</v>
      </c>
      <c r="BK784" s="76" t="str">
        <f>REPLACE(INDEX(GroupVertices[Group],MATCH(Edges[[#This Row],[Vertex 1]],GroupVertices[Vertex],0)),1,1,"")</f>
        <v>8</v>
      </c>
      <c r="BL784" s="76" t="str">
        <f>REPLACE(INDEX(GroupVertices[Group],MATCH(Edges[[#This Row],[Vertex 2]],GroupVertices[Vertex],0)),1,1,"")</f>
        <v>8</v>
      </c>
      <c r="BM784" s="45"/>
      <c r="BN784" s="46"/>
      <c r="BO784" s="45"/>
      <c r="BP784" s="46"/>
      <c r="BQ784" s="45"/>
      <c r="BR784" s="46"/>
      <c r="BS784" s="45"/>
      <c r="BT784" s="46"/>
      <c r="BU784" s="45"/>
    </row>
    <row r="785" spans="1:73" ht="15">
      <c r="A785" s="61" t="s">
        <v>259</v>
      </c>
      <c r="B785" s="61" t="s">
        <v>496</v>
      </c>
      <c r="C785" s="62" t="s">
        <v>11692</v>
      </c>
      <c r="D785" s="63">
        <v>3</v>
      </c>
      <c r="E785" s="64" t="s">
        <v>132</v>
      </c>
      <c r="F785" s="65">
        <v>32</v>
      </c>
      <c r="G785" s="62"/>
      <c r="H785" s="66"/>
      <c r="I785" s="67"/>
      <c r="J785" s="67"/>
      <c r="K785" s="31" t="s">
        <v>65</v>
      </c>
      <c r="L785" s="75">
        <v>785</v>
      </c>
      <c r="M785" s="75"/>
      <c r="N785" s="69"/>
      <c r="O785" s="77" t="s">
        <v>539</v>
      </c>
      <c r="P785" s="79">
        <v>45139.25664351852</v>
      </c>
      <c r="Q785" s="77" t="s">
        <v>660</v>
      </c>
      <c r="R785" s="77">
        <v>2</v>
      </c>
      <c r="S785" s="77">
        <v>8</v>
      </c>
      <c r="T785" s="77">
        <v>3</v>
      </c>
      <c r="U785" s="77">
        <v>0</v>
      </c>
      <c r="V785" s="77">
        <v>221</v>
      </c>
      <c r="W785" s="81" t="s">
        <v>727</v>
      </c>
      <c r="X785" s="77"/>
      <c r="Y785" s="77"/>
      <c r="Z785" s="77" t="s">
        <v>819</v>
      </c>
      <c r="AA785" s="77" t="s">
        <v>846</v>
      </c>
      <c r="AB785" s="77" t="s">
        <v>848</v>
      </c>
      <c r="AC785" s="81" t="s">
        <v>855</v>
      </c>
      <c r="AD785" s="77" t="s">
        <v>859</v>
      </c>
      <c r="AE785" s="83" t="str">
        <f>HYPERLINK("https://twitter.com/michaelbathurst/status/1686257845048590336")</f>
        <v>https://twitter.com/michaelbathurst/status/1686257845048590336</v>
      </c>
      <c r="AF785" s="79">
        <v>45139.25664351852</v>
      </c>
      <c r="AG785" s="85">
        <v>45139</v>
      </c>
      <c r="AH785" s="81" t="s">
        <v>988</v>
      </c>
      <c r="AI785" s="77" t="b">
        <v>0</v>
      </c>
      <c r="AJ785" s="77"/>
      <c r="AK785" s="77"/>
      <c r="AL785" s="77"/>
      <c r="AM785" s="77"/>
      <c r="AN785" s="77"/>
      <c r="AO785" s="77"/>
      <c r="AP785" s="77"/>
      <c r="AQ785" s="77" t="s">
        <v>1025</v>
      </c>
      <c r="AR785" s="77"/>
      <c r="AS785" s="77"/>
      <c r="AT785" s="77"/>
      <c r="AU785" s="77"/>
      <c r="AV785" s="83" t="str">
        <f>HYPERLINK("https://pbs.twimg.com/media/F2bKkr2WQAA2v5-.jpg")</f>
        <v>https://pbs.twimg.com/media/F2bKkr2WQAA2v5-.jpg</v>
      </c>
      <c r="AW785" s="81" t="s">
        <v>1143</v>
      </c>
      <c r="AX785" s="81" t="s">
        <v>1143</v>
      </c>
      <c r="AY785" s="77"/>
      <c r="AZ785" s="81" t="s">
        <v>1190</v>
      </c>
      <c r="BA785" s="81" t="s">
        <v>1190</v>
      </c>
      <c r="BB785" s="81" t="s">
        <v>1190</v>
      </c>
      <c r="BC785" s="81" t="s">
        <v>1143</v>
      </c>
      <c r="BD785" s="77">
        <v>37188645</v>
      </c>
      <c r="BE785" s="77"/>
      <c r="BF785" s="77"/>
      <c r="BG785" s="77"/>
      <c r="BH785" s="77"/>
      <c r="BI785" s="77"/>
      <c r="BJ785">
        <v>1</v>
      </c>
      <c r="BK785" s="76" t="str">
        <f>REPLACE(INDEX(GroupVertices[Group],MATCH(Edges[[#This Row],[Vertex 1]],GroupVertices[Vertex],0)),1,1,"")</f>
        <v>8</v>
      </c>
      <c r="BL785" s="76" t="str">
        <f>REPLACE(INDEX(GroupVertices[Group],MATCH(Edges[[#This Row],[Vertex 2]],GroupVertices[Vertex],0)),1,1,"")</f>
        <v>8</v>
      </c>
      <c r="BM785" s="45"/>
      <c r="BN785" s="46"/>
      <c r="BO785" s="45"/>
      <c r="BP785" s="46"/>
      <c r="BQ785" s="45"/>
      <c r="BR785" s="46"/>
      <c r="BS785" s="45"/>
      <c r="BT785" s="46"/>
      <c r="BU785" s="45"/>
    </row>
    <row r="786" spans="1:73" ht="15">
      <c r="A786" s="61" t="s">
        <v>260</v>
      </c>
      <c r="B786" s="61" t="s">
        <v>496</v>
      </c>
      <c r="C786" s="62" t="s">
        <v>11692</v>
      </c>
      <c r="D786" s="63">
        <v>3</v>
      </c>
      <c r="E786" s="64" t="s">
        <v>132</v>
      </c>
      <c r="F786" s="65">
        <v>32</v>
      </c>
      <c r="G786" s="62"/>
      <c r="H786" s="66"/>
      <c r="I786" s="67"/>
      <c r="J786" s="67"/>
      <c r="K786" s="31" t="s">
        <v>65</v>
      </c>
      <c r="L786" s="75">
        <v>786</v>
      </c>
      <c r="M786" s="75"/>
      <c r="N786" s="69"/>
      <c r="O786" s="77" t="s">
        <v>543</v>
      </c>
      <c r="P786" s="79">
        <v>45140.292337962965</v>
      </c>
      <c r="Q786" s="77" t="s">
        <v>661</v>
      </c>
      <c r="R786" s="77">
        <v>0</v>
      </c>
      <c r="S786" s="77">
        <v>0</v>
      </c>
      <c r="T786" s="77">
        <v>1</v>
      </c>
      <c r="U786" s="77">
        <v>0</v>
      </c>
      <c r="V786" s="77">
        <v>45</v>
      </c>
      <c r="W786" s="77"/>
      <c r="X786" s="77"/>
      <c r="Y786" s="77"/>
      <c r="Z786" s="77" t="s">
        <v>820</v>
      </c>
      <c r="AA786" s="77" t="s">
        <v>847</v>
      </c>
      <c r="AB786" s="77" t="s">
        <v>848</v>
      </c>
      <c r="AC786" s="81" t="s">
        <v>855</v>
      </c>
      <c r="AD786" s="77" t="s">
        <v>859</v>
      </c>
      <c r="AE786" s="83" t="str">
        <f>HYPERLINK("https://twitter.com/sunflwrgirl2/status/1686633170177802240")</f>
        <v>https://twitter.com/sunflwrgirl2/status/1686633170177802240</v>
      </c>
      <c r="AF786" s="79">
        <v>45140.292337962965</v>
      </c>
      <c r="AG786" s="85">
        <v>45140</v>
      </c>
      <c r="AH786" s="81" t="s">
        <v>989</v>
      </c>
      <c r="AI786" s="77" t="b">
        <v>0</v>
      </c>
      <c r="AJ786" s="77"/>
      <c r="AK786" s="77"/>
      <c r="AL786" s="77"/>
      <c r="AM786" s="77"/>
      <c r="AN786" s="77"/>
      <c r="AO786" s="77"/>
      <c r="AP786" s="77"/>
      <c r="AQ786" s="77" t="s">
        <v>1026</v>
      </c>
      <c r="AR786" s="77"/>
      <c r="AS786" s="77"/>
      <c r="AT786" s="77"/>
      <c r="AU786" s="77"/>
      <c r="AV786" s="83" t="str">
        <f>HYPERLINK("https://pbs.twimg.com/media/F2gf7icWEAAFH14.jpg")</f>
        <v>https://pbs.twimg.com/media/F2gf7icWEAAFH14.jpg</v>
      </c>
      <c r="AW786" s="81" t="s">
        <v>1144</v>
      </c>
      <c r="AX786" s="81" t="s">
        <v>1143</v>
      </c>
      <c r="AY786" s="81" t="s">
        <v>1188</v>
      </c>
      <c r="AZ786" s="81" t="s">
        <v>1143</v>
      </c>
      <c r="BA786" s="81" t="s">
        <v>1190</v>
      </c>
      <c r="BB786" s="81" t="s">
        <v>1190</v>
      </c>
      <c r="BC786" s="81" t="s">
        <v>1143</v>
      </c>
      <c r="BD786" s="81" t="s">
        <v>1181</v>
      </c>
      <c r="BE786" s="77"/>
      <c r="BF786" s="77"/>
      <c r="BG786" s="77"/>
      <c r="BH786" s="77"/>
      <c r="BI786" s="77"/>
      <c r="BJ786">
        <v>1</v>
      </c>
      <c r="BK786" s="76" t="str">
        <f>REPLACE(INDEX(GroupVertices[Group],MATCH(Edges[[#This Row],[Vertex 1]],GroupVertices[Vertex],0)),1,1,"")</f>
        <v>8</v>
      </c>
      <c r="BL786" s="76" t="str">
        <f>REPLACE(INDEX(GroupVertices[Group],MATCH(Edges[[#This Row],[Vertex 2]],GroupVertices[Vertex],0)),1,1,"")</f>
        <v>8</v>
      </c>
      <c r="BM786" s="45"/>
      <c r="BN786" s="46"/>
      <c r="BO786" s="45"/>
      <c r="BP786" s="46"/>
      <c r="BQ786" s="45"/>
      <c r="BR786" s="46"/>
      <c r="BS786" s="45"/>
      <c r="BT786" s="46"/>
      <c r="BU786" s="45"/>
    </row>
    <row r="787" spans="1:73" ht="15">
      <c r="A787" s="61" t="s">
        <v>262</v>
      </c>
      <c r="B787" s="61" t="s">
        <v>496</v>
      </c>
      <c r="C787" s="62" t="s">
        <v>11692</v>
      </c>
      <c r="D787" s="63">
        <v>3</v>
      </c>
      <c r="E787" s="64" t="s">
        <v>132</v>
      </c>
      <c r="F787" s="65">
        <v>32</v>
      </c>
      <c r="G787" s="62"/>
      <c r="H787" s="66"/>
      <c r="I787" s="67"/>
      <c r="J787" s="67"/>
      <c r="K787" s="31" t="s">
        <v>65</v>
      </c>
      <c r="L787" s="75">
        <v>787</v>
      </c>
      <c r="M787" s="75"/>
      <c r="N787" s="69"/>
      <c r="O787" s="77" t="s">
        <v>543</v>
      </c>
      <c r="P787" s="79">
        <v>45140.588055555556</v>
      </c>
      <c r="Q787" s="77" t="s">
        <v>663</v>
      </c>
      <c r="R787" s="77">
        <v>0</v>
      </c>
      <c r="S787" s="77">
        <v>2</v>
      </c>
      <c r="T787" s="77">
        <v>0</v>
      </c>
      <c r="U787" s="77">
        <v>0</v>
      </c>
      <c r="V787" s="77">
        <v>55</v>
      </c>
      <c r="W787" s="77"/>
      <c r="X787" s="77"/>
      <c r="Y787" s="77"/>
      <c r="Z787" s="77" t="s">
        <v>822</v>
      </c>
      <c r="AA787" s="77"/>
      <c r="AB787" s="77"/>
      <c r="AC787" s="81" t="s">
        <v>857</v>
      </c>
      <c r="AD787" s="77" t="s">
        <v>859</v>
      </c>
      <c r="AE787" s="83" t="str">
        <f>HYPERLINK("https://twitter.com/chrismontmusic/status/1686740332401078274")</f>
        <v>https://twitter.com/chrismontmusic/status/1686740332401078274</v>
      </c>
      <c r="AF787" s="79">
        <v>45140.588055555556</v>
      </c>
      <c r="AG787" s="85">
        <v>45140</v>
      </c>
      <c r="AH787" s="81" t="s">
        <v>991</v>
      </c>
      <c r="AI787" s="77"/>
      <c r="AJ787" s="77"/>
      <c r="AK787" s="77"/>
      <c r="AL787" s="77"/>
      <c r="AM787" s="77"/>
      <c r="AN787" s="77"/>
      <c r="AO787" s="77"/>
      <c r="AP787" s="77"/>
      <c r="AQ787" s="77"/>
      <c r="AR787" s="77"/>
      <c r="AS787" s="77"/>
      <c r="AT787" s="77"/>
      <c r="AU787" s="77"/>
      <c r="AV787" s="83" t="str">
        <f>HYPERLINK("https://pbs.twimg.com/profile_images/1700212395728060416/FLrANnNz_normal.jpg")</f>
        <v>https://pbs.twimg.com/profile_images/1700212395728060416/FLrANnNz_normal.jpg</v>
      </c>
      <c r="AW787" s="81" t="s">
        <v>1146</v>
      </c>
      <c r="AX787" s="81" t="s">
        <v>1143</v>
      </c>
      <c r="AY787" s="81" t="s">
        <v>1188</v>
      </c>
      <c r="AZ787" s="81" t="s">
        <v>1143</v>
      </c>
      <c r="BA787" s="81" t="s">
        <v>1190</v>
      </c>
      <c r="BB787" s="81" t="s">
        <v>1190</v>
      </c>
      <c r="BC787" s="81" t="s">
        <v>1143</v>
      </c>
      <c r="BD787" s="77">
        <v>16423356</v>
      </c>
      <c r="BE787" s="77"/>
      <c r="BF787" s="77"/>
      <c r="BG787" s="77"/>
      <c r="BH787" s="77"/>
      <c r="BI787" s="77"/>
      <c r="BJ787">
        <v>1</v>
      </c>
      <c r="BK787" s="76" t="str">
        <f>REPLACE(INDEX(GroupVertices[Group],MATCH(Edges[[#This Row],[Vertex 1]],GroupVertices[Vertex],0)),1,1,"")</f>
        <v>8</v>
      </c>
      <c r="BL787" s="76" t="str">
        <f>REPLACE(INDEX(GroupVertices[Group],MATCH(Edges[[#This Row],[Vertex 2]],GroupVertices[Vertex],0)),1,1,"")</f>
        <v>8</v>
      </c>
      <c r="BM787" s="45"/>
      <c r="BN787" s="46"/>
      <c r="BO787" s="45"/>
      <c r="BP787" s="46"/>
      <c r="BQ787" s="45"/>
      <c r="BR787" s="46"/>
      <c r="BS787" s="45"/>
      <c r="BT787" s="46"/>
      <c r="BU787" s="45"/>
    </row>
    <row r="788" spans="1:73" ht="15">
      <c r="A788" s="61" t="s">
        <v>259</v>
      </c>
      <c r="B788" s="61" t="s">
        <v>260</v>
      </c>
      <c r="C788" s="62" t="s">
        <v>11692</v>
      </c>
      <c r="D788" s="63">
        <v>3</v>
      </c>
      <c r="E788" s="64" t="s">
        <v>132</v>
      </c>
      <c r="F788" s="65">
        <v>32</v>
      </c>
      <c r="G788" s="62"/>
      <c r="H788" s="66"/>
      <c r="I788" s="67"/>
      <c r="J788" s="67"/>
      <c r="K788" s="31" t="s">
        <v>66</v>
      </c>
      <c r="L788" s="75">
        <v>788</v>
      </c>
      <c r="M788" s="75"/>
      <c r="N788" s="69"/>
      <c r="O788" s="77" t="s">
        <v>539</v>
      </c>
      <c r="P788" s="79">
        <v>45139.25664351852</v>
      </c>
      <c r="Q788" s="77" t="s">
        <v>660</v>
      </c>
      <c r="R788" s="77">
        <v>2</v>
      </c>
      <c r="S788" s="77">
        <v>8</v>
      </c>
      <c r="T788" s="77">
        <v>3</v>
      </c>
      <c r="U788" s="77">
        <v>0</v>
      </c>
      <c r="V788" s="77">
        <v>221</v>
      </c>
      <c r="W788" s="81" t="s">
        <v>727</v>
      </c>
      <c r="X788" s="77"/>
      <c r="Y788" s="77"/>
      <c r="Z788" s="77" t="s">
        <v>819</v>
      </c>
      <c r="AA788" s="77" t="s">
        <v>846</v>
      </c>
      <c r="AB788" s="77" t="s">
        <v>848</v>
      </c>
      <c r="AC788" s="81" t="s">
        <v>855</v>
      </c>
      <c r="AD788" s="77" t="s">
        <v>859</v>
      </c>
      <c r="AE788" s="83" t="str">
        <f>HYPERLINK("https://twitter.com/michaelbathurst/status/1686257845048590336")</f>
        <v>https://twitter.com/michaelbathurst/status/1686257845048590336</v>
      </c>
      <c r="AF788" s="79">
        <v>45139.25664351852</v>
      </c>
      <c r="AG788" s="85">
        <v>45139</v>
      </c>
      <c r="AH788" s="81" t="s">
        <v>988</v>
      </c>
      <c r="AI788" s="77" t="b">
        <v>0</v>
      </c>
      <c r="AJ788" s="77"/>
      <c r="AK788" s="77"/>
      <c r="AL788" s="77"/>
      <c r="AM788" s="77"/>
      <c r="AN788" s="77"/>
      <c r="AO788" s="77"/>
      <c r="AP788" s="77"/>
      <c r="AQ788" s="77" t="s">
        <v>1025</v>
      </c>
      <c r="AR788" s="77"/>
      <c r="AS788" s="77"/>
      <c r="AT788" s="77"/>
      <c r="AU788" s="77"/>
      <c r="AV788" s="83" t="str">
        <f>HYPERLINK("https://pbs.twimg.com/media/F2bKkr2WQAA2v5-.jpg")</f>
        <v>https://pbs.twimg.com/media/F2bKkr2WQAA2v5-.jpg</v>
      </c>
      <c r="AW788" s="81" t="s">
        <v>1143</v>
      </c>
      <c r="AX788" s="81" t="s">
        <v>1143</v>
      </c>
      <c r="AY788" s="77"/>
      <c r="AZ788" s="81" t="s">
        <v>1190</v>
      </c>
      <c r="BA788" s="81" t="s">
        <v>1190</v>
      </c>
      <c r="BB788" s="81" t="s">
        <v>1190</v>
      </c>
      <c r="BC788" s="81" t="s">
        <v>1143</v>
      </c>
      <c r="BD788" s="77">
        <v>37188645</v>
      </c>
      <c r="BE788" s="77"/>
      <c r="BF788" s="77"/>
      <c r="BG788" s="77"/>
      <c r="BH788" s="77"/>
      <c r="BI788" s="77"/>
      <c r="BJ788">
        <v>1</v>
      </c>
      <c r="BK788" s="76" t="str">
        <f>REPLACE(INDEX(GroupVertices[Group],MATCH(Edges[[#This Row],[Vertex 1]],GroupVertices[Vertex],0)),1,1,"")</f>
        <v>8</v>
      </c>
      <c r="BL788" s="76" t="str">
        <f>REPLACE(INDEX(GroupVertices[Group],MATCH(Edges[[#This Row],[Vertex 2]],GroupVertices[Vertex],0)),1,1,"")</f>
        <v>8</v>
      </c>
      <c r="BM788" s="45">
        <v>1</v>
      </c>
      <c r="BN788" s="46">
        <v>4.761904761904762</v>
      </c>
      <c r="BO788" s="45">
        <v>0</v>
      </c>
      <c r="BP788" s="46">
        <v>0</v>
      </c>
      <c r="BQ788" s="45">
        <v>0</v>
      </c>
      <c r="BR788" s="46">
        <v>0</v>
      </c>
      <c r="BS788" s="45">
        <v>20</v>
      </c>
      <c r="BT788" s="46">
        <v>95.23809523809524</v>
      </c>
      <c r="BU788" s="45">
        <v>21</v>
      </c>
    </row>
    <row r="789" spans="1:73" ht="15">
      <c r="A789" s="61" t="s">
        <v>260</v>
      </c>
      <c r="B789" s="61" t="s">
        <v>262</v>
      </c>
      <c r="C789" s="62" t="s">
        <v>11692</v>
      </c>
      <c r="D789" s="63">
        <v>3</v>
      </c>
      <c r="E789" s="64" t="s">
        <v>132</v>
      </c>
      <c r="F789" s="65">
        <v>32</v>
      </c>
      <c r="G789" s="62"/>
      <c r="H789" s="66"/>
      <c r="I789" s="67"/>
      <c r="J789" s="67"/>
      <c r="K789" s="31" t="s">
        <v>66</v>
      </c>
      <c r="L789" s="75">
        <v>789</v>
      </c>
      <c r="M789" s="75"/>
      <c r="N789" s="69"/>
      <c r="O789" s="77" t="s">
        <v>543</v>
      </c>
      <c r="P789" s="79">
        <v>45140.292337962965</v>
      </c>
      <c r="Q789" s="77" t="s">
        <v>661</v>
      </c>
      <c r="R789" s="77">
        <v>0</v>
      </c>
      <c r="S789" s="77">
        <v>0</v>
      </c>
      <c r="T789" s="77">
        <v>1</v>
      </c>
      <c r="U789" s="77">
        <v>0</v>
      </c>
      <c r="V789" s="77">
        <v>45</v>
      </c>
      <c r="W789" s="77"/>
      <c r="X789" s="77"/>
      <c r="Y789" s="77"/>
      <c r="Z789" s="77" t="s">
        <v>820</v>
      </c>
      <c r="AA789" s="77" t="s">
        <v>847</v>
      </c>
      <c r="AB789" s="77" t="s">
        <v>848</v>
      </c>
      <c r="AC789" s="81" t="s">
        <v>855</v>
      </c>
      <c r="AD789" s="77" t="s">
        <v>859</v>
      </c>
      <c r="AE789" s="83" t="str">
        <f>HYPERLINK("https://twitter.com/sunflwrgirl2/status/1686633170177802240")</f>
        <v>https://twitter.com/sunflwrgirl2/status/1686633170177802240</v>
      </c>
      <c r="AF789" s="79">
        <v>45140.292337962965</v>
      </c>
      <c r="AG789" s="85">
        <v>45140</v>
      </c>
      <c r="AH789" s="81" t="s">
        <v>989</v>
      </c>
      <c r="AI789" s="77" t="b">
        <v>0</v>
      </c>
      <c r="AJ789" s="77"/>
      <c r="AK789" s="77"/>
      <c r="AL789" s="77"/>
      <c r="AM789" s="77"/>
      <c r="AN789" s="77"/>
      <c r="AO789" s="77"/>
      <c r="AP789" s="77"/>
      <c r="AQ789" s="77" t="s">
        <v>1026</v>
      </c>
      <c r="AR789" s="77"/>
      <c r="AS789" s="77"/>
      <c r="AT789" s="77"/>
      <c r="AU789" s="77"/>
      <c r="AV789" s="83" t="str">
        <f>HYPERLINK("https://pbs.twimg.com/media/F2gf7icWEAAFH14.jpg")</f>
        <v>https://pbs.twimg.com/media/F2gf7icWEAAFH14.jpg</v>
      </c>
      <c r="AW789" s="81" t="s">
        <v>1144</v>
      </c>
      <c r="AX789" s="81" t="s">
        <v>1143</v>
      </c>
      <c r="AY789" s="81" t="s">
        <v>1188</v>
      </c>
      <c r="AZ789" s="81" t="s">
        <v>1143</v>
      </c>
      <c r="BA789" s="81" t="s">
        <v>1190</v>
      </c>
      <c r="BB789" s="81" t="s">
        <v>1190</v>
      </c>
      <c r="BC789" s="81" t="s">
        <v>1143</v>
      </c>
      <c r="BD789" s="81" t="s">
        <v>1181</v>
      </c>
      <c r="BE789" s="77"/>
      <c r="BF789" s="77"/>
      <c r="BG789" s="77"/>
      <c r="BH789" s="77"/>
      <c r="BI789" s="77"/>
      <c r="BJ789">
        <v>1</v>
      </c>
      <c r="BK789" s="76" t="str">
        <f>REPLACE(INDEX(GroupVertices[Group],MATCH(Edges[[#This Row],[Vertex 1]],GroupVertices[Vertex],0)),1,1,"")</f>
        <v>8</v>
      </c>
      <c r="BL789" s="76" t="str">
        <f>REPLACE(INDEX(GroupVertices[Group],MATCH(Edges[[#This Row],[Vertex 2]],GroupVertices[Vertex],0)),1,1,"")</f>
        <v>8</v>
      </c>
      <c r="BM789" s="45"/>
      <c r="BN789" s="46"/>
      <c r="BO789" s="45"/>
      <c r="BP789" s="46"/>
      <c r="BQ789" s="45"/>
      <c r="BR789" s="46"/>
      <c r="BS789" s="45"/>
      <c r="BT789" s="46"/>
      <c r="BU789" s="45"/>
    </row>
    <row r="790" spans="1:73" ht="15">
      <c r="A790" s="61" t="s">
        <v>260</v>
      </c>
      <c r="B790" s="61" t="s">
        <v>497</v>
      </c>
      <c r="C790" s="62" t="s">
        <v>11692</v>
      </c>
      <c r="D790" s="63">
        <v>3</v>
      </c>
      <c r="E790" s="64" t="s">
        <v>132</v>
      </c>
      <c r="F790" s="65">
        <v>32</v>
      </c>
      <c r="G790" s="62"/>
      <c r="H790" s="66"/>
      <c r="I790" s="67"/>
      <c r="J790" s="67"/>
      <c r="K790" s="31" t="s">
        <v>65</v>
      </c>
      <c r="L790" s="75">
        <v>790</v>
      </c>
      <c r="M790" s="75"/>
      <c r="N790" s="69"/>
      <c r="O790" s="77" t="s">
        <v>543</v>
      </c>
      <c r="P790" s="79">
        <v>45140.292337962965</v>
      </c>
      <c r="Q790" s="77" t="s">
        <v>661</v>
      </c>
      <c r="R790" s="77">
        <v>0</v>
      </c>
      <c r="S790" s="77">
        <v>0</v>
      </c>
      <c r="T790" s="77">
        <v>1</v>
      </c>
      <c r="U790" s="77">
        <v>0</v>
      </c>
      <c r="V790" s="77">
        <v>45</v>
      </c>
      <c r="W790" s="77"/>
      <c r="X790" s="77"/>
      <c r="Y790" s="77"/>
      <c r="Z790" s="77" t="s">
        <v>820</v>
      </c>
      <c r="AA790" s="77" t="s">
        <v>847</v>
      </c>
      <c r="AB790" s="77" t="s">
        <v>848</v>
      </c>
      <c r="AC790" s="81" t="s">
        <v>855</v>
      </c>
      <c r="AD790" s="77" t="s">
        <v>859</v>
      </c>
      <c r="AE790" s="83" t="str">
        <f>HYPERLINK("https://twitter.com/sunflwrgirl2/status/1686633170177802240")</f>
        <v>https://twitter.com/sunflwrgirl2/status/1686633170177802240</v>
      </c>
      <c r="AF790" s="79">
        <v>45140.292337962965</v>
      </c>
      <c r="AG790" s="85">
        <v>45140</v>
      </c>
      <c r="AH790" s="81" t="s">
        <v>989</v>
      </c>
      <c r="AI790" s="77" t="b">
        <v>0</v>
      </c>
      <c r="AJ790" s="77"/>
      <c r="AK790" s="77"/>
      <c r="AL790" s="77"/>
      <c r="AM790" s="77"/>
      <c r="AN790" s="77"/>
      <c r="AO790" s="77"/>
      <c r="AP790" s="77"/>
      <c r="AQ790" s="77" t="s">
        <v>1026</v>
      </c>
      <c r="AR790" s="77"/>
      <c r="AS790" s="77"/>
      <c r="AT790" s="77"/>
      <c r="AU790" s="77"/>
      <c r="AV790" s="83" t="str">
        <f>HYPERLINK("https://pbs.twimg.com/media/F2gf7icWEAAFH14.jpg")</f>
        <v>https://pbs.twimg.com/media/F2gf7icWEAAFH14.jpg</v>
      </c>
      <c r="AW790" s="81" t="s">
        <v>1144</v>
      </c>
      <c r="AX790" s="81" t="s">
        <v>1143</v>
      </c>
      <c r="AY790" s="81" t="s">
        <v>1188</v>
      </c>
      <c r="AZ790" s="81" t="s">
        <v>1143</v>
      </c>
      <c r="BA790" s="81" t="s">
        <v>1190</v>
      </c>
      <c r="BB790" s="81" t="s">
        <v>1190</v>
      </c>
      <c r="BC790" s="81" t="s">
        <v>1143</v>
      </c>
      <c r="BD790" s="81" t="s">
        <v>1181</v>
      </c>
      <c r="BE790" s="77"/>
      <c r="BF790" s="77"/>
      <c r="BG790" s="77"/>
      <c r="BH790" s="77"/>
      <c r="BI790" s="77"/>
      <c r="BJ790">
        <v>1</v>
      </c>
      <c r="BK790" s="76" t="str">
        <f>REPLACE(INDEX(GroupVertices[Group],MATCH(Edges[[#This Row],[Vertex 1]],GroupVertices[Vertex],0)),1,1,"")</f>
        <v>8</v>
      </c>
      <c r="BL790" s="76" t="str">
        <f>REPLACE(INDEX(GroupVertices[Group],MATCH(Edges[[#This Row],[Vertex 2]],GroupVertices[Vertex],0)),1,1,"")</f>
        <v>8</v>
      </c>
      <c r="BM790" s="45"/>
      <c r="BN790" s="46"/>
      <c r="BO790" s="45"/>
      <c r="BP790" s="46"/>
      <c r="BQ790" s="45"/>
      <c r="BR790" s="46"/>
      <c r="BS790" s="45"/>
      <c r="BT790" s="46"/>
      <c r="BU790" s="45"/>
    </row>
    <row r="791" spans="1:73" ht="15">
      <c r="A791" s="61" t="s">
        <v>260</v>
      </c>
      <c r="B791" s="61" t="s">
        <v>498</v>
      </c>
      <c r="C791" s="62" t="s">
        <v>11692</v>
      </c>
      <c r="D791" s="63">
        <v>3</v>
      </c>
      <c r="E791" s="64" t="s">
        <v>132</v>
      </c>
      <c r="F791" s="65">
        <v>32</v>
      </c>
      <c r="G791" s="62"/>
      <c r="H791" s="66"/>
      <c r="I791" s="67"/>
      <c r="J791" s="67"/>
      <c r="K791" s="31" t="s">
        <v>65</v>
      </c>
      <c r="L791" s="75">
        <v>791</v>
      </c>
      <c r="M791" s="75"/>
      <c r="N791" s="69"/>
      <c r="O791" s="77" t="s">
        <v>543</v>
      </c>
      <c r="P791" s="79">
        <v>45140.292337962965</v>
      </c>
      <c r="Q791" s="77" t="s">
        <v>661</v>
      </c>
      <c r="R791" s="77">
        <v>0</v>
      </c>
      <c r="S791" s="77">
        <v>0</v>
      </c>
      <c r="T791" s="77">
        <v>1</v>
      </c>
      <c r="U791" s="77">
        <v>0</v>
      </c>
      <c r="V791" s="77">
        <v>45</v>
      </c>
      <c r="W791" s="77"/>
      <c r="X791" s="77"/>
      <c r="Y791" s="77"/>
      <c r="Z791" s="77" t="s">
        <v>820</v>
      </c>
      <c r="AA791" s="77" t="s">
        <v>847</v>
      </c>
      <c r="AB791" s="77" t="s">
        <v>848</v>
      </c>
      <c r="AC791" s="81" t="s">
        <v>855</v>
      </c>
      <c r="AD791" s="77" t="s">
        <v>859</v>
      </c>
      <c r="AE791" s="83" t="str">
        <f>HYPERLINK("https://twitter.com/sunflwrgirl2/status/1686633170177802240")</f>
        <v>https://twitter.com/sunflwrgirl2/status/1686633170177802240</v>
      </c>
      <c r="AF791" s="79">
        <v>45140.292337962965</v>
      </c>
      <c r="AG791" s="85">
        <v>45140</v>
      </c>
      <c r="AH791" s="81" t="s">
        <v>989</v>
      </c>
      <c r="AI791" s="77" t="b">
        <v>0</v>
      </c>
      <c r="AJ791" s="77"/>
      <c r="AK791" s="77"/>
      <c r="AL791" s="77"/>
      <c r="AM791" s="77"/>
      <c r="AN791" s="77"/>
      <c r="AO791" s="77"/>
      <c r="AP791" s="77"/>
      <c r="AQ791" s="77" t="s">
        <v>1026</v>
      </c>
      <c r="AR791" s="77"/>
      <c r="AS791" s="77"/>
      <c r="AT791" s="77"/>
      <c r="AU791" s="77"/>
      <c r="AV791" s="83" t="str">
        <f>HYPERLINK("https://pbs.twimg.com/media/F2gf7icWEAAFH14.jpg")</f>
        <v>https://pbs.twimg.com/media/F2gf7icWEAAFH14.jpg</v>
      </c>
      <c r="AW791" s="81" t="s">
        <v>1144</v>
      </c>
      <c r="AX791" s="81" t="s">
        <v>1143</v>
      </c>
      <c r="AY791" s="81" t="s">
        <v>1188</v>
      </c>
      <c r="AZ791" s="81" t="s">
        <v>1143</v>
      </c>
      <c r="BA791" s="81" t="s">
        <v>1190</v>
      </c>
      <c r="BB791" s="81" t="s">
        <v>1190</v>
      </c>
      <c r="BC791" s="81" t="s">
        <v>1143</v>
      </c>
      <c r="BD791" s="81" t="s">
        <v>1181</v>
      </c>
      <c r="BE791" s="77"/>
      <c r="BF791" s="77"/>
      <c r="BG791" s="77"/>
      <c r="BH791" s="77"/>
      <c r="BI791" s="77"/>
      <c r="BJ791">
        <v>1</v>
      </c>
      <c r="BK791" s="76" t="str">
        <f>REPLACE(INDEX(GroupVertices[Group],MATCH(Edges[[#This Row],[Vertex 1]],GroupVertices[Vertex],0)),1,1,"")</f>
        <v>8</v>
      </c>
      <c r="BL791" s="76" t="str">
        <f>REPLACE(INDEX(GroupVertices[Group],MATCH(Edges[[#This Row],[Vertex 2]],GroupVertices[Vertex],0)),1,1,"")</f>
        <v>8</v>
      </c>
      <c r="BM791" s="45"/>
      <c r="BN791" s="46"/>
      <c r="BO791" s="45"/>
      <c r="BP791" s="46"/>
      <c r="BQ791" s="45"/>
      <c r="BR791" s="46"/>
      <c r="BS791" s="45"/>
      <c r="BT791" s="46"/>
      <c r="BU791" s="45"/>
    </row>
    <row r="792" spans="1:73" ht="15">
      <c r="A792" s="61" t="s">
        <v>260</v>
      </c>
      <c r="B792" s="61" t="s">
        <v>499</v>
      </c>
      <c r="C792" s="62" t="s">
        <v>11692</v>
      </c>
      <c r="D792" s="63">
        <v>3</v>
      </c>
      <c r="E792" s="64" t="s">
        <v>132</v>
      </c>
      <c r="F792" s="65">
        <v>32</v>
      </c>
      <c r="G792" s="62"/>
      <c r="H792" s="66"/>
      <c r="I792" s="67"/>
      <c r="J792" s="67"/>
      <c r="K792" s="31" t="s">
        <v>65</v>
      </c>
      <c r="L792" s="75">
        <v>792</v>
      </c>
      <c r="M792" s="75"/>
      <c r="N792" s="69"/>
      <c r="O792" s="77" t="s">
        <v>543</v>
      </c>
      <c r="P792" s="79">
        <v>45140.292337962965</v>
      </c>
      <c r="Q792" s="77" t="s">
        <v>661</v>
      </c>
      <c r="R792" s="77">
        <v>0</v>
      </c>
      <c r="S792" s="77">
        <v>0</v>
      </c>
      <c r="T792" s="77">
        <v>1</v>
      </c>
      <c r="U792" s="77">
        <v>0</v>
      </c>
      <c r="V792" s="77">
        <v>45</v>
      </c>
      <c r="W792" s="77"/>
      <c r="X792" s="77"/>
      <c r="Y792" s="77"/>
      <c r="Z792" s="77" t="s">
        <v>820</v>
      </c>
      <c r="AA792" s="77" t="s">
        <v>847</v>
      </c>
      <c r="AB792" s="77" t="s">
        <v>848</v>
      </c>
      <c r="AC792" s="81" t="s">
        <v>855</v>
      </c>
      <c r="AD792" s="77" t="s">
        <v>859</v>
      </c>
      <c r="AE792" s="83" t="str">
        <f>HYPERLINK("https://twitter.com/sunflwrgirl2/status/1686633170177802240")</f>
        <v>https://twitter.com/sunflwrgirl2/status/1686633170177802240</v>
      </c>
      <c r="AF792" s="79">
        <v>45140.292337962965</v>
      </c>
      <c r="AG792" s="85">
        <v>45140</v>
      </c>
      <c r="AH792" s="81" t="s">
        <v>989</v>
      </c>
      <c r="AI792" s="77" t="b">
        <v>0</v>
      </c>
      <c r="AJ792" s="77"/>
      <c r="AK792" s="77"/>
      <c r="AL792" s="77"/>
      <c r="AM792" s="77"/>
      <c r="AN792" s="77"/>
      <c r="AO792" s="77"/>
      <c r="AP792" s="77"/>
      <c r="AQ792" s="77" t="s">
        <v>1026</v>
      </c>
      <c r="AR792" s="77"/>
      <c r="AS792" s="77"/>
      <c r="AT792" s="77"/>
      <c r="AU792" s="77"/>
      <c r="AV792" s="83" t="str">
        <f>HYPERLINK("https://pbs.twimg.com/media/F2gf7icWEAAFH14.jpg")</f>
        <v>https://pbs.twimg.com/media/F2gf7icWEAAFH14.jpg</v>
      </c>
      <c r="AW792" s="81" t="s">
        <v>1144</v>
      </c>
      <c r="AX792" s="81" t="s">
        <v>1143</v>
      </c>
      <c r="AY792" s="81" t="s">
        <v>1188</v>
      </c>
      <c r="AZ792" s="81" t="s">
        <v>1143</v>
      </c>
      <c r="BA792" s="81" t="s">
        <v>1190</v>
      </c>
      <c r="BB792" s="81" t="s">
        <v>1190</v>
      </c>
      <c r="BC792" s="81" t="s">
        <v>1143</v>
      </c>
      <c r="BD792" s="81" t="s">
        <v>1181</v>
      </c>
      <c r="BE792" s="77"/>
      <c r="BF792" s="77"/>
      <c r="BG792" s="77"/>
      <c r="BH792" s="77"/>
      <c r="BI792" s="77"/>
      <c r="BJ792">
        <v>1</v>
      </c>
      <c r="BK792" s="76" t="str">
        <f>REPLACE(INDEX(GroupVertices[Group],MATCH(Edges[[#This Row],[Vertex 1]],GroupVertices[Vertex],0)),1,1,"")</f>
        <v>8</v>
      </c>
      <c r="BL792" s="76" t="str">
        <f>REPLACE(INDEX(GroupVertices[Group],MATCH(Edges[[#This Row],[Vertex 2]],GroupVertices[Vertex],0)),1,1,"")</f>
        <v>8</v>
      </c>
      <c r="BM792" s="45"/>
      <c r="BN792" s="46"/>
      <c r="BO792" s="45"/>
      <c r="BP792" s="46"/>
      <c r="BQ792" s="45"/>
      <c r="BR792" s="46"/>
      <c r="BS792" s="45"/>
      <c r="BT792" s="46"/>
      <c r="BU792" s="45"/>
    </row>
    <row r="793" spans="1:73" ht="15">
      <c r="A793" s="61" t="s">
        <v>260</v>
      </c>
      <c r="B793" s="61" t="s">
        <v>500</v>
      </c>
      <c r="C793" s="62" t="s">
        <v>11692</v>
      </c>
      <c r="D793" s="63">
        <v>3</v>
      </c>
      <c r="E793" s="64" t="s">
        <v>132</v>
      </c>
      <c r="F793" s="65">
        <v>32</v>
      </c>
      <c r="G793" s="62"/>
      <c r="H793" s="66"/>
      <c r="I793" s="67"/>
      <c r="J793" s="67"/>
      <c r="K793" s="31" t="s">
        <v>65</v>
      </c>
      <c r="L793" s="75">
        <v>793</v>
      </c>
      <c r="M793" s="75"/>
      <c r="N793" s="69"/>
      <c r="O793" s="77" t="s">
        <v>543</v>
      </c>
      <c r="P793" s="79">
        <v>45140.292337962965</v>
      </c>
      <c r="Q793" s="77" t="s">
        <v>661</v>
      </c>
      <c r="R793" s="77">
        <v>0</v>
      </c>
      <c r="S793" s="77">
        <v>0</v>
      </c>
      <c r="T793" s="77">
        <v>1</v>
      </c>
      <c r="U793" s="77">
        <v>0</v>
      </c>
      <c r="V793" s="77">
        <v>45</v>
      </c>
      <c r="W793" s="77"/>
      <c r="X793" s="77"/>
      <c r="Y793" s="77"/>
      <c r="Z793" s="77" t="s">
        <v>820</v>
      </c>
      <c r="AA793" s="77" t="s">
        <v>847</v>
      </c>
      <c r="AB793" s="77" t="s">
        <v>848</v>
      </c>
      <c r="AC793" s="81" t="s">
        <v>855</v>
      </c>
      <c r="AD793" s="77" t="s">
        <v>859</v>
      </c>
      <c r="AE793" s="83" t="str">
        <f>HYPERLINK("https://twitter.com/sunflwrgirl2/status/1686633170177802240")</f>
        <v>https://twitter.com/sunflwrgirl2/status/1686633170177802240</v>
      </c>
      <c r="AF793" s="79">
        <v>45140.292337962965</v>
      </c>
      <c r="AG793" s="85">
        <v>45140</v>
      </c>
      <c r="AH793" s="81" t="s">
        <v>989</v>
      </c>
      <c r="AI793" s="77" t="b">
        <v>0</v>
      </c>
      <c r="AJ793" s="77"/>
      <c r="AK793" s="77"/>
      <c r="AL793" s="77"/>
      <c r="AM793" s="77"/>
      <c r="AN793" s="77"/>
      <c r="AO793" s="77"/>
      <c r="AP793" s="77"/>
      <c r="AQ793" s="77" t="s">
        <v>1026</v>
      </c>
      <c r="AR793" s="77"/>
      <c r="AS793" s="77"/>
      <c r="AT793" s="77"/>
      <c r="AU793" s="77"/>
      <c r="AV793" s="83" t="str">
        <f>HYPERLINK("https://pbs.twimg.com/media/F2gf7icWEAAFH14.jpg")</f>
        <v>https://pbs.twimg.com/media/F2gf7icWEAAFH14.jpg</v>
      </c>
      <c r="AW793" s="81" t="s">
        <v>1144</v>
      </c>
      <c r="AX793" s="81" t="s">
        <v>1143</v>
      </c>
      <c r="AY793" s="81" t="s">
        <v>1188</v>
      </c>
      <c r="AZ793" s="81" t="s">
        <v>1143</v>
      </c>
      <c r="BA793" s="81" t="s">
        <v>1190</v>
      </c>
      <c r="BB793" s="81" t="s">
        <v>1190</v>
      </c>
      <c r="BC793" s="81" t="s">
        <v>1143</v>
      </c>
      <c r="BD793" s="81" t="s">
        <v>1181</v>
      </c>
      <c r="BE793" s="77"/>
      <c r="BF793" s="77"/>
      <c r="BG793" s="77"/>
      <c r="BH793" s="77"/>
      <c r="BI793" s="77"/>
      <c r="BJ793">
        <v>1</v>
      </c>
      <c r="BK793" s="76" t="str">
        <f>REPLACE(INDEX(GroupVertices[Group],MATCH(Edges[[#This Row],[Vertex 1]],GroupVertices[Vertex],0)),1,1,"")</f>
        <v>8</v>
      </c>
      <c r="BL793" s="76" t="str">
        <f>REPLACE(INDEX(GroupVertices[Group],MATCH(Edges[[#This Row],[Vertex 2]],GroupVertices[Vertex],0)),1,1,"")</f>
        <v>8</v>
      </c>
      <c r="BM793" s="45"/>
      <c r="BN793" s="46"/>
      <c r="BO793" s="45"/>
      <c r="BP793" s="46"/>
      <c r="BQ793" s="45"/>
      <c r="BR793" s="46"/>
      <c r="BS793" s="45"/>
      <c r="BT793" s="46"/>
      <c r="BU793" s="45"/>
    </row>
    <row r="794" spans="1:73" ht="15">
      <c r="A794" s="61" t="s">
        <v>260</v>
      </c>
      <c r="B794" s="61" t="s">
        <v>501</v>
      </c>
      <c r="C794" s="62" t="s">
        <v>11692</v>
      </c>
      <c r="D794" s="63">
        <v>3</v>
      </c>
      <c r="E794" s="64" t="s">
        <v>132</v>
      </c>
      <c r="F794" s="65">
        <v>32</v>
      </c>
      <c r="G794" s="62"/>
      <c r="H794" s="66"/>
      <c r="I794" s="67"/>
      <c r="J794" s="67"/>
      <c r="K794" s="31" t="s">
        <v>65</v>
      </c>
      <c r="L794" s="75">
        <v>794</v>
      </c>
      <c r="M794" s="75"/>
      <c r="N794" s="69"/>
      <c r="O794" s="77" t="s">
        <v>543</v>
      </c>
      <c r="P794" s="79">
        <v>45140.292337962965</v>
      </c>
      <c r="Q794" s="77" t="s">
        <v>661</v>
      </c>
      <c r="R794" s="77">
        <v>0</v>
      </c>
      <c r="S794" s="77">
        <v>0</v>
      </c>
      <c r="T794" s="77">
        <v>1</v>
      </c>
      <c r="U794" s="77">
        <v>0</v>
      </c>
      <c r="V794" s="77">
        <v>45</v>
      </c>
      <c r="W794" s="77"/>
      <c r="X794" s="77"/>
      <c r="Y794" s="77"/>
      <c r="Z794" s="77" t="s">
        <v>820</v>
      </c>
      <c r="AA794" s="77" t="s">
        <v>847</v>
      </c>
      <c r="AB794" s="77" t="s">
        <v>848</v>
      </c>
      <c r="AC794" s="81" t="s">
        <v>855</v>
      </c>
      <c r="AD794" s="77" t="s">
        <v>859</v>
      </c>
      <c r="AE794" s="83" t="str">
        <f>HYPERLINK("https://twitter.com/sunflwrgirl2/status/1686633170177802240")</f>
        <v>https://twitter.com/sunflwrgirl2/status/1686633170177802240</v>
      </c>
      <c r="AF794" s="79">
        <v>45140.292337962965</v>
      </c>
      <c r="AG794" s="85">
        <v>45140</v>
      </c>
      <c r="AH794" s="81" t="s">
        <v>989</v>
      </c>
      <c r="AI794" s="77" t="b">
        <v>0</v>
      </c>
      <c r="AJ794" s="77"/>
      <c r="AK794" s="77"/>
      <c r="AL794" s="77"/>
      <c r="AM794" s="77"/>
      <c r="AN794" s="77"/>
      <c r="AO794" s="77"/>
      <c r="AP794" s="77"/>
      <c r="AQ794" s="77" t="s">
        <v>1026</v>
      </c>
      <c r="AR794" s="77"/>
      <c r="AS794" s="77"/>
      <c r="AT794" s="77"/>
      <c r="AU794" s="77"/>
      <c r="AV794" s="83" t="str">
        <f>HYPERLINK("https://pbs.twimg.com/media/F2gf7icWEAAFH14.jpg")</f>
        <v>https://pbs.twimg.com/media/F2gf7icWEAAFH14.jpg</v>
      </c>
      <c r="AW794" s="81" t="s">
        <v>1144</v>
      </c>
      <c r="AX794" s="81" t="s">
        <v>1143</v>
      </c>
      <c r="AY794" s="81" t="s">
        <v>1188</v>
      </c>
      <c r="AZ794" s="81" t="s">
        <v>1143</v>
      </c>
      <c r="BA794" s="81" t="s">
        <v>1190</v>
      </c>
      <c r="BB794" s="81" t="s">
        <v>1190</v>
      </c>
      <c r="BC794" s="81" t="s">
        <v>1143</v>
      </c>
      <c r="BD794" s="81" t="s">
        <v>1181</v>
      </c>
      <c r="BE794" s="77"/>
      <c r="BF794" s="77"/>
      <c r="BG794" s="77"/>
      <c r="BH794" s="77"/>
      <c r="BI794" s="77"/>
      <c r="BJ794">
        <v>1</v>
      </c>
      <c r="BK794" s="76" t="str">
        <f>REPLACE(INDEX(GroupVertices[Group],MATCH(Edges[[#This Row],[Vertex 1]],GroupVertices[Vertex],0)),1,1,"")</f>
        <v>8</v>
      </c>
      <c r="BL794" s="76" t="str">
        <f>REPLACE(INDEX(GroupVertices[Group],MATCH(Edges[[#This Row],[Vertex 2]],GroupVertices[Vertex],0)),1,1,"")</f>
        <v>8</v>
      </c>
      <c r="BM794" s="45"/>
      <c r="BN794" s="46"/>
      <c r="BO794" s="45"/>
      <c r="BP794" s="46"/>
      <c r="BQ794" s="45"/>
      <c r="BR794" s="46"/>
      <c r="BS794" s="45"/>
      <c r="BT794" s="46"/>
      <c r="BU794" s="45"/>
    </row>
    <row r="795" spans="1:73" ht="15">
      <c r="A795" s="61" t="s">
        <v>260</v>
      </c>
      <c r="B795" s="61" t="s">
        <v>259</v>
      </c>
      <c r="C795" s="62" t="s">
        <v>11692</v>
      </c>
      <c r="D795" s="63">
        <v>3</v>
      </c>
      <c r="E795" s="64" t="s">
        <v>132</v>
      </c>
      <c r="F795" s="65">
        <v>32</v>
      </c>
      <c r="G795" s="62"/>
      <c r="H795" s="66"/>
      <c r="I795" s="67"/>
      <c r="J795" s="67"/>
      <c r="K795" s="31" t="s">
        <v>66</v>
      </c>
      <c r="L795" s="75">
        <v>795</v>
      </c>
      <c r="M795" s="75"/>
      <c r="N795" s="69"/>
      <c r="O795" s="77" t="s">
        <v>540</v>
      </c>
      <c r="P795" s="79">
        <v>45140.292337962965</v>
      </c>
      <c r="Q795" s="77" t="s">
        <v>661</v>
      </c>
      <c r="R795" s="77">
        <v>0</v>
      </c>
      <c r="S795" s="77">
        <v>0</v>
      </c>
      <c r="T795" s="77">
        <v>1</v>
      </c>
      <c r="U795" s="77">
        <v>0</v>
      </c>
      <c r="V795" s="77">
        <v>45</v>
      </c>
      <c r="W795" s="77"/>
      <c r="X795" s="77"/>
      <c r="Y795" s="77"/>
      <c r="Z795" s="77" t="s">
        <v>820</v>
      </c>
      <c r="AA795" s="77" t="s">
        <v>847</v>
      </c>
      <c r="AB795" s="77" t="s">
        <v>848</v>
      </c>
      <c r="AC795" s="81" t="s">
        <v>855</v>
      </c>
      <c r="AD795" s="77" t="s">
        <v>859</v>
      </c>
      <c r="AE795" s="83" t="str">
        <f>HYPERLINK("https://twitter.com/sunflwrgirl2/status/1686633170177802240")</f>
        <v>https://twitter.com/sunflwrgirl2/status/1686633170177802240</v>
      </c>
      <c r="AF795" s="79">
        <v>45140.292337962965</v>
      </c>
      <c r="AG795" s="85">
        <v>45140</v>
      </c>
      <c r="AH795" s="81" t="s">
        <v>989</v>
      </c>
      <c r="AI795" s="77" t="b">
        <v>0</v>
      </c>
      <c r="AJ795" s="77"/>
      <c r="AK795" s="77"/>
      <c r="AL795" s="77"/>
      <c r="AM795" s="77"/>
      <c r="AN795" s="77"/>
      <c r="AO795" s="77"/>
      <c r="AP795" s="77"/>
      <c r="AQ795" s="77" t="s">
        <v>1026</v>
      </c>
      <c r="AR795" s="77"/>
      <c r="AS795" s="77"/>
      <c r="AT795" s="77"/>
      <c r="AU795" s="77"/>
      <c r="AV795" s="83" t="str">
        <f>HYPERLINK("https://pbs.twimg.com/media/F2gf7icWEAAFH14.jpg")</f>
        <v>https://pbs.twimg.com/media/F2gf7icWEAAFH14.jpg</v>
      </c>
      <c r="AW795" s="81" t="s">
        <v>1144</v>
      </c>
      <c r="AX795" s="81" t="s">
        <v>1143</v>
      </c>
      <c r="AY795" s="81" t="s">
        <v>1188</v>
      </c>
      <c r="AZ795" s="81" t="s">
        <v>1143</v>
      </c>
      <c r="BA795" s="81" t="s">
        <v>1190</v>
      </c>
      <c r="BB795" s="81" t="s">
        <v>1190</v>
      </c>
      <c r="BC795" s="81" t="s">
        <v>1143</v>
      </c>
      <c r="BD795" s="81" t="s">
        <v>1181</v>
      </c>
      <c r="BE795" s="77"/>
      <c r="BF795" s="77"/>
      <c r="BG795" s="77"/>
      <c r="BH795" s="77"/>
      <c r="BI795" s="77"/>
      <c r="BJ795">
        <v>1</v>
      </c>
      <c r="BK795" s="76" t="str">
        <f>REPLACE(INDEX(GroupVertices[Group],MATCH(Edges[[#This Row],[Vertex 1]],GroupVertices[Vertex],0)),1,1,"")</f>
        <v>8</v>
      </c>
      <c r="BL795" s="76" t="str">
        <f>REPLACE(INDEX(GroupVertices[Group],MATCH(Edges[[#This Row],[Vertex 2]],GroupVertices[Vertex],0)),1,1,"")</f>
        <v>8</v>
      </c>
      <c r="BM795" s="45">
        <v>1</v>
      </c>
      <c r="BN795" s="46">
        <v>5.555555555555555</v>
      </c>
      <c r="BO795" s="45">
        <v>0</v>
      </c>
      <c r="BP795" s="46">
        <v>0</v>
      </c>
      <c r="BQ795" s="45">
        <v>0</v>
      </c>
      <c r="BR795" s="46">
        <v>0</v>
      </c>
      <c r="BS795" s="45">
        <v>16</v>
      </c>
      <c r="BT795" s="46">
        <v>88.88888888888889</v>
      </c>
      <c r="BU795" s="45">
        <v>18</v>
      </c>
    </row>
    <row r="796" spans="1:73" ht="15">
      <c r="A796" s="61" t="s">
        <v>262</v>
      </c>
      <c r="B796" s="61" t="s">
        <v>260</v>
      </c>
      <c r="C796" s="62" t="s">
        <v>11692</v>
      </c>
      <c r="D796" s="63">
        <v>3</v>
      </c>
      <c r="E796" s="64" t="s">
        <v>132</v>
      </c>
      <c r="F796" s="65">
        <v>32</v>
      </c>
      <c r="G796" s="62"/>
      <c r="H796" s="66"/>
      <c r="I796" s="67"/>
      <c r="J796" s="67"/>
      <c r="K796" s="31" t="s">
        <v>66</v>
      </c>
      <c r="L796" s="75">
        <v>796</v>
      </c>
      <c r="M796" s="75"/>
      <c r="N796" s="69"/>
      <c r="O796" s="77" t="s">
        <v>543</v>
      </c>
      <c r="P796" s="79">
        <v>45140.588055555556</v>
      </c>
      <c r="Q796" s="77" t="s">
        <v>663</v>
      </c>
      <c r="R796" s="77">
        <v>0</v>
      </c>
      <c r="S796" s="77">
        <v>2</v>
      </c>
      <c r="T796" s="77">
        <v>0</v>
      </c>
      <c r="U796" s="77">
        <v>0</v>
      </c>
      <c r="V796" s="77">
        <v>55</v>
      </c>
      <c r="W796" s="77"/>
      <c r="X796" s="77"/>
      <c r="Y796" s="77"/>
      <c r="Z796" s="77" t="s">
        <v>822</v>
      </c>
      <c r="AA796" s="77"/>
      <c r="AB796" s="77"/>
      <c r="AC796" s="81" t="s">
        <v>857</v>
      </c>
      <c r="AD796" s="77" t="s">
        <v>859</v>
      </c>
      <c r="AE796" s="83" t="str">
        <f>HYPERLINK("https://twitter.com/chrismontmusic/status/1686740332401078274")</f>
        <v>https://twitter.com/chrismontmusic/status/1686740332401078274</v>
      </c>
      <c r="AF796" s="79">
        <v>45140.588055555556</v>
      </c>
      <c r="AG796" s="85">
        <v>45140</v>
      </c>
      <c r="AH796" s="81" t="s">
        <v>991</v>
      </c>
      <c r="AI796" s="77"/>
      <c r="AJ796" s="77"/>
      <c r="AK796" s="77"/>
      <c r="AL796" s="77"/>
      <c r="AM796" s="77"/>
      <c r="AN796" s="77"/>
      <c r="AO796" s="77"/>
      <c r="AP796" s="77"/>
      <c r="AQ796" s="77"/>
      <c r="AR796" s="77"/>
      <c r="AS796" s="77"/>
      <c r="AT796" s="77"/>
      <c r="AU796" s="77"/>
      <c r="AV796" s="83" t="str">
        <f>HYPERLINK("https://pbs.twimg.com/profile_images/1700212395728060416/FLrANnNz_normal.jpg")</f>
        <v>https://pbs.twimg.com/profile_images/1700212395728060416/FLrANnNz_normal.jpg</v>
      </c>
      <c r="AW796" s="81" t="s">
        <v>1146</v>
      </c>
      <c r="AX796" s="81" t="s">
        <v>1143</v>
      </c>
      <c r="AY796" s="81" t="s">
        <v>1188</v>
      </c>
      <c r="AZ796" s="81" t="s">
        <v>1143</v>
      </c>
      <c r="BA796" s="81" t="s">
        <v>1190</v>
      </c>
      <c r="BB796" s="81" t="s">
        <v>1190</v>
      </c>
      <c r="BC796" s="81" t="s">
        <v>1143</v>
      </c>
      <c r="BD796" s="77">
        <v>16423356</v>
      </c>
      <c r="BE796" s="77"/>
      <c r="BF796" s="77"/>
      <c r="BG796" s="77"/>
      <c r="BH796" s="77"/>
      <c r="BI796" s="77"/>
      <c r="BJ796">
        <v>1</v>
      </c>
      <c r="BK796" s="76" t="str">
        <f>REPLACE(INDEX(GroupVertices[Group],MATCH(Edges[[#This Row],[Vertex 1]],GroupVertices[Vertex],0)),1,1,"")</f>
        <v>8</v>
      </c>
      <c r="BL796" s="76" t="str">
        <f>REPLACE(INDEX(GroupVertices[Group],MATCH(Edges[[#This Row],[Vertex 2]],GroupVertices[Vertex],0)),1,1,"")</f>
        <v>8</v>
      </c>
      <c r="BM796" s="45">
        <v>1</v>
      </c>
      <c r="BN796" s="46">
        <v>6.25</v>
      </c>
      <c r="BO796" s="45">
        <v>0</v>
      </c>
      <c r="BP796" s="46">
        <v>0</v>
      </c>
      <c r="BQ796" s="45">
        <v>0</v>
      </c>
      <c r="BR796" s="46">
        <v>0</v>
      </c>
      <c r="BS796" s="45">
        <v>14</v>
      </c>
      <c r="BT796" s="46">
        <v>87.5</v>
      </c>
      <c r="BU796" s="45">
        <v>16</v>
      </c>
    </row>
    <row r="797" spans="1:73" ht="15">
      <c r="A797" s="61" t="s">
        <v>259</v>
      </c>
      <c r="B797" s="61" t="s">
        <v>497</v>
      </c>
      <c r="C797" s="62" t="s">
        <v>11692</v>
      </c>
      <c r="D797" s="63">
        <v>3</v>
      </c>
      <c r="E797" s="64" t="s">
        <v>132</v>
      </c>
      <c r="F797" s="65">
        <v>32</v>
      </c>
      <c r="G797" s="62"/>
      <c r="H797" s="66"/>
      <c r="I797" s="67"/>
      <c r="J797" s="67"/>
      <c r="K797" s="31" t="s">
        <v>65</v>
      </c>
      <c r="L797" s="75">
        <v>797</v>
      </c>
      <c r="M797" s="75"/>
      <c r="N797" s="69"/>
      <c r="O797" s="77" t="s">
        <v>539</v>
      </c>
      <c r="P797" s="79">
        <v>45139.25664351852</v>
      </c>
      <c r="Q797" s="77" t="s">
        <v>660</v>
      </c>
      <c r="R797" s="77">
        <v>2</v>
      </c>
      <c r="S797" s="77">
        <v>8</v>
      </c>
      <c r="T797" s="77">
        <v>3</v>
      </c>
      <c r="U797" s="77">
        <v>0</v>
      </c>
      <c r="V797" s="77">
        <v>221</v>
      </c>
      <c r="W797" s="81" t="s">
        <v>727</v>
      </c>
      <c r="X797" s="77"/>
      <c r="Y797" s="77"/>
      <c r="Z797" s="77" t="s">
        <v>819</v>
      </c>
      <c r="AA797" s="77" t="s">
        <v>846</v>
      </c>
      <c r="AB797" s="77" t="s">
        <v>848</v>
      </c>
      <c r="AC797" s="81" t="s">
        <v>855</v>
      </c>
      <c r="AD797" s="77" t="s">
        <v>859</v>
      </c>
      <c r="AE797" s="83" t="str">
        <f>HYPERLINK("https://twitter.com/michaelbathurst/status/1686257845048590336")</f>
        <v>https://twitter.com/michaelbathurst/status/1686257845048590336</v>
      </c>
      <c r="AF797" s="79">
        <v>45139.25664351852</v>
      </c>
      <c r="AG797" s="85">
        <v>45139</v>
      </c>
      <c r="AH797" s="81" t="s">
        <v>988</v>
      </c>
      <c r="AI797" s="77" t="b">
        <v>0</v>
      </c>
      <c r="AJ797" s="77"/>
      <c r="AK797" s="77"/>
      <c r="AL797" s="77"/>
      <c r="AM797" s="77"/>
      <c r="AN797" s="77"/>
      <c r="AO797" s="77"/>
      <c r="AP797" s="77"/>
      <c r="AQ797" s="77" t="s">
        <v>1025</v>
      </c>
      <c r="AR797" s="77"/>
      <c r="AS797" s="77"/>
      <c r="AT797" s="77"/>
      <c r="AU797" s="77"/>
      <c r="AV797" s="83" t="str">
        <f>HYPERLINK("https://pbs.twimg.com/media/F2bKkr2WQAA2v5-.jpg")</f>
        <v>https://pbs.twimg.com/media/F2bKkr2WQAA2v5-.jpg</v>
      </c>
      <c r="AW797" s="81" t="s">
        <v>1143</v>
      </c>
      <c r="AX797" s="81" t="s">
        <v>1143</v>
      </c>
      <c r="AY797" s="77"/>
      <c r="AZ797" s="81" t="s">
        <v>1190</v>
      </c>
      <c r="BA797" s="81" t="s">
        <v>1190</v>
      </c>
      <c r="BB797" s="81" t="s">
        <v>1190</v>
      </c>
      <c r="BC797" s="81" t="s">
        <v>1143</v>
      </c>
      <c r="BD797" s="77">
        <v>37188645</v>
      </c>
      <c r="BE797" s="77"/>
      <c r="BF797" s="77"/>
      <c r="BG797" s="77"/>
      <c r="BH797" s="77"/>
      <c r="BI797" s="77"/>
      <c r="BJ797">
        <v>1</v>
      </c>
      <c r="BK797" s="76" t="str">
        <f>REPLACE(INDEX(GroupVertices[Group],MATCH(Edges[[#This Row],[Vertex 1]],GroupVertices[Vertex],0)),1,1,"")</f>
        <v>8</v>
      </c>
      <c r="BL797" s="76" t="str">
        <f>REPLACE(INDEX(GroupVertices[Group],MATCH(Edges[[#This Row],[Vertex 2]],GroupVertices[Vertex],0)),1,1,"")</f>
        <v>8</v>
      </c>
      <c r="BM797" s="45"/>
      <c r="BN797" s="46"/>
      <c r="BO797" s="45"/>
      <c r="BP797" s="46"/>
      <c r="BQ797" s="45"/>
      <c r="BR797" s="46"/>
      <c r="BS797" s="45"/>
      <c r="BT797" s="46"/>
      <c r="BU797" s="45"/>
    </row>
    <row r="798" spans="1:73" ht="15">
      <c r="A798" s="61" t="s">
        <v>262</v>
      </c>
      <c r="B798" s="61" t="s">
        <v>497</v>
      </c>
      <c r="C798" s="62" t="s">
        <v>11692</v>
      </c>
      <c r="D798" s="63">
        <v>3</v>
      </c>
      <c r="E798" s="64" t="s">
        <v>132</v>
      </c>
      <c r="F798" s="65">
        <v>32</v>
      </c>
      <c r="G798" s="62"/>
      <c r="H798" s="66"/>
      <c r="I798" s="67"/>
      <c r="J798" s="67"/>
      <c r="K798" s="31" t="s">
        <v>65</v>
      </c>
      <c r="L798" s="75">
        <v>798</v>
      </c>
      <c r="M798" s="75"/>
      <c r="N798" s="69"/>
      <c r="O798" s="77" t="s">
        <v>543</v>
      </c>
      <c r="P798" s="79">
        <v>45140.588055555556</v>
      </c>
      <c r="Q798" s="77" t="s">
        <v>663</v>
      </c>
      <c r="R798" s="77">
        <v>0</v>
      </c>
      <c r="S798" s="77">
        <v>2</v>
      </c>
      <c r="T798" s="77">
        <v>0</v>
      </c>
      <c r="U798" s="77">
        <v>0</v>
      </c>
      <c r="V798" s="77">
        <v>55</v>
      </c>
      <c r="W798" s="77"/>
      <c r="X798" s="77"/>
      <c r="Y798" s="77"/>
      <c r="Z798" s="77" t="s">
        <v>822</v>
      </c>
      <c r="AA798" s="77"/>
      <c r="AB798" s="77"/>
      <c r="AC798" s="81" t="s">
        <v>857</v>
      </c>
      <c r="AD798" s="77" t="s">
        <v>859</v>
      </c>
      <c r="AE798" s="83" t="str">
        <f>HYPERLINK("https://twitter.com/chrismontmusic/status/1686740332401078274")</f>
        <v>https://twitter.com/chrismontmusic/status/1686740332401078274</v>
      </c>
      <c r="AF798" s="79">
        <v>45140.588055555556</v>
      </c>
      <c r="AG798" s="85">
        <v>45140</v>
      </c>
      <c r="AH798" s="81" t="s">
        <v>991</v>
      </c>
      <c r="AI798" s="77"/>
      <c r="AJ798" s="77"/>
      <c r="AK798" s="77"/>
      <c r="AL798" s="77"/>
      <c r="AM798" s="77"/>
      <c r="AN798" s="77"/>
      <c r="AO798" s="77"/>
      <c r="AP798" s="77"/>
      <c r="AQ798" s="77"/>
      <c r="AR798" s="77"/>
      <c r="AS798" s="77"/>
      <c r="AT798" s="77"/>
      <c r="AU798" s="77"/>
      <c r="AV798" s="83" t="str">
        <f>HYPERLINK("https://pbs.twimg.com/profile_images/1700212395728060416/FLrANnNz_normal.jpg")</f>
        <v>https://pbs.twimg.com/profile_images/1700212395728060416/FLrANnNz_normal.jpg</v>
      </c>
      <c r="AW798" s="81" t="s">
        <v>1146</v>
      </c>
      <c r="AX798" s="81" t="s">
        <v>1143</v>
      </c>
      <c r="AY798" s="81" t="s">
        <v>1188</v>
      </c>
      <c r="AZ798" s="81" t="s">
        <v>1143</v>
      </c>
      <c r="BA798" s="81" t="s">
        <v>1190</v>
      </c>
      <c r="BB798" s="81" t="s">
        <v>1190</v>
      </c>
      <c r="BC798" s="81" t="s">
        <v>1143</v>
      </c>
      <c r="BD798" s="77">
        <v>16423356</v>
      </c>
      <c r="BE798" s="77"/>
      <c r="BF798" s="77"/>
      <c r="BG798" s="77"/>
      <c r="BH798" s="77"/>
      <c r="BI798" s="77"/>
      <c r="BJ798">
        <v>1</v>
      </c>
      <c r="BK798" s="76" t="str">
        <f>REPLACE(INDEX(GroupVertices[Group],MATCH(Edges[[#This Row],[Vertex 1]],GroupVertices[Vertex],0)),1,1,"")</f>
        <v>8</v>
      </c>
      <c r="BL798" s="76" t="str">
        <f>REPLACE(INDEX(GroupVertices[Group],MATCH(Edges[[#This Row],[Vertex 2]],GroupVertices[Vertex],0)),1,1,"")</f>
        <v>8</v>
      </c>
      <c r="BM798" s="45"/>
      <c r="BN798" s="46"/>
      <c r="BO798" s="45"/>
      <c r="BP798" s="46"/>
      <c r="BQ798" s="45"/>
      <c r="BR798" s="46"/>
      <c r="BS798" s="45"/>
      <c r="BT798" s="46"/>
      <c r="BU798" s="45"/>
    </row>
    <row r="799" spans="1:73" ht="15">
      <c r="A799" s="61" t="s">
        <v>259</v>
      </c>
      <c r="B799" s="61" t="s">
        <v>498</v>
      </c>
      <c r="C799" s="62" t="s">
        <v>11692</v>
      </c>
      <c r="D799" s="63">
        <v>3</v>
      </c>
      <c r="E799" s="64" t="s">
        <v>132</v>
      </c>
      <c r="F799" s="65">
        <v>32</v>
      </c>
      <c r="G799" s="62"/>
      <c r="H799" s="66"/>
      <c r="I799" s="67"/>
      <c r="J799" s="67"/>
      <c r="K799" s="31" t="s">
        <v>65</v>
      </c>
      <c r="L799" s="75">
        <v>799</v>
      </c>
      <c r="M799" s="75"/>
      <c r="N799" s="69"/>
      <c r="O799" s="77" t="s">
        <v>539</v>
      </c>
      <c r="P799" s="79">
        <v>45139.25664351852</v>
      </c>
      <c r="Q799" s="77" t="s">
        <v>660</v>
      </c>
      <c r="R799" s="77">
        <v>2</v>
      </c>
      <c r="S799" s="77">
        <v>8</v>
      </c>
      <c r="T799" s="77">
        <v>3</v>
      </c>
      <c r="U799" s="77">
        <v>0</v>
      </c>
      <c r="V799" s="77">
        <v>221</v>
      </c>
      <c r="W799" s="81" t="s">
        <v>727</v>
      </c>
      <c r="X799" s="77"/>
      <c r="Y799" s="77"/>
      <c r="Z799" s="77" t="s">
        <v>819</v>
      </c>
      <c r="AA799" s="77" t="s">
        <v>846</v>
      </c>
      <c r="AB799" s="77" t="s">
        <v>848</v>
      </c>
      <c r="AC799" s="81" t="s">
        <v>855</v>
      </c>
      <c r="AD799" s="77" t="s">
        <v>859</v>
      </c>
      <c r="AE799" s="83" t="str">
        <f>HYPERLINK("https://twitter.com/michaelbathurst/status/1686257845048590336")</f>
        <v>https://twitter.com/michaelbathurst/status/1686257845048590336</v>
      </c>
      <c r="AF799" s="79">
        <v>45139.25664351852</v>
      </c>
      <c r="AG799" s="85">
        <v>45139</v>
      </c>
      <c r="AH799" s="81" t="s">
        <v>988</v>
      </c>
      <c r="AI799" s="77" t="b">
        <v>0</v>
      </c>
      <c r="AJ799" s="77"/>
      <c r="AK799" s="77"/>
      <c r="AL799" s="77"/>
      <c r="AM799" s="77"/>
      <c r="AN799" s="77"/>
      <c r="AO799" s="77"/>
      <c r="AP799" s="77"/>
      <c r="AQ799" s="77" t="s">
        <v>1025</v>
      </c>
      <c r="AR799" s="77"/>
      <c r="AS799" s="77"/>
      <c r="AT799" s="77"/>
      <c r="AU799" s="77"/>
      <c r="AV799" s="83" t="str">
        <f>HYPERLINK("https://pbs.twimg.com/media/F2bKkr2WQAA2v5-.jpg")</f>
        <v>https://pbs.twimg.com/media/F2bKkr2WQAA2v5-.jpg</v>
      </c>
      <c r="AW799" s="81" t="s">
        <v>1143</v>
      </c>
      <c r="AX799" s="81" t="s">
        <v>1143</v>
      </c>
      <c r="AY799" s="77"/>
      <c r="AZ799" s="81" t="s">
        <v>1190</v>
      </c>
      <c r="BA799" s="81" t="s">
        <v>1190</v>
      </c>
      <c r="BB799" s="81" t="s">
        <v>1190</v>
      </c>
      <c r="BC799" s="81" t="s">
        <v>1143</v>
      </c>
      <c r="BD799" s="77">
        <v>37188645</v>
      </c>
      <c r="BE799" s="77"/>
      <c r="BF799" s="77"/>
      <c r="BG799" s="77"/>
      <c r="BH799" s="77"/>
      <c r="BI799" s="77"/>
      <c r="BJ799">
        <v>1</v>
      </c>
      <c r="BK799" s="76" t="str">
        <f>REPLACE(INDEX(GroupVertices[Group],MATCH(Edges[[#This Row],[Vertex 1]],GroupVertices[Vertex],0)),1,1,"")</f>
        <v>8</v>
      </c>
      <c r="BL799" s="76" t="str">
        <f>REPLACE(INDEX(GroupVertices[Group],MATCH(Edges[[#This Row],[Vertex 2]],GroupVertices[Vertex],0)),1,1,"")</f>
        <v>8</v>
      </c>
      <c r="BM799" s="45"/>
      <c r="BN799" s="46"/>
      <c r="BO799" s="45"/>
      <c r="BP799" s="46"/>
      <c r="BQ799" s="45"/>
      <c r="BR799" s="46"/>
      <c r="BS799" s="45"/>
      <c r="BT799" s="46"/>
      <c r="BU799" s="45"/>
    </row>
    <row r="800" spans="1:73" ht="15">
      <c r="A800" s="61" t="s">
        <v>262</v>
      </c>
      <c r="B800" s="61" t="s">
        <v>498</v>
      </c>
      <c r="C800" s="62" t="s">
        <v>11692</v>
      </c>
      <c r="D800" s="63">
        <v>3</v>
      </c>
      <c r="E800" s="64" t="s">
        <v>132</v>
      </c>
      <c r="F800" s="65">
        <v>32</v>
      </c>
      <c r="G800" s="62"/>
      <c r="H800" s="66"/>
      <c r="I800" s="67"/>
      <c r="J800" s="67"/>
      <c r="K800" s="31" t="s">
        <v>65</v>
      </c>
      <c r="L800" s="75">
        <v>800</v>
      </c>
      <c r="M800" s="75"/>
      <c r="N800" s="69"/>
      <c r="O800" s="77" t="s">
        <v>543</v>
      </c>
      <c r="P800" s="79">
        <v>45140.588055555556</v>
      </c>
      <c r="Q800" s="77" t="s">
        <v>663</v>
      </c>
      <c r="R800" s="77">
        <v>0</v>
      </c>
      <c r="S800" s="77">
        <v>2</v>
      </c>
      <c r="T800" s="77">
        <v>0</v>
      </c>
      <c r="U800" s="77">
        <v>0</v>
      </c>
      <c r="V800" s="77">
        <v>55</v>
      </c>
      <c r="W800" s="77"/>
      <c r="X800" s="77"/>
      <c r="Y800" s="77"/>
      <c r="Z800" s="77" t="s">
        <v>822</v>
      </c>
      <c r="AA800" s="77"/>
      <c r="AB800" s="77"/>
      <c r="AC800" s="81" t="s">
        <v>857</v>
      </c>
      <c r="AD800" s="77" t="s">
        <v>859</v>
      </c>
      <c r="AE800" s="83" t="str">
        <f>HYPERLINK("https://twitter.com/chrismontmusic/status/1686740332401078274")</f>
        <v>https://twitter.com/chrismontmusic/status/1686740332401078274</v>
      </c>
      <c r="AF800" s="79">
        <v>45140.588055555556</v>
      </c>
      <c r="AG800" s="85">
        <v>45140</v>
      </c>
      <c r="AH800" s="81" t="s">
        <v>991</v>
      </c>
      <c r="AI800" s="77"/>
      <c r="AJ800" s="77"/>
      <c r="AK800" s="77"/>
      <c r="AL800" s="77"/>
      <c r="AM800" s="77"/>
      <c r="AN800" s="77"/>
      <c r="AO800" s="77"/>
      <c r="AP800" s="77"/>
      <c r="AQ800" s="77"/>
      <c r="AR800" s="77"/>
      <c r="AS800" s="77"/>
      <c r="AT800" s="77"/>
      <c r="AU800" s="77"/>
      <c r="AV800" s="83" t="str">
        <f>HYPERLINK("https://pbs.twimg.com/profile_images/1700212395728060416/FLrANnNz_normal.jpg")</f>
        <v>https://pbs.twimg.com/profile_images/1700212395728060416/FLrANnNz_normal.jpg</v>
      </c>
      <c r="AW800" s="81" t="s">
        <v>1146</v>
      </c>
      <c r="AX800" s="81" t="s">
        <v>1143</v>
      </c>
      <c r="AY800" s="81" t="s">
        <v>1188</v>
      </c>
      <c r="AZ800" s="81" t="s">
        <v>1143</v>
      </c>
      <c r="BA800" s="81" t="s">
        <v>1190</v>
      </c>
      <c r="BB800" s="81" t="s">
        <v>1190</v>
      </c>
      <c r="BC800" s="81" t="s">
        <v>1143</v>
      </c>
      <c r="BD800" s="77">
        <v>16423356</v>
      </c>
      <c r="BE800" s="77"/>
      <c r="BF800" s="77"/>
      <c r="BG800" s="77"/>
      <c r="BH800" s="77"/>
      <c r="BI800" s="77"/>
      <c r="BJ800">
        <v>1</v>
      </c>
      <c r="BK800" s="76" t="str">
        <f>REPLACE(INDEX(GroupVertices[Group],MATCH(Edges[[#This Row],[Vertex 1]],GroupVertices[Vertex],0)),1,1,"")</f>
        <v>8</v>
      </c>
      <c r="BL800" s="76" t="str">
        <f>REPLACE(INDEX(GroupVertices[Group],MATCH(Edges[[#This Row],[Vertex 2]],GroupVertices[Vertex],0)),1,1,"")</f>
        <v>8</v>
      </c>
      <c r="BM800" s="45"/>
      <c r="BN800" s="46"/>
      <c r="BO800" s="45"/>
      <c r="BP800" s="46"/>
      <c r="BQ800" s="45"/>
      <c r="BR800" s="46"/>
      <c r="BS800" s="45"/>
      <c r="BT800" s="46"/>
      <c r="BU800" s="45"/>
    </row>
    <row r="801" spans="1:73" ht="15">
      <c r="A801" s="61" t="s">
        <v>259</v>
      </c>
      <c r="B801" s="61" t="s">
        <v>499</v>
      </c>
      <c r="C801" s="62" t="s">
        <v>11692</v>
      </c>
      <c r="D801" s="63">
        <v>3</v>
      </c>
      <c r="E801" s="64" t="s">
        <v>132</v>
      </c>
      <c r="F801" s="65">
        <v>32</v>
      </c>
      <c r="G801" s="62"/>
      <c r="H801" s="66"/>
      <c r="I801" s="67"/>
      <c r="J801" s="67"/>
      <c r="K801" s="31" t="s">
        <v>65</v>
      </c>
      <c r="L801" s="75">
        <v>801</v>
      </c>
      <c r="M801" s="75"/>
      <c r="N801" s="69"/>
      <c r="O801" s="77" t="s">
        <v>539</v>
      </c>
      <c r="P801" s="79">
        <v>45139.25664351852</v>
      </c>
      <c r="Q801" s="77" t="s">
        <v>660</v>
      </c>
      <c r="R801" s="77">
        <v>2</v>
      </c>
      <c r="S801" s="77">
        <v>8</v>
      </c>
      <c r="T801" s="77">
        <v>3</v>
      </c>
      <c r="U801" s="77">
        <v>0</v>
      </c>
      <c r="V801" s="77">
        <v>221</v>
      </c>
      <c r="W801" s="81" t="s">
        <v>727</v>
      </c>
      <c r="X801" s="77"/>
      <c r="Y801" s="77"/>
      <c r="Z801" s="77" t="s">
        <v>819</v>
      </c>
      <c r="AA801" s="77" t="s">
        <v>846</v>
      </c>
      <c r="AB801" s="77" t="s">
        <v>848</v>
      </c>
      <c r="AC801" s="81" t="s">
        <v>855</v>
      </c>
      <c r="AD801" s="77" t="s">
        <v>859</v>
      </c>
      <c r="AE801" s="83" t="str">
        <f>HYPERLINK("https://twitter.com/michaelbathurst/status/1686257845048590336")</f>
        <v>https://twitter.com/michaelbathurst/status/1686257845048590336</v>
      </c>
      <c r="AF801" s="79">
        <v>45139.25664351852</v>
      </c>
      <c r="AG801" s="85">
        <v>45139</v>
      </c>
      <c r="AH801" s="81" t="s">
        <v>988</v>
      </c>
      <c r="AI801" s="77" t="b">
        <v>0</v>
      </c>
      <c r="AJ801" s="77"/>
      <c r="AK801" s="77"/>
      <c r="AL801" s="77"/>
      <c r="AM801" s="77"/>
      <c r="AN801" s="77"/>
      <c r="AO801" s="77"/>
      <c r="AP801" s="77"/>
      <c r="AQ801" s="77" t="s">
        <v>1025</v>
      </c>
      <c r="AR801" s="77"/>
      <c r="AS801" s="77"/>
      <c r="AT801" s="77"/>
      <c r="AU801" s="77"/>
      <c r="AV801" s="83" t="str">
        <f>HYPERLINK("https://pbs.twimg.com/media/F2bKkr2WQAA2v5-.jpg")</f>
        <v>https://pbs.twimg.com/media/F2bKkr2WQAA2v5-.jpg</v>
      </c>
      <c r="AW801" s="81" t="s">
        <v>1143</v>
      </c>
      <c r="AX801" s="81" t="s">
        <v>1143</v>
      </c>
      <c r="AY801" s="77"/>
      <c r="AZ801" s="81" t="s">
        <v>1190</v>
      </c>
      <c r="BA801" s="81" t="s">
        <v>1190</v>
      </c>
      <c r="BB801" s="81" t="s">
        <v>1190</v>
      </c>
      <c r="BC801" s="81" t="s">
        <v>1143</v>
      </c>
      <c r="BD801" s="77">
        <v>37188645</v>
      </c>
      <c r="BE801" s="77"/>
      <c r="BF801" s="77"/>
      <c r="BG801" s="77"/>
      <c r="BH801" s="77"/>
      <c r="BI801" s="77"/>
      <c r="BJ801">
        <v>1</v>
      </c>
      <c r="BK801" s="76" t="str">
        <f>REPLACE(INDEX(GroupVertices[Group],MATCH(Edges[[#This Row],[Vertex 1]],GroupVertices[Vertex],0)),1,1,"")</f>
        <v>8</v>
      </c>
      <c r="BL801" s="76" t="str">
        <f>REPLACE(INDEX(GroupVertices[Group],MATCH(Edges[[#This Row],[Vertex 2]],GroupVertices[Vertex],0)),1,1,"")</f>
        <v>8</v>
      </c>
      <c r="BM801" s="45"/>
      <c r="BN801" s="46"/>
      <c r="BO801" s="45"/>
      <c r="BP801" s="46"/>
      <c r="BQ801" s="45"/>
      <c r="BR801" s="46"/>
      <c r="BS801" s="45"/>
      <c r="BT801" s="46"/>
      <c r="BU801" s="45"/>
    </row>
    <row r="802" spans="1:73" ht="15">
      <c r="A802" s="61" t="s">
        <v>262</v>
      </c>
      <c r="B802" s="61" t="s">
        <v>499</v>
      </c>
      <c r="C802" s="62" t="s">
        <v>11692</v>
      </c>
      <c r="D802" s="63">
        <v>3</v>
      </c>
      <c r="E802" s="64" t="s">
        <v>132</v>
      </c>
      <c r="F802" s="65">
        <v>32</v>
      </c>
      <c r="G802" s="62"/>
      <c r="H802" s="66"/>
      <c r="I802" s="67"/>
      <c r="J802" s="67"/>
      <c r="K802" s="31" t="s">
        <v>65</v>
      </c>
      <c r="L802" s="75">
        <v>802</v>
      </c>
      <c r="M802" s="75"/>
      <c r="N802" s="69"/>
      <c r="O802" s="77" t="s">
        <v>543</v>
      </c>
      <c r="P802" s="79">
        <v>45140.588055555556</v>
      </c>
      <c r="Q802" s="77" t="s">
        <v>663</v>
      </c>
      <c r="R802" s="77">
        <v>0</v>
      </c>
      <c r="S802" s="77">
        <v>2</v>
      </c>
      <c r="T802" s="77">
        <v>0</v>
      </c>
      <c r="U802" s="77">
        <v>0</v>
      </c>
      <c r="V802" s="77">
        <v>55</v>
      </c>
      <c r="W802" s="77"/>
      <c r="X802" s="77"/>
      <c r="Y802" s="77"/>
      <c r="Z802" s="77" t="s">
        <v>822</v>
      </c>
      <c r="AA802" s="77"/>
      <c r="AB802" s="77"/>
      <c r="AC802" s="81" t="s">
        <v>857</v>
      </c>
      <c r="AD802" s="77" t="s">
        <v>859</v>
      </c>
      <c r="AE802" s="83" t="str">
        <f>HYPERLINK("https://twitter.com/chrismontmusic/status/1686740332401078274")</f>
        <v>https://twitter.com/chrismontmusic/status/1686740332401078274</v>
      </c>
      <c r="AF802" s="79">
        <v>45140.588055555556</v>
      </c>
      <c r="AG802" s="85">
        <v>45140</v>
      </c>
      <c r="AH802" s="81" t="s">
        <v>991</v>
      </c>
      <c r="AI802" s="77"/>
      <c r="AJ802" s="77"/>
      <c r="AK802" s="77"/>
      <c r="AL802" s="77"/>
      <c r="AM802" s="77"/>
      <c r="AN802" s="77"/>
      <c r="AO802" s="77"/>
      <c r="AP802" s="77"/>
      <c r="AQ802" s="77"/>
      <c r="AR802" s="77"/>
      <c r="AS802" s="77"/>
      <c r="AT802" s="77"/>
      <c r="AU802" s="77"/>
      <c r="AV802" s="83" t="str">
        <f>HYPERLINK("https://pbs.twimg.com/profile_images/1700212395728060416/FLrANnNz_normal.jpg")</f>
        <v>https://pbs.twimg.com/profile_images/1700212395728060416/FLrANnNz_normal.jpg</v>
      </c>
      <c r="AW802" s="81" t="s">
        <v>1146</v>
      </c>
      <c r="AX802" s="81" t="s">
        <v>1143</v>
      </c>
      <c r="AY802" s="81" t="s">
        <v>1188</v>
      </c>
      <c r="AZ802" s="81" t="s">
        <v>1143</v>
      </c>
      <c r="BA802" s="81" t="s">
        <v>1190</v>
      </c>
      <c r="BB802" s="81" t="s">
        <v>1190</v>
      </c>
      <c r="BC802" s="81" t="s">
        <v>1143</v>
      </c>
      <c r="BD802" s="77">
        <v>16423356</v>
      </c>
      <c r="BE802" s="77"/>
      <c r="BF802" s="77"/>
      <c r="BG802" s="77"/>
      <c r="BH802" s="77"/>
      <c r="BI802" s="77"/>
      <c r="BJ802">
        <v>1</v>
      </c>
      <c r="BK802" s="76" t="str">
        <f>REPLACE(INDEX(GroupVertices[Group],MATCH(Edges[[#This Row],[Vertex 1]],GroupVertices[Vertex],0)),1,1,"")</f>
        <v>8</v>
      </c>
      <c r="BL802" s="76" t="str">
        <f>REPLACE(INDEX(GroupVertices[Group],MATCH(Edges[[#This Row],[Vertex 2]],GroupVertices[Vertex],0)),1,1,"")</f>
        <v>8</v>
      </c>
      <c r="BM802" s="45"/>
      <c r="BN802" s="46"/>
      <c r="BO802" s="45"/>
      <c r="BP802" s="46"/>
      <c r="BQ802" s="45"/>
      <c r="BR802" s="46"/>
      <c r="BS802" s="45"/>
      <c r="BT802" s="46"/>
      <c r="BU802" s="45"/>
    </row>
    <row r="803" spans="1:73" ht="15">
      <c r="A803" s="61" t="s">
        <v>259</v>
      </c>
      <c r="B803" s="61" t="s">
        <v>500</v>
      </c>
      <c r="C803" s="62" t="s">
        <v>11692</v>
      </c>
      <c r="D803" s="63">
        <v>3</v>
      </c>
      <c r="E803" s="64" t="s">
        <v>132</v>
      </c>
      <c r="F803" s="65">
        <v>32</v>
      </c>
      <c r="G803" s="62"/>
      <c r="H803" s="66"/>
      <c r="I803" s="67"/>
      <c r="J803" s="67"/>
      <c r="K803" s="31" t="s">
        <v>65</v>
      </c>
      <c r="L803" s="75">
        <v>803</v>
      </c>
      <c r="M803" s="75"/>
      <c r="N803" s="69"/>
      <c r="O803" s="77" t="s">
        <v>539</v>
      </c>
      <c r="P803" s="79">
        <v>45139.25664351852</v>
      </c>
      <c r="Q803" s="77" t="s">
        <v>660</v>
      </c>
      <c r="R803" s="77">
        <v>2</v>
      </c>
      <c r="S803" s="77">
        <v>8</v>
      </c>
      <c r="T803" s="77">
        <v>3</v>
      </c>
      <c r="U803" s="77">
        <v>0</v>
      </c>
      <c r="V803" s="77">
        <v>221</v>
      </c>
      <c r="W803" s="81" t="s">
        <v>727</v>
      </c>
      <c r="X803" s="77"/>
      <c r="Y803" s="77"/>
      <c r="Z803" s="77" t="s">
        <v>819</v>
      </c>
      <c r="AA803" s="77" t="s">
        <v>846</v>
      </c>
      <c r="AB803" s="77" t="s">
        <v>848</v>
      </c>
      <c r="AC803" s="81" t="s">
        <v>855</v>
      </c>
      <c r="AD803" s="77" t="s">
        <v>859</v>
      </c>
      <c r="AE803" s="83" t="str">
        <f>HYPERLINK("https://twitter.com/michaelbathurst/status/1686257845048590336")</f>
        <v>https://twitter.com/michaelbathurst/status/1686257845048590336</v>
      </c>
      <c r="AF803" s="79">
        <v>45139.25664351852</v>
      </c>
      <c r="AG803" s="85">
        <v>45139</v>
      </c>
      <c r="AH803" s="81" t="s">
        <v>988</v>
      </c>
      <c r="AI803" s="77" t="b">
        <v>0</v>
      </c>
      <c r="AJ803" s="77"/>
      <c r="AK803" s="77"/>
      <c r="AL803" s="77"/>
      <c r="AM803" s="77"/>
      <c r="AN803" s="77"/>
      <c r="AO803" s="77"/>
      <c r="AP803" s="77"/>
      <c r="AQ803" s="77" t="s">
        <v>1025</v>
      </c>
      <c r="AR803" s="77"/>
      <c r="AS803" s="77"/>
      <c r="AT803" s="77"/>
      <c r="AU803" s="77"/>
      <c r="AV803" s="83" t="str">
        <f>HYPERLINK("https://pbs.twimg.com/media/F2bKkr2WQAA2v5-.jpg")</f>
        <v>https://pbs.twimg.com/media/F2bKkr2WQAA2v5-.jpg</v>
      </c>
      <c r="AW803" s="81" t="s">
        <v>1143</v>
      </c>
      <c r="AX803" s="81" t="s">
        <v>1143</v>
      </c>
      <c r="AY803" s="77"/>
      <c r="AZ803" s="81" t="s">
        <v>1190</v>
      </c>
      <c r="BA803" s="81" t="s">
        <v>1190</v>
      </c>
      <c r="BB803" s="81" t="s">
        <v>1190</v>
      </c>
      <c r="BC803" s="81" t="s">
        <v>1143</v>
      </c>
      <c r="BD803" s="77">
        <v>37188645</v>
      </c>
      <c r="BE803" s="77"/>
      <c r="BF803" s="77"/>
      <c r="BG803" s="77"/>
      <c r="BH803" s="77"/>
      <c r="BI803" s="77"/>
      <c r="BJ803">
        <v>1</v>
      </c>
      <c r="BK803" s="76" t="str">
        <f>REPLACE(INDEX(GroupVertices[Group],MATCH(Edges[[#This Row],[Vertex 1]],GroupVertices[Vertex],0)),1,1,"")</f>
        <v>8</v>
      </c>
      <c r="BL803" s="76" t="str">
        <f>REPLACE(INDEX(GroupVertices[Group],MATCH(Edges[[#This Row],[Vertex 2]],GroupVertices[Vertex],0)),1,1,"")</f>
        <v>8</v>
      </c>
      <c r="BM803" s="45"/>
      <c r="BN803" s="46"/>
      <c r="BO803" s="45"/>
      <c r="BP803" s="46"/>
      <c r="BQ803" s="45"/>
      <c r="BR803" s="46"/>
      <c r="BS803" s="45"/>
      <c r="BT803" s="46"/>
      <c r="BU803" s="45"/>
    </row>
    <row r="804" spans="1:73" ht="15">
      <c r="A804" s="61" t="s">
        <v>262</v>
      </c>
      <c r="B804" s="61" t="s">
        <v>500</v>
      </c>
      <c r="C804" s="62" t="s">
        <v>11692</v>
      </c>
      <c r="D804" s="63">
        <v>3</v>
      </c>
      <c r="E804" s="64" t="s">
        <v>132</v>
      </c>
      <c r="F804" s="65">
        <v>32</v>
      </c>
      <c r="G804" s="62"/>
      <c r="H804" s="66"/>
      <c r="I804" s="67"/>
      <c r="J804" s="67"/>
      <c r="K804" s="31" t="s">
        <v>65</v>
      </c>
      <c r="L804" s="75">
        <v>804</v>
      </c>
      <c r="M804" s="75"/>
      <c r="N804" s="69"/>
      <c r="O804" s="77" t="s">
        <v>543</v>
      </c>
      <c r="P804" s="79">
        <v>45140.588055555556</v>
      </c>
      <c r="Q804" s="77" t="s">
        <v>663</v>
      </c>
      <c r="R804" s="77">
        <v>0</v>
      </c>
      <c r="S804" s="77">
        <v>2</v>
      </c>
      <c r="T804" s="77">
        <v>0</v>
      </c>
      <c r="U804" s="77">
        <v>0</v>
      </c>
      <c r="V804" s="77">
        <v>55</v>
      </c>
      <c r="W804" s="77"/>
      <c r="X804" s="77"/>
      <c r="Y804" s="77"/>
      <c r="Z804" s="77" t="s">
        <v>822</v>
      </c>
      <c r="AA804" s="77"/>
      <c r="AB804" s="77"/>
      <c r="AC804" s="81" t="s">
        <v>857</v>
      </c>
      <c r="AD804" s="77" t="s">
        <v>859</v>
      </c>
      <c r="AE804" s="83" t="str">
        <f>HYPERLINK("https://twitter.com/chrismontmusic/status/1686740332401078274")</f>
        <v>https://twitter.com/chrismontmusic/status/1686740332401078274</v>
      </c>
      <c r="AF804" s="79">
        <v>45140.588055555556</v>
      </c>
      <c r="AG804" s="85">
        <v>45140</v>
      </c>
      <c r="AH804" s="81" t="s">
        <v>991</v>
      </c>
      <c r="AI804" s="77"/>
      <c r="AJ804" s="77"/>
      <c r="AK804" s="77"/>
      <c r="AL804" s="77"/>
      <c r="AM804" s="77"/>
      <c r="AN804" s="77"/>
      <c r="AO804" s="77"/>
      <c r="AP804" s="77"/>
      <c r="AQ804" s="77"/>
      <c r="AR804" s="77"/>
      <c r="AS804" s="77"/>
      <c r="AT804" s="77"/>
      <c r="AU804" s="77"/>
      <c r="AV804" s="83" t="str">
        <f>HYPERLINK("https://pbs.twimg.com/profile_images/1700212395728060416/FLrANnNz_normal.jpg")</f>
        <v>https://pbs.twimg.com/profile_images/1700212395728060416/FLrANnNz_normal.jpg</v>
      </c>
      <c r="AW804" s="81" t="s">
        <v>1146</v>
      </c>
      <c r="AX804" s="81" t="s">
        <v>1143</v>
      </c>
      <c r="AY804" s="81" t="s">
        <v>1188</v>
      </c>
      <c r="AZ804" s="81" t="s">
        <v>1143</v>
      </c>
      <c r="BA804" s="81" t="s">
        <v>1190</v>
      </c>
      <c r="BB804" s="81" t="s">
        <v>1190</v>
      </c>
      <c r="BC804" s="81" t="s">
        <v>1143</v>
      </c>
      <c r="BD804" s="77">
        <v>16423356</v>
      </c>
      <c r="BE804" s="77"/>
      <c r="BF804" s="77"/>
      <c r="BG804" s="77"/>
      <c r="BH804" s="77"/>
      <c r="BI804" s="77"/>
      <c r="BJ804">
        <v>1</v>
      </c>
      <c r="BK804" s="76" t="str">
        <f>REPLACE(INDEX(GroupVertices[Group],MATCH(Edges[[#This Row],[Vertex 1]],GroupVertices[Vertex],0)),1,1,"")</f>
        <v>8</v>
      </c>
      <c r="BL804" s="76" t="str">
        <f>REPLACE(INDEX(GroupVertices[Group],MATCH(Edges[[#This Row],[Vertex 2]],GroupVertices[Vertex],0)),1,1,"")</f>
        <v>8</v>
      </c>
      <c r="BM804" s="45"/>
      <c r="BN804" s="46"/>
      <c r="BO804" s="45"/>
      <c r="BP804" s="46"/>
      <c r="BQ804" s="45"/>
      <c r="BR804" s="46"/>
      <c r="BS804" s="45"/>
      <c r="BT804" s="46"/>
      <c r="BU804" s="45"/>
    </row>
    <row r="805" spans="1:73" ht="15">
      <c r="A805" s="61" t="s">
        <v>259</v>
      </c>
      <c r="B805" s="61" t="s">
        <v>501</v>
      </c>
      <c r="C805" s="62" t="s">
        <v>11692</v>
      </c>
      <c r="D805" s="63">
        <v>3</v>
      </c>
      <c r="E805" s="64" t="s">
        <v>132</v>
      </c>
      <c r="F805" s="65">
        <v>32</v>
      </c>
      <c r="G805" s="62"/>
      <c r="H805" s="66"/>
      <c r="I805" s="67"/>
      <c r="J805" s="67"/>
      <c r="K805" s="31" t="s">
        <v>65</v>
      </c>
      <c r="L805" s="75">
        <v>805</v>
      </c>
      <c r="M805" s="75"/>
      <c r="N805" s="69"/>
      <c r="O805" s="77" t="s">
        <v>539</v>
      </c>
      <c r="P805" s="79">
        <v>45139.25664351852</v>
      </c>
      <c r="Q805" s="77" t="s">
        <v>660</v>
      </c>
      <c r="R805" s="77">
        <v>2</v>
      </c>
      <c r="S805" s="77">
        <v>8</v>
      </c>
      <c r="T805" s="77">
        <v>3</v>
      </c>
      <c r="U805" s="77">
        <v>0</v>
      </c>
      <c r="V805" s="77">
        <v>221</v>
      </c>
      <c r="W805" s="81" t="s">
        <v>727</v>
      </c>
      <c r="X805" s="77"/>
      <c r="Y805" s="77"/>
      <c r="Z805" s="77" t="s">
        <v>819</v>
      </c>
      <c r="AA805" s="77" t="s">
        <v>846</v>
      </c>
      <c r="AB805" s="77" t="s">
        <v>848</v>
      </c>
      <c r="AC805" s="81" t="s">
        <v>855</v>
      </c>
      <c r="AD805" s="77" t="s">
        <v>859</v>
      </c>
      <c r="AE805" s="83" t="str">
        <f>HYPERLINK("https://twitter.com/michaelbathurst/status/1686257845048590336")</f>
        <v>https://twitter.com/michaelbathurst/status/1686257845048590336</v>
      </c>
      <c r="AF805" s="79">
        <v>45139.25664351852</v>
      </c>
      <c r="AG805" s="85">
        <v>45139</v>
      </c>
      <c r="AH805" s="81" t="s">
        <v>988</v>
      </c>
      <c r="AI805" s="77" t="b">
        <v>0</v>
      </c>
      <c r="AJ805" s="77"/>
      <c r="AK805" s="77"/>
      <c r="AL805" s="77"/>
      <c r="AM805" s="77"/>
      <c r="AN805" s="77"/>
      <c r="AO805" s="77"/>
      <c r="AP805" s="77"/>
      <c r="AQ805" s="77" t="s">
        <v>1025</v>
      </c>
      <c r="AR805" s="77"/>
      <c r="AS805" s="77"/>
      <c r="AT805" s="77"/>
      <c r="AU805" s="77"/>
      <c r="AV805" s="83" t="str">
        <f>HYPERLINK("https://pbs.twimg.com/media/F2bKkr2WQAA2v5-.jpg")</f>
        <v>https://pbs.twimg.com/media/F2bKkr2WQAA2v5-.jpg</v>
      </c>
      <c r="AW805" s="81" t="s">
        <v>1143</v>
      </c>
      <c r="AX805" s="81" t="s">
        <v>1143</v>
      </c>
      <c r="AY805" s="77"/>
      <c r="AZ805" s="81" t="s">
        <v>1190</v>
      </c>
      <c r="BA805" s="81" t="s">
        <v>1190</v>
      </c>
      <c r="BB805" s="81" t="s">
        <v>1190</v>
      </c>
      <c r="BC805" s="81" t="s">
        <v>1143</v>
      </c>
      <c r="BD805" s="77">
        <v>37188645</v>
      </c>
      <c r="BE805" s="77"/>
      <c r="BF805" s="77"/>
      <c r="BG805" s="77"/>
      <c r="BH805" s="77"/>
      <c r="BI805" s="77"/>
      <c r="BJ805">
        <v>1</v>
      </c>
      <c r="BK805" s="76" t="str">
        <f>REPLACE(INDEX(GroupVertices[Group],MATCH(Edges[[#This Row],[Vertex 1]],GroupVertices[Vertex],0)),1,1,"")</f>
        <v>8</v>
      </c>
      <c r="BL805" s="76" t="str">
        <f>REPLACE(INDEX(GroupVertices[Group],MATCH(Edges[[#This Row],[Vertex 2]],GroupVertices[Vertex],0)),1,1,"")</f>
        <v>8</v>
      </c>
      <c r="BM805" s="45"/>
      <c r="BN805" s="46"/>
      <c r="BO805" s="45"/>
      <c r="BP805" s="46"/>
      <c r="BQ805" s="45"/>
      <c r="BR805" s="46"/>
      <c r="BS805" s="45"/>
      <c r="BT805" s="46"/>
      <c r="BU805" s="45"/>
    </row>
    <row r="806" spans="1:73" ht="15">
      <c r="A806" s="61" t="s">
        <v>262</v>
      </c>
      <c r="B806" s="61" t="s">
        <v>501</v>
      </c>
      <c r="C806" s="62" t="s">
        <v>11692</v>
      </c>
      <c r="D806" s="63">
        <v>3</v>
      </c>
      <c r="E806" s="64" t="s">
        <v>132</v>
      </c>
      <c r="F806" s="65">
        <v>32</v>
      </c>
      <c r="G806" s="62"/>
      <c r="H806" s="66"/>
      <c r="I806" s="67"/>
      <c r="J806" s="67"/>
      <c r="K806" s="31" t="s">
        <v>65</v>
      </c>
      <c r="L806" s="75">
        <v>806</v>
      </c>
      <c r="M806" s="75"/>
      <c r="N806" s="69"/>
      <c r="O806" s="77" t="s">
        <v>543</v>
      </c>
      <c r="P806" s="79">
        <v>45140.588055555556</v>
      </c>
      <c r="Q806" s="77" t="s">
        <v>663</v>
      </c>
      <c r="R806" s="77">
        <v>0</v>
      </c>
      <c r="S806" s="77">
        <v>2</v>
      </c>
      <c r="T806" s="77">
        <v>0</v>
      </c>
      <c r="U806" s="77">
        <v>0</v>
      </c>
      <c r="V806" s="77">
        <v>55</v>
      </c>
      <c r="W806" s="77"/>
      <c r="X806" s="77"/>
      <c r="Y806" s="77"/>
      <c r="Z806" s="77" t="s">
        <v>822</v>
      </c>
      <c r="AA806" s="77"/>
      <c r="AB806" s="77"/>
      <c r="AC806" s="81" t="s">
        <v>857</v>
      </c>
      <c r="AD806" s="77" t="s">
        <v>859</v>
      </c>
      <c r="AE806" s="83" t="str">
        <f>HYPERLINK("https://twitter.com/chrismontmusic/status/1686740332401078274")</f>
        <v>https://twitter.com/chrismontmusic/status/1686740332401078274</v>
      </c>
      <c r="AF806" s="79">
        <v>45140.588055555556</v>
      </c>
      <c r="AG806" s="85">
        <v>45140</v>
      </c>
      <c r="AH806" s="81" t="s">
        <v>991</v>
      </c>
      <c r="AI806" s="77"/>
      <c r="AJ806" s="77"/>
      <c r="AK806" s="77"/>
      <c r="AL806" s="77"/>
      <c r="AM806" s="77"/>
      <c r="AN806" s="77"/>
      <c r="AO806" s="77"/>
      <c r="AP806" s="77"/>
      <c r="AQ806" s="77"/>
      <c r="AR806" s="77"/>
      <c r="AS806" s="77"/>
      <c r="AT806" s="77"/>
      <c r="AU806" s="77"/>
      <c r="AV806" s="83" t="str">
        <f>HYPERLINK("https://pbs.twimg.com/profile_images/1700212395728060416/FLrANnNz_normal.jpg")</f>
        <v>https://pbs.twimg.com/profile_images/1700212395728060416/FLrANnNz_normal.jpg</v>
      </c>
      <c r="AW806" s="81" t="s">
        <v>1146</v>
      </c>
      <c r="AX806" s="81" t="s">
        <v>1143</v>
      </c>
      <c r="AY806" s="81" t="s">
        <v>1188</v>
      </c>
      <c r="AZ806" s="81" t="s">
        <v>1143</v>
      </c>
      <c r="BA806" s="81" t="s">
        <v>1190</v>
      </c>
      <c r="BB806" s="81" t="s">
        <v>1190</v>
      </c>
      <c r="BC806" s="81" t="s">
        <v>1143</v>
      </c>
      <c r="BD806" s="77">
        <v>16423356</v>
      </c>
      <c r="BE806" s="77"/>
      <c r="BF806" s="77"/>
      <c r="BG806" s="77"/>
      <c r="BH806" s="77"/>
      <c r="BI806" s="77"/>
      <c r="BJ806">
        <v>1</v>
      </c>
      <c r="BK806" s="76" t="str">
        <f>REPLACE(INDEX(GroupVertices[Group],MATCH(Edges[[#This Row],[Vertex 1]],GroupVertices[Vertex],0)),1,1,"")</f>
        <v>8</v>
      </c>
      <c r="BL806" s="76" t="str">
        <f>REPLACE(INDEX(GroupVertices[Group],MATCH(Edges[[#This Row],[Vertex 2]],GroupVertices[Vertex],0)),1,1,"")</f>
        <v>8</v>
      </c>
      <c r="BM806" s="45"/>
      <c r="BN806" s="46"/>
      <c r="BO806" s="45"/>
      <c r="BP806" s="46"/>
      <c r="BQ806" s="45"/>
      <c r="BR806" s="46"/>
      <c r="BS806" s="45"/>
      <c r="BT806" s="46"/>
      <c r="BU806" s="45"/>
    </row>
    <row r="807" spans="1:73" ht="15">
      <c r="A807" s="61" t="s">
        <v>259</v>
      </c>
      <c r="B807" s="61" t="s">
        <v>262</v>
      </c>
      <c r="C807" s="62" t="s">
        <v>11692</v>
      </c>
      <c r="D807" s="63">
        <v>3</v>
      </c>
      <c r="E807" s="64" t="s">
        <v>132</v>
      </c>
      <c r="F807" s="65">
        <v>32</v>
      </c>
      <c r="G807" s="62"/>
      <c r="H807" s="66"/>
      <c r="I807" s="67"/>
      <c r="J807" s="67"/>
      <c r="K807" s="31" t="s">
        <v>66</v>
      </c>
      <c r="L807" s="75">
        <v>807</v>
      </c>
      <c r="M807" s="75"/>
      <c r="N807" s="69"/>
      <c r="O807" s="77" t="s">
        <v>539</v>
      </c>
      <c r="P807" s="79">
        <v>45139.25664351852</v>
      </c>
      <c r="Q807" s="77" t="s">
        <v>660</v>
      </c>
      <c r="R807" s="77">
        <v>2</v>
      </c>
      <c r="S807" s="77">
        <v>8</v>
      </c>
      <c r="T807" s="77">
        <v>3</v>
      </c>
      <c r="U807" s="77">
        <v>0</v>
      </c>
      <c r="V807" s="77">
        <v>221</v>
      </c>
      <c r="W807" s="81" t="s">
        <v>727</v>
      </c>
      <c r="X807" s="77"/>
      <c r="Y807" s="77"/>
      <c r="Z807" s="77" t="s">
        <v>819</v>
      </c>
      <c r="AA807" s="77" t="s">
        <v>846</v>
      </c>
      <c r="AB807" s="77" t="s">
        <v>848</v>
      </c>
      <c r="AC807" s="81" t="s">
        <v>855</v>
      </c>
      <c r="AD807" s="77" t="s">
        <v>859</v>
      </c>
      <c r="AE807" s="83" t="str">
        <f>HYPERLINK("https://twitter.com/michaelbathurst/status/1686257845048590336")</f>
        <v>https://twitter.com/michaelbathurst/status/1686257845048590336</v>
      </c>
      <c r="AF807" s="79">
        <v>45139.25664351852</v>
      </c>
      <c r="AG807" s="85">
        <v>45139</v>
      </c>
      <c r="AH807" s="81" t="s">
        <v>988</v>
      </c>
      <c r="AI807" s="77" t="b">
        <v>0</v>
      </c>
      <c r="AJ807" s="77"/>
      <c r="AK807" s="77"/>
      <c r="AL807" s="77"/>
      <c r="AM807" s="77"/>
      <c r="AN807" s="77"/>
      <c r="AO807" s="77"/>
      <c r="AP807" s="77"/>
      <c r="AQ807" s="77" t="s">
        <v>1025</v>
      </c>
      <c r="AR807" s="77"/>
      <c r="AS807" s="77"/>
      <c r="AT807" s="77"/>
      <c r="AU807" s="77"/>
      <c r="AV807" s="83" t="str">
        <f>HYPERLINK("https://pbs.twimg.com/media/F2bKkr2WQAA2v5-.jpg")</f>
        <v>https://pbs.twimg.com/media/F2bKkr2WQAA2v5-.jpg</v>
      </c>
      <c r="AW807" s="81" t="s">
        <v>1143</v>
      </c>
      <c r="AX807" s="81" t="s">
        <v>1143</v>
      </c>
      <c r="AY807" s="77"/>
      <c r="AZ807" s="81" t="s">
        <v>1190</v>
      </c>
      <c r="BA807" s="81" t="s">
        <v>1190</v>
      </c>
      <c r="BB807" s="81" t="s">
        <v>1190</v>
      </c>
      <c r="BC807" s="81" t="s">
        <v>1143</v>
      </c>
      <c r="BD807" s="77">
        <v>37188645</v>
      </c>
      <c r="BE807" s="77"/>
      <c r="BF807" s="77"/>
      <c r="BG807" s="77"/>
      <c r="BH807" s="77"/>
      <c r="BI807" s="77"/>
      <c r="BJ807">
        <v>1</v>
      </c>
      <c r="BK807" s="76" t="str">
        <f>REPLACE(INDEX(GroupVertices[Group],MATCH(Edges[[#This Row],[Vertex 1]],GroupVertices[Vertex],0)),1,1,"")</f>
        <v>8</v>
      </c>
      <c r="BL807" s="76" t="str">
        <f>REPLACE(INDEX(GroupVertices[Group],MATCH(Edges[[#This Row],[Vertex 2]],GroupVertices[Vertex],0)),1,1,"")</f>
        <v>8</v>
      </c>
      <c r="BM807" s="45"/>
      <c r="BN807" s="46"/>
      <c r="BO807" s="45"/>
      <c r="BP807" s="46"/>
      <c r="BQ807" s="45"/>
      <c r="BR807" s="46"/>
      <c r="BS807" s="45"/>
      <c r="BT807" s="46"/>
      <c r="BU807" s="45"/>
    </row>
    <row r="808" spans="1:73" ht="15">
      <c r="A808" s="61" t="s">
        <v>262</v>
      </c>
      <c r="B808" s="61" t="s">
        <v>259</v>
      </c>
      <c r="C808" s="62" t="s">
        <v>11692</v>
      </c>
      <c r="D808" s="63">
        <v>3</v>
      </c>
      <c r="E808" s="64" t="s">
        <v>132</v>
      </c>
      <c r="F808" s="65">
        <v>32</v>
      </c>
      <c r="G808" s="62"/>
      <c r="H808" s="66"/>
      <c r="I808" s="67"/>
      <c r="J808" s="67"/>
      <c r="K808" s="31" t="s">
        <v>66</v>
      </c>
      <c r="L808" s="75">
        <v>808</v>
      </c>
      <c r="M808" s="75"/>
      <c r="N808" s="69"/>
      <c r="O808" s="77" t="s">
        <v>540</v>
      </c>
      <c r="P808" s="79">
        <v>45140.588055555556</v>
      </c>
      <c r="Q808" s="77" t="s">
        <v>663</v>
      </c>
      <c r="R808" s="77">
        <v>0</v>
      </c>
      <c r="S808" s="77">
        <v>2</v>
      </c>
      <c r="T808" s="77">
        <v>0</v>
      </c>
      <c r="U808" s="77">
        <v>0</v>
      </c>
      <c r="V808" s="77">
        <v>55</v>
      </c>
      <c r="W808" s="77"/>
      <c r="X808" s="77"/>
      <c r="Y808" s="77"/>
      <c r="Z808" s="77" t="s">
        <v>822</v>
      </c>
      <c r="AA808" s="77"/>
      <c r="AB808" s="77"/>
      <c r="AC808" s="81" t="s">
        <v>857</v>
      </c>
      <c r="AD808" s="77" t="s">
        <v>859</v>
      </c>
      <c r="AE808" s="83" t="str">
        <f>HYPERLINK("https://twitter.com/chrismontmusic/status/1686740332401078274")</f>
        <v>https://twitter.com/chrismontmusic/status/1686740332401078274</v>
      </c>
      <c r="AF808" s="79">
        <v>45140.588055555556</v>
      </c>
      <c r="AG808" s="85">
        <v>45140</v>
      </c>
      <c r="AH808" s="81" t="s">
        <v>991</v>
      </c>
      <c r="AI808" s="77"/>
      <c r="AJ808" s="77"/>
      <c r="AK808" s="77"/>
      <c r="AL808" s="77"/>
      <c r="AM808" s="77"/>
      <c r="AN808" s="77"/>
      <c r="AO808" s="77"/>
      <c r="AP808" s="77"/>
      <c r="AQ808" s="77"/>
      <c r="AR808" s="77"/>
      <c r="AS808" s="77"/>
      <c r="AT808" s="77"/>
      <c r="AU808" s="77"/>
      <c r="AV808" s="83" t="str">
        <f>HYPERLINK("https://pbs.twimg.com/profile_images/1700212395728060416/FLrANnNz_normal.jpg")</f>
        <v>https://pbs.twimg.com/profile_images/1700212395728060416/FLrANnNz_normal.jpg</v>
      </c>
      <c r="AW808" s="81" t="s">
        <v>1146</v>
      </c>
      <c r="AX808" s="81" t="s">
        <v>1143</v>
      </c>
      <c r="AY808" s="81" t="s">
        <v>1188</v>
      </c>
      <c r="AZ808" s="81" t="s">
        <v>1143</v>
      </c>
      <c r="BA808" s="81" t="s">
        <v>1190</v>
      </c>
      <c r="BB808" s="81" t="s">
        <v>1190</v>
      </c>
      <c r="BC808" s="81" t="s">
        <v>1143</v>
      </c>
      <c r="BD808" s="77">
        <v>16423356</v>
      </c>
      <c r="BE808" s="77"/>
      <c r="BF808" s="77"/>
      <c r="BG808" s="77"/>
      <c r="BH808" s="77"/>
      <c r="BI808" s="77"/>
      <c r="BJ808">
        <v>1</v>
      </c>
      <c r="BK808" s="76" t="str">
        <f>REPLACE(INDEX(GroupVertices[Group],MATCH(Edges[[#This Row],[Vertex 1]],GroupVertices[Vertex],0)),1,1,"")</f>
        <v>8</v>
      </c>
      <c r="BL808" s="76" t="str">
        <f>REPLACE(INDEX(GroupVertices[Group],MATCH(Edges[[#This Row],[Vertex 2]],GroupVertices[Vertex],0)),1,1,"")</f>
        <v>8</v>
      </c>
      <c r="BM808" s="45"/>
      <c r="BN808" s="46"/>
      <c r="BO808" s="45"/>
      <c r="BP808" s="46"/>
      <c r="BQ808" s="45"/>
      <c r="BR808" s="46"/>
      <c r="BS808" s="45"/>
      <c r="BT808" s="46"/>
      <c r="BU808"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8"/>
    <dataValidation allowBlank="1" showErrorMessage="1" sqref="N2:N8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8"/>
    <dataValidation allowBlank="1" showInputMessage="1" promptTitle="Edge Color" prompt="To select an optional edge color, right-click and select Select Color on the right-click menu." sqref="C3:C808"/>
    <dataValidation allowBlank="1" showInputMessage="1" promptTitle="Edge Width" prompt="Enter an optional edge width between 1 and 10." errorTitle="Invalid Edge Width" error="The optional edge width must be a whole number between 1 and 10." sqref="D3:D808"/>
    <dataValidation allowBlank="1" showInputMessage="1" promptTitle="Edge Opacity" prompt="Enter an optional edge opacity between 0 (transparent) and 100 (opaque)." errorTitle="Invalid Edge Opacity" error="The optional edge opacity must be a whole number between 0 and 10." sqref="F3:F8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8">
      <formula1>ValidEdgeVisibilities</formula1>
    </dataValidation>
    <dataValidation allowBlank="1" showInputMessage="1" showErrorMessage="1" promptTitle="Vertex 1 Name" prompt="Enter the name of the edge's first vertex." sqref="A3:A808"/>
    <dataValidation allowBlank="1" showInputMessage="1" showErrorMessage="1" promptTitle="Vertex 2 Name" prompt="Enter the name of the edge's second vertex." sqref="B3:B808"/>
    <dataValidation allowBlank="1" showInputMessage="1" showErrorMessage="1" promptTitle="Edge Label" prompt="Enter an optional edge label." errorTitle="Invalid Edge Visibility" error="You have entered an unrecognized edge visibility.  Try selecting from the drop-down list instead." sqref="H3:H8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D8221-C7DD-416C-91EB-AC0C13B27481}">
  <dimension ref="A1:C19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3253</v>
      </c>
      <c r="B1" s="7" t="s">
        <v>3043</v>
      </c>
      <c r="C1" s="7" t="s">
        <v>210</v>
      </c>
    </row>
    <row r="2" spans="1:3" ht="15">
      <c r="A2" s="76" t="s">
        <v>227</v>
      </c>
      <c r="B2" s="76" t="s">
        <v>3254</v>
      </c>
      <c r="C2" s="80" t="s">
        <v>1041</v>
      </c>
    </row>
    <row r="3" spans="1:3" ht="15">
      <c r="A3" s="77" t="s">
        <v>227</v>
      </c>
      <c r="B3" s="76" t="s">
        <v>3255</v>
      </c>
      <c r="C3" s="80" t="s">
        <v>1041</v>
      </c>
    </row>
    <row r="4" spans="1:3" ht="15">
      <c r="A4" s="77" t="s">
        <v>227</v>
      </c>
      <c r="B4" s="76" t="s">
        <v>3256</v>
      </c>
      <c r="C4" s="80" t="s">
        <v>1041</v>
      </c>
    </row>
    <row r="5" spans="1:3" ht="15">
      <c r="A5" s="77" t="s">
        <v>227</v>
      </c>
      <c r="B5" s="76" t="s">
        <v>3066</v>
      </c>
      <c r="C5" s="80" t="s">
        <v>1041</v>
      </c>
    </row>
    <row r="6" spans="1:3" ht="15">
      <c r="A6" s="77" t="s">
        <v>227</v>
      </c>
      <c r="B6" s="76" t="s">
        <v>3257</v>
      </c>
      <c r="C6" s="80" t="s">
        <v>1041</v>
      </c>
    </row>
    <row r="7" spans="1:3" ht="15">
      <c r="A7" s="77" t="s">
        <v>227</v>
      </c>
      <c r="B7" s="76" t="s">
        <v>3258</v>
      </c>
      <c r="C7" s="80" t="s">
        <v>1041</v>
      </c>
    </row>
    <row r="8" spans="1:3" ht="15">
      <c r="A8" s="77" t="s">
        <v>227</v>
      </c>
      <c r="B8" s="76" t="s">
        <v>3259</v>
      </c>
      <c r="C8" s="80" t="s">
        <v>1041</v>
      </c>
    </row>
    <row r="9" spans="1:3" ht="15">
      <c r="A9" s="77" t="s">
        <v>227</v>
      </c>
      <c r="B9" s="76" t="s">
        <v>3260</v>
      </c>
      <c r="C9" s="80" t="s">
        <v>1041</v>
      </c>
    </row>
    <row r="10" spans="1:3" ht="15">
      <c r="A10" s="77" t="s">
        <v>227</v>
      </c>
      <c r="B10" s="76" t="s">
        <v>3261</v>
      </c>
      <c r="C10" s="80" t="s">
        <v>1041</v>
      </c>
    </row>
    <row r="11" spans="1:3" ht="15">
      <c r="A11" s="77" t="s">
        <v>227</v>
      </c>
      <c r="B11" s="76" t="s">
        <v>3262</v>
      </c>
      <c r="C11" s="80" t="s">
        <v>1041</v>
      </c>
    </row>
    <row r="12" spans="1:3" ht="15">
      <c r="A12" s="77" t="s">
        <v>227</v>
      </c>
      <c r="B12" s="76" t="s">
        <v>3054</v>
      </c>
      <c r="C12" s="80" t="s">
        <v>1041</v>
      </c>
    </row>
    <row r="13" spans="1:3" ht="15">
      <c r="A13" s="77" t="s">
        <v>227</v>
      </c>
      <c r="B13" s="76" t="s">
        <v>3056</v>
      </c>
      <c r="C13" s="80" t="s">
        <v>1041</v>
      </c>
    </row>
    <row r="14" spans="1:3" ht="15">
      <c r="A14" s="77" t="s">
        <v>227</v>
      </c>
      <c r="B14" s="76" t="s">
        <v>3263</v>
      </c>
      <c r="C14" s="80" t="s">
        <v>1041</v>
      </c>
    </row>
    <row r="15" spans="1:3" ht="15">
      <c r="A15" s="77" t="s">
        <v>227</v>
      </c>
      <c r="B15" s="76" t="s">
        <v>303</v>
      </c>
      <c r="C15" s="80" t="s">
        <v>1041</v>
      </c>
    </row>
    <row r="16" spans="1:3" ht="15">
      <c r="A16" s="77" t="s">
        <v>227</v>
      </c>
      <c r="B16" s="76" t="s">
        <v>1214</v>
      </c>
      <c r="C16" s="80" t="s">
        <v>1041</v>
      </c>
    </row>
    <row r="17" spans="1:3" ht="15">
      <c r="A17" s="77" t="s">
        <v>227</v>
      </c>
      <c r="B17" s="76" t="s">
        <v>3264</v>
      </c>
      <c r="C17" s="80" t="s">
        <v>1041</v>
      </c>
    </row>
    <row r="18" spans="1:3" ht="15">
      <c r="A18" s="77" t="s">
        <v>237</v>
      </c>
      <c r="B18" s="76" t="s">
        <v>3082</v>
      </c>
      <c r="C18" s="80" t="s">
        <v>1071</v>
      </c>
    </row>
    <row r="19" spans="1:3" ht="15">
      <c r="A19" s="77" t="s">
        <v>237</v>
      </c>
      <c r="B19" s="76" t="s">
        <v>3085</v>
      </c>
      <c r="C19" s="80" t="s">
        <v>1071</v>
      </c>
    </row>
    <row r="20" spans="1:3" ht="15">
      <c r="A20" s="77" t="s">
        <v>237</v>
      </c>
      <c r="B20" s="76" t="s">
        <v>3060</v>
      </c>
      <c r="C20" s="80" t="s">
        <v>1071</v>
      </c>
    </row>
    <row r="21" spans="1:3" ht="15">
      <c r="A21" s="77" t="s">
        <v>237</v>
      </c>
      <c r="B21" s="76" t="s">
        <v>423</v>
      </c>
      <c r="C21" s="80" t="s">
        <v>1071</v>
      </c>
    </row>
    <row r="22" spans="1:3" ht="15">
      <c r="A22" s="77" t="s">
        <v>237</v>
      </c>
      <c r="B22" s="76" t="s">
        <v>424</v>
      </c>
      <c r="C22" s="80" t="s">
        <v>1071</v>
      </c>
    </row>
    <row r="23" spans="1:3" ht="15">
      <c r="A23" s="77" t="s">
        <v>237</v>
      </c>
      <c r="B23" s="76" t="s">
        <v>425</v>
      </c>
      <c r="C23" s="80" t="s">
        <v>1071</v>
      </c>
    </row>
    <row r="24" spans="1:3" ht="15">
      <c r="A24" s="77" t="s">
        <v>237</v>
      </c>
      <c r="B24" s="76" t="s">
        <v>426</v>
      </c>
      <c r="C24" s="80" t="s">
        <v>1071</v>
      </c>
    </row>
    <row r="25" spans="1:3" ht="15">
      <c r="A25" s="77" t="s">
        <v>237</v>
      </c>
      <c r="B25" s="76" t="s">
        <v>427</v>
      </c>
      <c r="C25" s="80" t="s">
        <v>1071</v>
      </c>
    </row>
    <row r="26" spans="1:3" ht="15">
      <c r="A26" s="77" t="s">
        <v>237</v>
      </c>
      <c r="B26" s="76" t="s">
        <v>428</v>
      </c>
      <c r="C26" s="80" t="s">
        <v>1071</v>
      </c>
    </row>
    <row r="27" spans="1:3" ht="15">
      <c r="A27" s="77" t="s">
        <v>237</v>
      </c>
      <c r="B27" s="76" t="s">
        <v>429</v>
      </c>
      <c r="C27" s="80" t="s">
        <v>1071</v>
      </c>
    </row>
    <row r="28" spans="1:3" ht="15">
      <c r="A28" s="77" t="s">
        <v>237</v>
      </c>
      <c r="B28" s="76" t="s">
        <v>430</v>
      </c>
      <c r="C28" s="80" t="s">
        <v>1071</v>
      </c>
    </row>
    <row r="29" spans="1:3" ht="15">
      <c r="A29" s="77" t="s">
        <v>237</v>
      </c>
      <c r="B29" s="76" t="s">
        <v>431</v>
      </c>
      <c r="C29" s="80" t="s">
        <v>1071</v>
      </c>
    </row>
    <row r="30" spans="1:3" ht="15">
      <c r="A30" s="77" t="s">
        <v>237</v>
      </c>
      <c r="B30" s="76" t="s">
        <v>228</v>
      </c>
      <c r="C30" s="80" t="s">
        <v>1071</v>
      </c>
    </row>
    <row r="31" spans="1:3" ht="15">
      <c r="A31" s="77" t="s">
        <v>237</v>
      </c>
      <c r="B31" s="76" t="s">
        <v>432</v>
      </c>
      <c r="C31" s="80" t="s">
        <v>1071</v>
      </c>
    </row>
    <row r="32" spans="1:3" ht="15">
      <c r="A32" s="77" t="s">
        <v>244</v>
      </c>
      <c r="B32" s="76" t="s">
        <v>3265</v>
      </c>
      <c r="C32" s="80" t="s">
        <v>1109</v>
      </c>
    </row>
    <row r="33" spans="1:3" ht="15">
      <c r="A33" s="77" t="s">
        <v>244</v>
      </c>
      <c r="B33" s="76" t="s">
        <v>228</v>
      </c>
      <c r="C33" s="80" t="s">
        <v>1109</v>
      </c>
    </row>
    <row r="34" spans="1:3" ht="15">
      <c r="A34" s="77" t="s">
        <v>244</v>
      </c>
      <c r="B34" s="76" t="s">
        <v>3201</v>
      </c>
      <c r="C34" s="80" t="s">
        <v>1109</v>
      </c>
    </row>
    <row r="35" spans="1:3" ht="15">
      <c r="A35" s="77" t="s">
        <v>244</v>
      </c>
      <c r="B35" s="76" t="s">
        <v>3080</v>
      </c>
      <c r="C35" s="80" t="s">
        <v>1109</v>
      </c>
    </row>
    <row r="36" spans="1:3" ht="15">
      <c r="A36" s="77" t="s">
        <v>244</v>
      </c>
      <c r="B36" s="76" t="s">
        <v>278</v>
      </c>
      <c r="C36" s="80" t="s">
        <v>1109</v>
      </c>
    </row>
    <row r="37" spans="1:3" ht="15">
      <c r="A37" s="77" t="s">
        <v>262</v>
      </c>
      <c r="B37" s="76" t="s">
        <v>3060</v>
      </c>
      <c r="C37" s="80" t="s">
        <v>1146</v>
      </c>
    </row>
    <row r="38" spans="1:3" ht="15">
      <c r="A38" s="77" t="s">
        <v>262</v>
      </c>
      <c r="B38" s="76" t="s">
        <v>492</v>
      </c>
      <c r="C38" s="80" t="s">
        <v>1146</v>
      </c>
    </row>
    <row r="39" spans="1:3" ht="15">
      <c r="A39" s="77" t="s">
        <v>262</v>
      </c>
      <c r="B39" s="76" t="s">
        <v>261</v>
      </c>
      <c r="C39" s="80" t="s">
        <v>1146</v>
      </c>
    </row>
    <row r="40" spans="1:3" ht="15">
      <c r="A40" s="77" t="s">
        <v>262</v>
      </c>
      <c r="B40" s="76" t="s">
        <v>493</v>
      </c>
      <c r="C40" s="80" t="s">
        <v>1146</v>
      </c>
    </row>
    <row r="41" spans="1:3" ht="15">
      <c r="A41" s="77" t="s">
        <v>262</v>
      </c>
      <c r="B41" s="76" t="s">
        <v>494</v>
      </c>
      <c r="C41" s="80" t="s">
        <v>1146</v>
      </c>
    </row>
    <row r="42" spans="1:3" ht="15">
      <c r="A42" s="77" t="s">
        <v>262</v>
      </c>
      <c r="B42" s="76" t="s">
        <v>228</v>
      </c>
      <c r="C42" s="80" t="s">
        <v>1146</v>
      </c>
    </row>
    <row r="43" spans="1:3" ht="15">
      <c r="A43" s="77" t="s">
        <v>262</v>
      </c>
      <c r="B43" s="76" t="s">
        <v>495</v>
      </c>
      <c r="C43" s="80" t="s">
        <v>1146</v>
      </c>
    </row>
    <row r="44" spans="1:3" ht="15">
      <c r="A44" s="77" t="s">
        <v>262</v>
      </c>
      <c r="B44" s="76" t="s">
        <v>496</v>
      </c>
      <c r="C44" s="80" t="s">
        <v>1146</v>
      </c>
    </row>
    <row r="45" spans="1:3" ht="15">
      <c r="A45" s="77" t="s">
        <v>262</v>
      </c>
      <c r="B45" s="76" t="s">
        <v>260</v>
      </c>
      <c r="C45" s="80" t="s">
        <v>1146</v>
      </c>
    </row>
    <row r="46" spans="1:3" ht="15">
      <c r="A46" s="77" t="s">
        <v>262</v>
      </c>
      <c r="B46" s="76" t="s">
        <v>497</v>
      </c>
      <c r="C46" s="80" t="s">
        <v>1146</v>
      </c>
    </row>
    <row r="47" spans="1:3" ht="15">
      <c r="A47" s="77" t="s">
        <v>262</v>
      </c>
      <c r="B47" s="76" t="s">
        <v>498</v>
      </c>
      <c r="C47" s="80" t="s">
        <v>1146</v>
      </c>
    </row>
    <row r="48" spans="1:3" ht="15">
      <c r="A48" s="77" t="s">
        <v>262</v>
      </c>
      <c r="B48" s="76" t="s">
        <v>499</v>
      </c>
      <c r="C48" s="80" t="s">
        <v>1146</v>
      </c>
    </row>
    <row r="49" spans="1:3" ht="15">
      <c r="A49" s="77" t="s">
        <v>262</v>
      </c>
      <c r="B49" s="76" t="s">
        <v>500</v>
      </c>
      <c r="C49" s="80" t="s">
        <v>1146</v>
      </c>
    </row>
    <row r="50" spans="1:3" ht="15">
      <c r="A50" s="77" t="s">
        <v>262</v>
      </c>
      <c r="B50" s="76" t="s">
        <v>501</v>
      </c>
      <c r="C50" s="80" t="s">
        <v>1146</v>
      </c>
    </row>
    <row r="51" spans="1:3" ht="15">
      <c r="A51" s="77" t="s">
        <v>262</v>
      </c>
      <c r="B51" s="76" t="s">
        <v>259</v>
      </c>
      <c r="C51" s="80" t="s">
        <v>1146</v>
      </c>
    </row>
    <row r="52" spans="1:3" ht="15">
      <c r="A52" s="77" t="s">
        <v>238</v>
      </c>
      <c r="B52" s="76" t="s">
        <v>3266</v>
      </c>
      <c r="C52" s="80" t="s">
        <v>1072</v>
      </c>
    </row>
    <row r="53" spans="1:3" ht="15">
      <c r="A53" s="77" t="s">
        <v>238</v>
      </c>
      <c r="B53" s="76" t="s">
        <v>3267</v>
      </c>
      <c r="C53" s="80" t="s">
        <v>1072</v>
      </c>
    </row>
    <row r="54" spans="1:3" ht="15">
      <c r="A54" s="77" t="s">
        <v>238</v>
      </c>
      <c r="B54" s="76" t="s">
        <v>3268</v>
      </c>
      <c r="C54" s="80" t="s">
        <v>1072</v>
      </c>
    </row>
    <row r="55" spans="1:3" ht="15">
      <c r="A55" s="77" t="s">
        <v>238</v>
      </c>
      <c r="B55" s="76" t="s">
        <v>3269</v>
      </c>
      <c r="C55" s="80" t="s">
        <v>1072</v>
      </c>
    </row>
    <row r="56" spans="1:3" ht="15">
      <c r="A56" s="77" t="s">
        <v>238</v>
      </c>
      <c r="B56" s="76" t="s">
        <v>3270</v>
      </c>
      <c r="C56" s="80" t="s">
        <v>1072</v>
      </c>
    </row>
    <row r="57" spans="1:3" ht="15">
      <c r="A57" s="77" t="s">
        <v>238</v>
      </c>
      <c r="B57" s="76" t="s">
        <v>3271</v>
      </c>
      <c r="C57" s="80" t="s">
        <v>1072</v>
      </c>
    </row>
    <row r="58" spans="1:3" ht="15">
      <c r="A58" s="77" t="s">
        <v>238</v>
      </c>
      <c r="B58" s="76" t="s">
        <v>3053</v>
      </c>
      <c r="C58" s="80" t="s">
        <v>1072</v>
      </c>
    </row>
    <row r="59" spans="1:3" ht="15">
      <c r="A59" s="77" t="s">
        <v>238</v>
      </c>
      <c r="B59" s="76" t="s">
        <v>3052</v>
      </c>
      <c r="C59" s="80" t="s">
        <v>1072</v>
      </c>
    </row>
    <row r="60" spans="1:3" ht="15">
      <c r="A60" s="77" t="s">
        <v>238</v>
      </c>
      <c r="B60" s="76" t="s">
        <v>433</v>
      </c>
      <c r="C60" s="80" t="s">
        <v>1072</v>
      </c>
    </row>
    <row r="61" spans="1:3" ht="15">
      <c r="A61" s="77" t="s">
        <v>238</v>
      </c>
      <c r="B61" s="76" t="s">
        <v>434</v>
      </c>
      <c r="C61" s="80" t="s">
        <v>1072</v>
      </c>
    </row>
    <row r="62" spans="1:3" ht="15">
      <c r="A62" s="77" t="s">
        <v>238</v>
      </c>
      <c r="B62" s="76" t="s">
        <v>435</v>
      </c>
      <c r="C62" s="80" t="s">
        <v>1072</v>
      </c>
    </row>
    <row r="63" spans="1:3" ht="15">
      <c r="A63" s="77" t="s">
        <v>238</v>
      </c>
      <c r="B63" s="76" t="s">
        <v>436</v>
      </c>
      <c r="C63" s="80" t="s">
        <v>1072</v>
      </c>
    </row>
    <row r="64" spans="1:3" ht="15">
      <c r="A64" s="77" t="s">
        <v>238</v>
      </c>
      <c r="B64" s="76" t="s">
        <v>437</v>
      </c>
      <c r="C64" s="80" t="s">
        <v>1072</v>
      </c>
    </row>
    <row r="65" spans="1:3" ht="15">
      <c r="A65" s="77" t="s">
        <v>238</v>
      </c>
      <c r="B65" s="76" t="s">
        <v>438</v>
      </c>
      <c r="C65" s="80" t="s">
        <v>1072</v>
      </c>
    </row>
    <row r="66" spans="1:3" ht="15">
      <c r="A66" s="77" t="s">
        <v>238</v>
      </c>
      <c r="B66" s="76" t="s">
        <v>439</v>
      </c>
      <c r="C66" s="80" t="s">
        <v>1072</v>
      </c>
    </row>
    <row r="67" spans="1:3" ht="15">
      <c r="A67" s="77" t="s">
        <v>238</v>
      </c>
      <c r="B67" s="76" t="s">
        <v>440</v>
      </c>
      <c r="C67" s="80" t="s">
        <v>1072</v>
      </c>
    </row>
    <row r="68" spans="1:3" ht="15">
      <c r="A68" s="77" t="s">
        <v>238</v>
      </c>
      <c r="B68" s="76" t="s">
        <v>441</v>
      </c>
      <c r="C68" s="80" t="s">
        <v>1072</v>
      </c>
    </row>
    <row r="69" spans="1:3" ht="15">
      <c r="A69" s="77" t="s">
        <v>238</v>
      </c>
      <c r="B69" s="76" t="s">
        <v>442</v>
      </c>
      <c r="C69" s="80" t="s">
        <v>1072</v>
      </c>
    </row>
    <row r="70" spans="1:3" ht="15">
      <c r="A70" s="77" t="s">
        <v>238</v>
      </c>
      <c r="B70" s="76" t="s">
        <v>228</v>
      </c>
      <c r="C70" s="80" t="s">
        <v>1072</v>
      </c>
    </row>
    <row r="71" spans="1:3" ht="15">
      <c r="A71" s="77" t="s">
        <v>238</v>
      </c>
      <c r="B71" s="76" t="s">
        <v>3183</v>
      </c>
      <c r="C71" s="80" t="s">
        <v>1072</v>
      </c>
    </row>
    <row r="72" spans="1:3" ht="15">
      <c r="A72" s="77" t="s">
        <v>250</v>
      </c>
      <c r="B72" s="76" t="s">
        <v>3272</v>
      </c>
      <c r="C72" s="80" t="s">
        <v>1113</v>
      </c>
    </row>
    <row r="73" spans="1:3" ht="15">
      <c r="A73" s="77" t="s">
        <v>250</v>
      </c>
      <c r="B73" s="76" t="s">
        <v>3273</v>
      </c>
      <c r="C73" s="80" t="s">
        <v>1113</v>
      </c>
    </row>
    <row r="74" spans="1:3" ht="15">
      <c r="A74" s="77" t="s">
        <v>250</v>
      </c>
      <c r="B74" s="76" t="s">
        <v>3165</v>
      </c>
      <c r="C74" s="80" t="s">
        <v>1113</v>
      </c>
    </row>
    <row r="75" spans="1:3" ht="15">
      <c r="A75" s="77" t="s">
        <v>250</v>
      </c>
      <c r="B75" s="76" t="s">
        <v>3274</v>
      </c>
      <c r="C75" s="80" t="s">
        <v>1113</v>
      </c>
    </row>
    <row r="76" spans="1:3" ht="15">
      <c r="A76" s="77" t="s">
        <v>250</v>
      </c>
      <c r="B76" s="76" t="s">
        <v>3275</v>
      </c>
      <c r="C76" s="80" t="s">
        <v>1113</v>
      </c>
    </row>
    <row r="77" spans="1:3" ht="15">
      <c r="A77" s="77" t="s">
        <v>250</v>
      </c>
      <c r="B77" s="76" t="s">
        <v>3276</v>
      </c>
      <c r="C77" s="80" t="s">
        <v>1113</v>
      </c>
    </row>
    <row r="78" spans="1:3" ht="15">
      <c r="A78" s="77" t="s">
        <v>250</v>
      </c>
      <c r="B78" s="76" t="s">
        <v>3277</v>
      </c>
      <c r="C78" s="80" t="s">
        <v>1113</v>
      </c>
    </row>
    <row r="79" spans="1:3" ht="15">
      <c r="A79" s="77" t="s">
        <v>250</v>
      </c>
      <c r="B79" s="76" t="s">
        <v>3278</v>
      </c>
      <c r="C79" s="80" t="s">
        <v>1113</v>
      </c>
    </row>
    <row r="80" spans="1:3" ht="15">
      <c r="A80" s="77" t="s">
        <v>250</v>
      </c>
      <c r="B80" s="76" t="s">
        <v>228</v>
      </c>
      <c r="C80" s="80" t="s">
        <v>1113</v>
      </c>
    </row>
    <row r="81" spans="1:3" ht="15">
      <c r="A81" s="77" t="s">
        <v>250</v>
      </c>
      <c r="B81" s="76" t="s">
        <v>3279</v>
      </c>
      <c r="C81" s="80" t="s">
        <v>1113</v>
      </c>
    </row>
    <row r="82" spans="1:3" ht="15">
      <c r="A82" s="77" t="s">
        <v>250</v>
      </c>
      <c r="B82" s="76" t="s">
        <v>248</v>
      </c>
      <c r="C82" s="80" t="s">
        <v>1113</v>
      </c>
    </row>
    <row r="83" spans="1:3" ht="15">
      <c r="A83" s="77" t="s">
        <v>250</v>
      </c>
      <c r="B83" s="76" t="s">
        <v>520</v>
      </c>
      <c r="C83" s="80" t="s">
        <v>1113</v>
      </c>
    </row>
    <row r="84" spans="1:3" ht="15">
      <c r="A84" s="77" t="s">
        <v>250</v>
      </c>
      <c r="B84" s="76" t="s">
        <v>376</v>
      </c>
      <c r="C84" s="80" t="s">
        <v>1113</v>
      </c>
    </row>
    <row r="85" spans="1:3" ht="15">
      <c r="A85" s="77" t="s">
        <v>250</v>
      </c>
      <c r="B85" s="76" t="s">
        <v>521</v>
      </c>
      <c r="C85" s="80" t="s">
        <v>1113</v>
      </c>
    </row>
    <row r="86" spans="1:3" ht="15">
      <c r="A86" s="77" t="s">
        <v>250</v>
      </c>
      <c r="B86" s="76" t="s">
        <v>249</v>
      </c>
      <c r="C86" s="80" t="s">
        <v>1113</v>
      </c>
    </row>
    <row r="87" spans="1:3" ht="15">
      <c r="A87" s="77" t="s">
        <v>252</v>
      </c>
      <c r="B87" s="76" t="s">
        <v>3280</v>
      </c>
      <c r="C87" s="80" t="s">
        <v>1116</v>
      </c>
    </row>
    <row r="88" spans="1:3" ht="15">
      <c r="A88" s="77" t="s">
        <v>252</v>
      </c>
      <c r="B88" s="76" t="s">
        <v>3190</v>
      </c>
      <c r="C88" s="80" t="s">
        <v>1116</v>
      </c>
    </row>
    <row r="89" spans="1:3" ht="15">
      <c r="A89" s="77" t="s">
        <v>252</v>
      </c>
      <c r="B89" s="76" t="s">
        <v>3281</v>
      </c>
      <c r="C89" s="80" t="s">
        <v>1116</v>
      </c>
    </row>
    <row r="90" spans="1:3" ht="15">
      <c r="A90" s="77" t="s">
        <v>252</v>
      </c>
      <c r="B90" s="76" t="s">
        <v>3282</v>
      </c>
      <c r="C90" s="80" t="s">
        <v>1116</v>
      </c>
    </row>
    <row r="91" spans="1:3" ht="15">
      <c r="A91" s="77" t="s">
        <v>252</v>
      </c>
      <c r="B91" s="76" t="s">
        <v>3283</v>
      </c>
      <c r="C91" s="80" t="s">
        <v>1116</v>
      </c>
    </row>
    <row r="92" spans="1:3" ht="15">
      <c r="A92" s="77" t="s">
        <v>252</v>
      </c>
      <c r="B92" s="76" t="s">
        <v>3284</v>
      </c>
      <c r="C92" s="80" t="s">
        <v>1116</v>
      </c>
    </row>
    <row r="93" spans="1:3" ht="15">
      <c r="A93" s="77" t="s">
        <v>252</v>
      </c>
      <c r="B93" s="76" t="s">
        <v>3285</v>
      </c>
      <c r="C93" s="80" t="s">
        <v>1116</v>
      </c>
    </row>
    <row r="94" spans="1:3" ht="15">
      <c r="A94" s="77" t="s">
        <v>252</v>
      </c>
      <c r="B94" s="76" t="s">
        <v>3286</v>
      </c>
      <c r="C94" s="80" t="s">
        <v>1116</v>
      </c>
    </row>
    <row r="95" spans="1:3" ht="15">
      <c r="A95" s="77" t="s">
        <v>252</v>
      </c>
      <c r="B95" s="76" t="s">
        <v>228</v>
      </c>
      <c r="C95" s="80" t="s">
        <v>1116</v>
      </c>
    </row>
    <row r="96" spans="1:3" ht="15">
      <c r="A96" s="77" t="s">
        <v>252</v>
      </c>
      <c r="B96" s="76" t="s">
        <v>229</v>
      </c>
      <c r="C96" s="80" t="s">
        <v>1116</v>
      </c>
    </row>
    <row r="97" spans="1:3" ht="15">
      <c r="A97" s="77" t="s">
        <v>229</v>
      </c>
      <c r="B97" s="76" t="s">
        <v>3287</v>
      </c>
      <c r="C97" s="80" t="s">
        <v>1123</v>
      </c>
    </row>
    <row r="98" spans="1:3" ht="15">
      <c r="A98" s="77" t="s">
        <v>229</v>
      </c>
      <c r="B98" s="76" t="s">
        <v>3288</v>
      </c>
      <c r="C98" s="80" t="s">
        <v>1123</v>
      </c>
    </row>
    <row r="99" spans="1:3" ht="15">
      <c r="A99" s="77" t="s">
        <v>229</v>
      </c>
      <c r="B99" s="76" t="s">
        <v>3055</v>
      </c>
      <c r="C99" s="80" t="s">
        <v>1123</v>
      </c>
    </row>
    <row r="100" spans="1:3" ht="15">
      <c r="A100" s="77" t="s">
        <v>229</v>
      </c>
      <c r="B100" s="76" t="s">
        <v>3218</v>
      </c>
      <c r="C100" s="80" t="s">
        <v>1123</v>
      </c>
    </row>
    <row r="101" spans="1:3" ht="15">
      <c r="A101" s="77" t="s">
        <v>229</v>
      </c>
      <c r="B101" s="76" t="s">
        <v>228</v>
      </c>
      <c r="C101" s="80" t="s">
        <v>1123</v>
      </c>
    </row>
    <row r="102" spans="1:3" ht="15">
      <c r="A102" s="77" t="s">
        <v>229</v>
      </c>
      <c r="B102" s="76" t="s">
        <v>252</v>
      </c>
      <c r="C102" s="80" t="s">
        <v>1123</v>
      </c>
    </row>
    <row r="103" spans="1:3" ht="15">
      <c r="A103" s="77" t="s">
        <v>228</v>
      </c>
      <c r="B103" s="76" t="s">
        <v>3289</v>
      </c>
      <c r="C103" s="80" t="s">
        <v>1042</v>
      </c>
    </row>
    <row r="104" spans="1:3" ht="15">
      <c r="A104" s="77" t="s">
        <v>228</v>
      </c>
      <c r="B104" s="76" t="s">
        <v>699</v>
      </c>
      <c r="C104" s="80" t="s">
        <v>1042</v>
      </c>
    </row>
    <row r="105" spans="1:3" ht="15">
      <c r="A105" s="77" t="s">
        <v>228</v>
      </c>
      <c r="B105" s="76" t="s">
        <v>3290</v>
      </c>
      <c r="C105" s="80" t="s">
        <v>1042</v>
      </c>
    </row>
    <row r="106" spans="1:3" ht="15">
      <c r="A106" s="77" t="s">
        <v>228</v>
      </c>
      <c r="B106" s="76" t="s">
        <v>693</v>
      </c>
      <c r="C106" s="80" t="s">
        <v>1042</v>
      </c>
    </row>
    <row r="107" spans="1:3" ht="15">
      <c r="A107" s="77" t="s">
        <v>228</v>
      </c>
      <c r="B107" s="76" t="s">
        <v>3291</v>
      </c>
      <c r="C107" s="80" t="s">
        <v>1042</v>
      </c>
    </row>
    <row r="108" spans="1:3" ht="15">
      <c r="A108" s="77" t="s">
        <v>228</v>
      </c>
      <c r="B108" s="76" t="s">
        <v>3053</v>
      </c>
      <c r="C108" s="80" t="s">
        <v>1042</v>
      </c>
    </row>
    <row r="109" spans="1:3" ht="15">
      <c r="A109" s="77" t="s">
        <v>228</v>
      </c>
      <c r="B109" s="76" t="s">
        <v>3052</v>
      </c>
      <c r="C109" s="80" t="s">
        <v>1042</v>
      </c>
    </row>
    <row r="110" spans="1:3" ht="15">
      <c r="A110" s="77" t="s">
        <v>228</v>
      </c>
      <c r="B110" s="76" t="s">
        <v>304</v>
      </c>
      <c r="C110" s="80" t="s">
        <v>1042</v>
      </c>
    </row>
    <row r="111" spans="1:3" ht="15">
      <c r="A111" s="77" t="s">
        <v>228</v>
      </c>
      <c r="B111" s="76" t="s">
        <v>268</v>
      </c>
      <c r="C111" s="80" t="s">
        <v>1042</v>
      </c>
    </row>
    <row r="112" spans="1:3" ht="15">
      <c r="A112" s="77" t="s">
        <v>228</v>
      </c>
      <c r="B112" s="76" t="s">
        <v>305</v>
      </c>
      <c r="C112" s="80" t="s">
        <v>1042</v>
      </c>
    </row>
    <row r="113" spans="1:3" ht="15">
      <c r="A113" s="77" t="s">
        <v>228</v>
      </c>
      <c r="B113" s="76" t="s">
        <v>306</v>
      </c>
      <c r="C113" s="80" t="s">
        <v>1042</v>
      </c>
    </row>
    <row r="114" spans="1:3" ht="15">
      <c r="A114" s="77" t="s">
        <v>228</v>
      </c>
      <c r="B114" s="76" t="s">
        <v>235</v>
      </c>
      <c r="C114" s="80" t="s">
        <v>1042</v>
      </c>
    </row>
    <row r="115" spans="1:3" ht="15">
      <c r="A115" s="77" t="s">
        <v>228</v>
      </c>
      <c r="B115" s="76" t="s">
        <v>273</v>
      </c>
      <c r="C115" s="80" t="s">
        <v>1042</v>
      </c>
    </row>
    <row r="116" spans="1:3" ht="15">
      <c r="A116" s="77" t="s">
        <v>228</v>
      </c>
      <c r="B116" s="76" t="s">
        <v>266</v>
      </c>
      <c r="C116" s="80" t="s">
        <v>1042</v>
      </c>
    </row>
    <row r="117" spans="1:3" ht="15">
      <c r="A117" s="77" t="s">
        <v>228</v>
      </c>
      <c r="B117" s="76" t="s">
        <v>267</v>
      </c>
      <c r="C117" s="80" t="s">
        <v>1042</v>
      </c>
    </row>
    <row r="118" spans="1:3" ht="15">
      <c r="A118" s="77" t="s">
        <v>228</v>
      </c>
      <c r="B118" s="76" t="s">
        <v>272</v>
      </c>
      <c r="C118" s="80" t="s">
        <v>1042</v>
      </c>
    </row>
    <row r="119" spans="1:3" ht="15">
      <c r="A119" s="77" t="s">
        <v>228</v>
      </c>
      <c r="B119" s="76" t="s">
        <v>228</v>
      </c>
      <c r="C119" s="80" t="s">
        <v>1042</v>
      </c>
    </row>
    <row r="120" spans="1:3" ht="15">
      <c r="A120" s="77" t="s">
        <v>228</v>
      </c>
      <c r="B120" s="76" t="s">
        <v>234</v>
      </c>
      <c r="C120" s="80" t="s">
        <v>1042</v>
      </c>
    </row>
    <row r="121" spans="1:3" ht="15">
      <c r="A121" s="77" t="s">
        <v>229</v>
      </c>
      <c r="B121" s="76" t="s">
        <v>3292</v>
      </c>
      <c r="C121" s="80" t="s">
        <v>1120</v>
      </c>
    </row>
    <row r="122" spans="1:3" ht="15">
      <c r="A122" s="77" t="s">
        <v>229</v>
      </c>
      <c r="B122" s="76" t="s">
        <v>3293</v>
      </c>
      <c r="C122" s="80" t="s">
        <v>1120</v>
      </c>
    </row>
    <row r="123" spans="1:3" ht="15">
      <c r="A123" s="77" t="s">
        <v>229</v>
      </c>
      <c r="B123" s="76" t="s">
        <v>3167</v>
      </c>
      <c r="C123" s="80" t="s">
        <v>1120</v>
      </c>
    </row>
    <row r="124" spans="1:3" ht="15">
      <c r="A124" s="77" t="s">
        <v>229</v>
      </c>
      <c r="B124" s="76" t="s">
        <v>3294</v>
      </c>
      <c r="C124" s="80" t="s">
        <v>1120</v>
      </c>
    </row>
    <row r="125" spans="1:3" ht="15">
      <c r="A125" s="77" t="s">
        <v>229</v>
      </c>
      <c r="B125" s="76" t="s">
        <v>3295</v>
      </c>
      <c r="C125" s="80" t="s">
        <v>1120</v>
      </c>
    </row>
    <row r="126" spans="1:3" ht="15">
      <c r="A126" s="77" t="s">
        <v>229</v>
      </c>
      <c r="B126" s="76" t="s">
        <v>228</v>
      </c>
      <c r="C126" s="80" t="s">
        <v>1120</v>
      </c>
    </row>
    <row r="127" spans="1:3" ht="15">
      <c r="A127" s="77" t="s">
        <v>229</v>
      </c>
      <c r="B127" s="76" t="s">
        <v>252</v>
      </c>
      <c r="C127" s="80" t="s">
        <v>1120</v>
      </c>
    </row>
    <row r="128" spans="1:3" ht="15">
      <c r="A128" s="77" t="s">
        <v>229</v>
      </c>
      <c r="B128" s="76" t="s">
        <v>3296</v>
      </c>
      <c r="C128" s="80" t="s">
        <v>1060</v>
      </c>
    </row>
    <row r="129" spans="1:3" ht="15">
      <c r="A129" s="77" t="s">
        <v>229</v>
      </c>
      <c r="B129" s="76" t="s">
        <v>3297</v>
      </c>
      <c r="C129" s="80" t="s">
        <v>1060</v>
      </c>
    </row>
    <row r="130" spans="1:3" ht="15">
      <c r="A130" s="77" t="s">
        <v>229</v>
      </c>
      <c r="B130" s="76" t="s">
        <v>3298</v>
      </c>
      <c r="C130" s="80" t="s">
        <v>1060</v>
      </c>
    </row>
    <row r="131" spans="1:3" ht="15">
      <c r="A131" s="77" t="s">
        <v>229</v>
      </c>
      <c r="B131" s="76" t="s">
        <v>3299</v>
      </c>
      <c r="C131" s="80" t="s">
        <v>1060</v>
      </c>
    </row>
    <row r="132" spans="1:3" ht="15">
      <c r="A132" s="77" t="s">
        <v>229</v>
      </c>
      <c r="B132" s="76" t="s">
        <v>3300</v>
      </c>
      <c r="C132" s="80" t="s">
        <v>1060</v>
      </c>
    </row>
    <row r="133" spans="1:3" ht="15">
      <c r="A133" s="77" t="s">
        <v>229</v>
      </c>
      <c r="B133" s="76" t="s">
        <v>3053</v>
      </c>
      <c r="C133" s="80" t="s">
        <v>1060</v>
      </c>
    </row>
    <row r="134" spans="1:3" ht="15">
      <c r="A134" s="77" t="s">
        <v>229</v>
      </c>
      <c r="B134" s="76" t="s">
        <v>3052</v>
      </c>
      <c r="C134" s="80" t="s">
        <v>1060</v>
      </c>
    </row>
    <row r="135" spans="1:3" ht="15">
      <c r="A135" s="77" t="s">
        <v>229</v>
      </c>
      <c r="B135" s="76" t="s">
        <v>3301</v>
      </c>
      <c r="C135" s="80" t="s">
        <v>1060</v>
      </c>
    </row>
    <row r="136" spans="1:3" ht="15">
      <c r="A136" s="77" t="s">
        <v>229</v>
      </c>
      <c r="B136" s="76" t="s">
        <v>411</v>
      </c>
      <c r="C136" s="80" t="s">
        <v>1060</v>
      </c>
    </row>
    <row r="137" spans="1:3" ht="15">
      <c r="A137" s="77" t="s">
        <v>229</v>
      </c>
      <c r="B137" s="76" t="s">
        <v>412</v>
      </c>
      <c r="C137" s="80" t="s">
        <v>1060</v>
      </c>
    </row>
    <row r="138" spans="1:3" ht="15">
      <c r="A138" s="77" t="s">
        <v>229</v>
      </c>
      <c r="B138" s="76" t="s">
        <v>413</v>
      </c>
      <c r="C138" s="80" t="s">
        <v>1060</v>
      </c>
    </row>
    <row r="139" spans="1:3" ht="15">
      <c r="A139" s="77" t="s">
        <v>229</v>
      </c>
      <c r="B139" s="76" t="s">
        <v>414</v>
      </c>
      <c r="C139" s="80" t="s">
        <v>1060</v>
      </c>
    </row>
    <row r="140" spans="1:3" ht="15">
      <c r="A140" s="77" t="s">
        <v>229</v>
      </c>
      <c r="B140" s="76" t="s">
        <v>415</v>
      </c>
      <c r="C140" s="80" t="s">
        <v>1060</v>
      </c>
    </row>
    <row r="141" spans="1:3" ht="15">
      <c r="A141" s="77" t="s">
        <v>229</v>
      </c>
      <c r="B141" s="76" t="s">
        <v>416</v>
      </c>
      <c r="C141" s="80" t="s">
        <v>1060</v>
      </c>
    </row>
    <row r="142" spans="1:3" ht="15">
      <c r="A142" s="77" t="s">
        <v>229</v>
      </c>
      <c r="B142" s="76" t="s">
        <v>417</v>
      </c>
      <c r="C142" s="80" t="s">
        <v>1060</v>
      </c>
    </row>
    <row r="143" spans="1:3" ht="15">
      <c r="A143" s="77" t="s">
        <v>229</v>
      </c>
      <c r="B143" s="76" t="s">
        <v>418</v>
      </c>
      <c r="C143" s="80" t="s">
        <v>1060</v>
      </c>
    </row>
    <row r="144" spans="1:3" ht="15">
      <c r="A144" s="77" t="s">
        <v>229</v>
      </c>
      <c r="B144" s="76" t="s">
        <v>419</v>
      </c>
      <c r="C144" s="80" t="s">
        <v>1060</v>
      </c>
    </row>
    <row r="145" spans="1:3" ht="15">
      <c r="A145" s="77" t="s">
        <v>229</v>
      </c>
      <c r="B145" s="76" t="s">
        <v>228</v>
      </c>
      <c r="C145" s="80" t="s">
        <v>1060</v>
      </c>
    </row>
    <row r="146" spans="1:3" ht="15">
      <c r="A146" s="77" t="s">
        <v>229</v>
      </c>
      <c r="B146" s="76" t="s">
        <v>3302</v>
      </c>
      <c r="C146" s="80" t="s">
        <v>1060</v>
      </c>
    </row>
    <row r="147" spans="1:3" ht="15">
      <c r="A147" s="77" t="s">
        <v>229</v>
      </c>
      <c r="B147" s="76" t="s">
        <v>3303</v>
      </c>
      <c r="C147" s="80" t="s">
        <v>1055</v>
      </c>
    </row>
    <row r="148" spans="1:3" ht="15">
      <c r="A148" s="77" t="s">
        <v>229</v>
      </c>
      <c r="B148" s="76" t="s">
        <v>3304</v>
      </c>
      <c r="C148" s="80" t="s">
        <v>1055</v>
      </c>
    </row>
    <row r="149" spans="1:3" ht="15">
      <c r="A149" s="77" t="s">
        <v>229</v>
      </c>
      <c r="B149" s="76" t="s">
        <v>3054</v>
      </c>
      <c r="C149" s="80" t="s">
        <v>1055</v>
      </c>
    </row>
    <row r="150" spans="1:3" ht="15">
      <c r="A150" s="77" t="s">
        <v>229</v>
      </c>
      <c r="B150" s="76" t="s">
        <v>3055</v>
      </c>
      <c r="C150" s="80" t="s">
        <v>1055</v>
      </c>
    </row>
    <row r="151" spans="1:3" ht="15">
      <c r="A151" s="77" t="s">
        <v>229</v>
      </c>
      <c r="B151" s="76" t="s">
        <v>3305</v>
      </c>
      <c r="C151" s="80" t="s">
        <v>1055</v>
      </c>
    </row>
    <row r="152" spans="1:3" ht="15">
      <c r="A152" s="77" t="s">
        <v>229</v>
      </c>
      <c r="B152" s="76" t="s">
        <v>3306</v>
      </c>
      <c r="C152" s="80" t="s">
        <v>1055</v>
      </c>
    </row>
    <row r="153" spans="1:3" ht="15">
      <c r="A153" s="77" t="s">
        <v>229</v>
      </c>
      <c r="B153" s="76" t="s">
        <v>3307</v>
      </c>
      <c r="C153" s="80" t="s">
        <v>1055</v>
      </c>
    </row>
    <row r="154" spans="1:3" ht="15">
      <c r="A154" s="77" t="s">
        <v>229</v>
      </c>
      <c r="B154" s="76" t="s">
        <v>3308</v>
      </c>
      <c r="C154" s="80" t="s">
        <v>1055</v>
      </c>
    </row>
    <row r="155" spans="1:3" ht="15">
      <c r="A155" s="77" t="s">
        <v>229</v>
      </c>
      <c r="B155" s="76" t="s">
        <v>3098</v>
      </c>
      <c r="C155" s="80" t="s">
        <v>1055</v>
      </c>
    </row>
    <row r="156" spans="1:3" ht="15">
      <c r="A156" s="77" t="s">
        <v>229</v>
      </c>
      <c r="B156" s="76" t="s">
        <v>3309</v>
      </c>
      <c r="C156" s="80" t="s">
        <v>1055</v>
      </c>
    </row>
    <row r="157" spans="1:3" ht="15">
      <c r="A157" s="77" t="s">
        <v>229</v>
      </c>
      <c r="B157" s="76" t="s">
        <v>369</v>
      </c>
      <c r="C157" s="80" t="s">
        <v>1055</v>
      </c>
    </row>
    <row r="158" spans="1:3" ht="15">
      <c r="A158" s="77" t="s">
        <v>229</v>
      </c>
      <c r="B158" s="76" t="s">
        <v>370</v>
      </c>
      <c r="C158" s="80" t="s">
        <v>1055</v>
      </c>
    </row>
    <row r="159" spans="1:3" ht="15">
      <c r="A159" s="77" t="s">
        <v>229</v>
      </c>
      <c r="B159" s="76" t="s">
        <v>371</v>
      </c>
      <c r="C159" s="80" t="s">
        <v>1055</v>
      </c>
    </row>
    <row r="160" spans="1:3" ht="15">
      <c r="A160" s="77" t="s">
        <v>229</v>
      </c>
      <c r="B160" s="76" t="s">
        <v>228</v>
      </c>
      <c r="C160" s="80" t="s">
        <v>1055</v>
      </c>
    </row>
    <row r="161" spans="1:3" ht="15">
      <c r="A161" s="77" t="s">
        <v>229</v>
      </c>
      <c r="B161" s="76" t="s">
        <v>372</v>
      </c>
      <c r="C161" s="80" t="s">
        <v>1055</v>
      </c>
    </row>
    <row r="162" spans="1:3" ht="15">
      <c r="A162" s="77" t="s">
        <v>229</v>
      </c>
      <c r="B162" s="76" t="s">
        <v>373</v>
      </c>
      <c r="C162" s="80" t="s">
        <v>1055</v>
      </c>
    </row>
    <row r="163" spans="1:3" ht="15">
      <c r="A163" s="77" t="s">
        <v>229</v>
      </c>
      <c r="B163" s="76" t="s">
        <v>374</v>
      </c>
      <c r="C163" s="80" t="s">
        <v>1055</v>
      </c>
    </row>
    <row r="164" spans="1:3" ht="15">
      <c r="A164" s="77" t="s">
        <v>229</v>
      </c>
      <c r="B164" s="76" t="s">
        <v>375</v>
      </c>
      <c r="C164" s="80" t="s">
        <v>1055</v>
      </c>
    </row>
    <row r="165" spans="1:3" ht="15">
      <c r="A165" s="77" t="s">
        <v>229</v>
      </c>
      <c r="B165" s="76" t="s">
        <v>376</v>
      </c>
      <c r="C165" s="80" t="s">
        <v>1055</v>
      </c>
    </row>
    <row r="166" spans="1:3" ht="15">
      <c r="A166" s="77" t="s">
        <v>229</v>
      </c>
      <c r="B166" s="76" t="s">
        <v>230</v>
      </c>
      <c r="C166" s="80" t="s">
        <v>1055</v>
      </c>
    </row>
    <row r="167" spans="1:3" ht="15">
      <c r="A167" s="77" t="s">
        <v>240</v>
      </c>
      <c r="B167" s="76" t="s">
        <v>491</v>
      </c>
      <c r="C167" s="80" t="s">
        <v>1085</v>
      </c>
    </row>
    <row r="168" spans="1:3" ht="15">
      <c r="A168" s="77" t="s">
        <v>240</v>
      </c>
      <c r="B168" s="76" t="s">
        <v>3310</v>
      </c>
      <c r="C168" s="80" t="s">
        <v>1085</v>
      </c>
    </row>
    <row r="169" spans="1:3" ht="15">
      <c r="A169" s="77" t="s">
        <v>240</v>
      </c>
      <c r="B169" s="76" t="s">
        <v>3311</v>
      </c>
      <c r="C169" s="80" t="s">
        <v>1085</v>
      </c>
    </row>
    <row r="170" spans="1:3" ht="15">
      <c r="A170" s="77" t="s">
        <v>240</v>
      </c>
      <c r="B170" s="76" t="s">
        <v>3162</v>
      </c>
      <c r="C170" s="80" t="s">
        <v>1085</v>
      </c>
    </row>
    <row r="171" spans="1:3" ht="15">
      <c r="A171" s="77" t="s">
        <v>240</v>
      </c>
      <c r="B171" s="76" t="s">
        <v>3194</v>
      </c>
      <c r="C171" s="80" t="s">
        <v>1085</v>
      </c>
    </row>
    <row r="172" spans="1:3" ht="15">
      <c r="A172" s="77" t="s">
        <v>240</v>
      </c>
      <c r="B172" s="76" t="s">
        <v>3312</v>
      </c>
      <c r="C172" s="80" t="s">
        <v>1085</v>
      </c>
    </row>
    <row r="173" spans="1:3" ht="15">
      <c r="A173" s="77" t="s">
        <v>240</v>
      </c>
      <c r="B173" s="76" t="s">
        <v>3313</v>
      </c>
      <c r="C173" s="80" t="s">
        <v>1085</v>
      </c>
    </row>
    <row r="174" spans="1:3" ht="15">
      <c r="A174" s="77" t="s">
        <v>240</v>
      </c>
      <c r="B174" s="76" t="s">
        <v>228</v>
      </c>
      <c r="C174" s="80" t="s">
        <v>1085</v>
      </c>
    </row>
    <row r="175" spans="1:3" ht="15">
      <c r="A175" s="77" t="s">
        <v>240</v>
      </c>
      <c r="B175" s="76" t="s">
        <v>3314</v>
      </c>
      <c r="C175" s="80" t="s">
        <v>1085</v>
      </c>
    </row>
    <row r="176" spans="1:3" ht="15">
      <c r="A176" s="77" t="s">
        <v>240</v>
      </c>
      <c r="B176" s="76" t="s">
        <v>3315</v>
      </c>
      <c r="C176" s="80" t="s">
        <v>1085</v>
      </c>
    </row>
    <row r="177" spans="1:3" ht="15">
      <c r="A177" s="77" t="s">
        <v>240</v>
      </c>
      <c r="B177" s="76" t="s">
        <v>3181</v>
      </c>
      <c r="C177" s="80" t="s">
        <v>1085</v>
      </c>
    </row>
    <row r="178" spans="1:3" ht="15">
      <c r="A178" s="77" t="s">
        <v>240</v>
      </c>
      <c r="B178" s="76" t="s">
        <v>3316</v>
      </c>
      <c r="C178" s="80" t="s">
        <v>1085</v>
      </c>
    </row>
    <row r="179" spans="1:3" ht="15">
      <c r="A179" s="77" t="s">
        <v>240</v>
      </c>
      <c r="B179" s="76" t="s">
        <v>3317</v>
      </c>
      <c r="C179" s="80" t="s">
        <v>1085</v>
      </c>
    </row>
    <row r="180" spans="1:3" ht="15">
      <c r="A180" s="77" t="s">
        <v>240</v>
      </c>
      <c r="B180" s="76" t="s">
        <v>3318</v>
      </c>
      <c r="C180" s="80" t="s">
        <v>1085</v>
      </c>
    </row>
    <row r="181" spans="1:3" ht="15">
      <c r="A181" s="77" t="s">
        <v>240</v>
      </c>
      <c r="B181" s="76" t="s">
        <v>3319</v>
      </c>
      <c r="C181" s="80" t="s">
        <v>1085</v>
      </c>
    </row>
    <row r="182" spans="1:3" ht="15">
      <c r="A182" s="77" t="s">
        <v>240</v>
      </c>
      <c r="B182" s="76" t="s">
        <v>3320</v>
      </c>
      <c r="C182" s="80" t="s">
        <v>1085</v>
      </c>
    </row>
    <row r="183" spans="1:3" ht="15">
      <c r="A183" s="77" t="s">
        <v>240</v>
      </c>
      <c r="B183" s="76" t="s">
        <v>3321</v>
      </c>
      <c r="C183" s="80" t="s">
        <v>1085</v>
      </c>
    </row>
    <row r="184" spans="1:3" ht="15">
      <c r="A184" s="77" t="s">
        <v>240</v>
      </c>
      <c r="B184" s="76">
        <v>2023</v>
      </c>
      <c r="C184" s="80" t="s">
        <v>1085</v>
      </c>
    </row>
    <row r="185" spans="1:3" ht="15">
      <c r="A185" s="77" t="s">
        <v>240</v>
      </c>
      <c r="B185" s="76" t="s">
        <v>3322</v>
      </c>
      <c r="C185" s="80" t="s">
        <v>1085</v>
      </c>
    </row>
    <row r="186" spans="1:3" ht="15">
      <c r="A186" s="77" t="s">
        <v>240</v>
      </c>
      <c r="B186" s="76" t="s">
        <v>3323</v>
      </c>
      <c r="C186" s="80" t="s">
        <v>1085</v>
      </c>
    </row>
    <row r="187" spans="1:3" ht="15">
      <c r="A187" s="77" t="s">
        <v>238</v>
      </c>
      <c r="B187" s="76" t="s">
        <v>3073</v>
      </c>
      <c r="C187" s="80" t="s">
        <v>1082</v>
      </c>
    </row>
    <row r="188" spans="1:3" ht="15">
      <c r="A188" s="77" t="s">
        <v>238</v>
      </c>
      <c r="B188" s="76" t="s">
        <v>3127</v>
      </c>
      <c r="C188" s="80" t="s">
        <v>1082</v>
      </c>
    </row>
    <row r="189" spans="1:3" ht="15">
      <c r="A189" s="77" t="s">
        <v>238</v>
      </c>
      <c r="B189" s="76" t="s">
        <v>228</v>
      </c>
      <c r="C189" s="80" t="s">
        <v>1082</v>
      </c>
    </row>
    <row r="190" spans="1:3" ht="15">
      <c r="A190" s="77" t="s">
        <v>238</v>
      </c>
      <c r="B190" s="76" t="s">
        <v>3183</v>
      </c>
      <c r="C190" s="80" t="s">
        <v>1082</v>
      </c>
    </row>
    <row r="191" spans="1:3" ht="15">
      <c r="A191" s="77" t="s">
        <v>229</v>
      </c>
      <c r="B191" s="76" t="s">
        <v>3324</v>
      </c>
      <c r="C191" s="80" t="s">
        <v>1046</v>
      </c>
    </row>
    <row r="192" spans="1:3" ht="15">
      <c r="A192" s="77" t="s">
        <v>229</v>
      </c>
      <c r="B192" s="76" t="s">
        <v>3325</v>
      </c>
      <c r="C192" s="80" t="s">
        <v>1046</v>
      </c>
    </row>
    <row r="193" spans="1:3" ht="15">
      <c r="A193" s="77" t="s">
        <v>229</v>
      </c>
      <c r="B193" s="76" t="s">
        <v>702</v>
      </c>
      <c r="C193" s="80" t="s">
        <v>1046</v>
      </c>
    </row>
    <row r="194" spans="1:3" ht="15">
      <c r="A194" s="77" t="s">
        <v>229</v>
      </c>
      <c r="B194" s="76" t="s">
        <v>3053</v>
      </c>
      <c r="C194" s="80" t="s">
        <v>1046</v>
      </c>
    </row>
    <row r="195" spans="1:3" ht="15">
      <c r="A195" s="77" t="s">
        <v>229</v>
      </c>
      <c r="B195" s="76" t="s">
        <v>3052</v>
      </c>
      <c r="C195" s="80" t="s">
        <v>1046</v>
      </c>
    </row>
    <row r="196" spans="1:3" ht="15">
      <c r="A196" s="77" t="s">
        <v>229</v>
      </c>
      <c r="B196" s="76" t="s">
        <v>325</v>
      </c>
      <c r="C196" s="80" t="s">
        <v>1046</v>
      </c>
    </row>
    <row r="197" spans="1:3" ht="15">
      <c r="A197" s="77" t="s">
        <v>229</v>
      </c>
      <c r="B197" s="76" t="s">
        <v>326</v>
      </c>
      <c r="C197" s="80" t="s">
        <v>1046</v>
      </c>
    </row>
    <row r="198" spans="1:3" ht="15">
      <c r="A198" s="77" t="s">
        <v>229</v>
      </c>
      <c r="B198" s="76" t="s">
        <v>252</v>
      </c>
      <c r="C198" s="80" t="s">
        <v>1046</v>
      </c>
    </row>
    <row r="199" spans="1:3" ht="15">
      <c r="A199" s="77" t="s">
        <v>229</v>
      </c>
      <c r="B199" s="76" t="s">
        <v>327</v>
      </c>
      <c r="C199" s="80" t="s">
        <v>1046</v>
      </c>
    </row>
    <row r="200" spans="1:3" ht="15">
      <c r="A200" s="77" t="s">
        <v>229</v>
      </c>
      <c r="B200" s="76" t="s">
        <v>328</v>
      </c>
      <c r="C200" s="80" t="s">
        <v>1046</v>
      </c>
    </row>
    <row r="201" spans="1:3" ht="15">
      <c r="A201" s="77" t="s">
        <v>229</v>
      </c>
      <c r="B201" s="76" t="s">
        <v>329</v>
      </c>
      <c r="C201" s="80" t="s">
        <v>1046</v>
      </c>
    </row>
    <row r="202" spans="1:3" ht="15">
      <c r="A202" s="77" t="s">
        <v>229</v>
      </c>
      <c r="B202" s="76" t="s">
        <v>330</v>
      </c>
      <c r="C202" s="80" t="s">
        <v>1046</v>
      </c>
    </row>
    <row r="203" spans="1:3" ht="15">
      <c r="A203" s="77" t="s">
        <v>229</v>
      </c>
      <c r="B203" s="76" t="s">
        <v>331</v>
      </c>
      <c r="C203" s="80" t="s">
        <v>1046</v>
      </c>
    </row>
    <row r="204" spans="1:3" ht="15">
      <c r="A204" s="77" t="s">
        <v>229</v>
      </c>
      <c r="B204" s="76" t="s">
        <v>332</v>
      </c>
      <c r="C204" s="80" t="s">
        <v>1046</v>
      </c>
    </row>
    <row r="205" spans="1:3" ht="15">
      <c r="A205" s="77" t="s">
        <v>229</v>
      </c>
      <c r="B205" s="76" t="s">
        <v>333</v>
      </c>
      <c r="C205" s="80" t="s">
        <v>1046</v>
      </c>
    </row>
    <row r="206" spans="1:3" ht="15">
      <c r="A206" s="77" t="s">
        <v>229</v>
      </c>
      <c r="B206" s="76" t="s">
        <v>228</v>
      </c>
      <c r="C206" s="80" t="s">
        <v>1046</v>
      </c>
    </row>
    <row r="207" spans="1:3" ht="15">
      <c r="A207" s="77" t="s">
        <v>229</v>
      </c>
      <c r="B207" s="76" t="s">
        <v>3326</v>
      </c>
      <c r="C207" s="80" t="s">
        <v>1046</v>
      </c>
    </row>
    <row r="208" spans="1:3" ht="15">
      <c r="A208" s="77" t="s">
        <v>257</v>
      </c>
      <c r="B208" s="76" t="s">
        <v>258</v>
      </c>
      <c r="C208" s="80" t="s">
        <v>1139</v>
      </c>
    </row>
    <row r="209" spans="1:3" ht="15">
      <c r="A209" s="77" t="s">
        <v>257</v>
      </c>
      <c r="B209" s="76" t="s">
        <v>526</v>
      </c>
      <c r="C209" s="80" t="s">
        <v>1139</v>
      </c>
    </row>
    <row r="210" spans="1:3" ht="15">
      <c r="A210" s="77" t="s">
        <v>257</v>
      </c>
      <c r="B210" s="76" t="s">
        <v>527</v>
      </c>
      <c r="C210" s="80" t="s">
        <v>1139</v>
      </c>
    </row>
    <row r="211" spans="1:3" ht="15">
      <c r="A211" s="77" t="s">
        <v>257</v>
      </c>
      <c r="B211" s="76" t="s">
        <v>228</v>
      </c>
      <c r="C211" s="80" t="s">
        <v>1139</v>
      </c>
    </row>
    <row r="212" spans="1:3" ht="15">
      <c r="A212" s="77" t="s">
        <v>257</v>
      </c>
      <c r="B212" s="76" t="s">
        <v>528</v>
      </c>
      <c r="C212" s="80" t="s">
        <v>1139</v>
      </c>
    </row>
    <row r="213" spans="1:3" ht="15">
      <c r="A213" s="77" t="s">
        <v>257</v>
      </c>
      <c r="B213" s="76" t="s">
        <v>529</v>
      </c>
      <c r="C213" s="80" t="s">
        <v>1139</v>
      </c>
    </row>
    <row r="214" spans="1:3" ht="15">
      <c r="A214" s="77" t="s">
        <v>257</v>
      </c>
      <c r="B214" s="76" t="s">
        <v>530</v>
      </c>
      <c r="C214" s="80" t="s">
        <v>1139</v>
      </c>
    </row>
    <row r="215" spans="1:3" ht="15">
      <c r="A215" s="77" t="s">
        <v>257</v>
      </c>
      <c r="B215" s="76" t="s">
        <v>531</v>
      </c>
      <c r="C215" s="80" t="s">
        <v>1139</v>
      </c>
    </row>
    <row r="216" spans="1:3" ht="15">
      <c r="A216" s="77" t="s">
        <v>257</v>
      </c>
      <c r="B216" s="76" t="s">
        <v>532</v>
      </c>
      <c r="C216" s="80" t="s">
        <v>1139</v>
      </c>
    </row>
    <row r="217" spans="1:3" ht="15">
      <c r="A217" s="77" t="s">
        <v>257</v>
      </c>
      <c r="B217" s="76" t="s">
        <v>533</v>
      </c>
      <c r="C217" s="80" t="s">
        <v>1139</v>
      </c>
    </row>
    <row r="218" spans="1:3" ht="15">
      <c r="A218" s="77" t="s">
        <v>257</v>
      </c>
      <c r="B218" s="76" t="s">
        <v>534</v>
      </c>
      <c r="C218" s="80" t="s">
        <v>1139</v>
      </c>
    </row>
    <row r="219" spans="1:3" ht="15">
      <c r="A219" s="77" t="s">
        <v>257</v>
      </c>
      <c r="B219" s="76" t="s">
        <v>535</v>
      </c>
      <c r="C219" s="80" t="s">
        <v>1139</v>
      </c>
    </row>
    <row r="220" spans="1:3" ht="15">
      <c r="A220" s="77" t="s">
        <v>257</v>
      </c>
      <c r="B220" s="76" t="s">
        <v>536</v>
      </c>
      <c r="C220" s="80" t="s">
        <v>1139</v>
      </c>
    </row>
    <row r="221" spans="1:3" ht="15">
      <c r="A221" s="77" t="s">
        <v>257</v>
      </c>
      <c r="B221" s="76" t="s">
        <v>537</v>
      </c>
      <c r="C221" s="80" t="s">
        <v>1139</v>
      </c>
    </row>
    <row r="222" spans="1:3" ht="15">
      <c r="A222" s="77" t="s">
        <v>257</v>
      </c>
      <c r="B222" s="76" t="s">
        <v>538</v>
      </c>
      <c r="C222" s="80" t="s">
        <v>1139</v>
      </c>
    </row>
    <row r="223" spans="1:3" ht="15">
      <c r="A223" s="77" t="s">
        <v>257</v>
      </c>
      <c r="B223" s="76" t="s">
        <v>3327</v>
      </c>
      <c r="C223" s="80" t="s">
        <v>1139</v>
      </c>
    </row>
    <row r="224" spans="1:3" ht="15">
      <c r="A224" s="77" t="s">
        <v>257</v>
      </c>
      <c r="B224" s="76" t="s">
        <v>3328</v>
      </c>
      <c r="C224" s="80" t="s">
        <v>1139</v>
      </c>
    </row>
    <row r="225" spans="1:3" ht="15">
      <c r="A225" s="77" t="s">
        <v>257</v>
      </c>
      <c r="B225" s="76" t="s">
        <v>724</v>
      </c>
      <c r="C225" s="80" t="s">
        <v>1139</v>
      </c>
    </row>
    <row r="226" spans="1:3" ht="15">
      <c r="A226" s="77" t="s">
        <v>257</v>
      </c>
      <c r="B226" s="76" t="s">
        <v>3223</v>
      </c>
      <c r="C226" s="80" t="s">
        <v>1139</v>
      </c>
    </row>
    <row r="227" spans="1:3" ht="15">
      <c r="A227" s="77" t="s">
        <v>244</v>
      </c>
      <c r="B227" s="76" t="s">
        <v>504</v>
      </c>
      <c r="C227" s="80" t="s">
        <v>1090</v>
      </c>
    </row>
    <row r="228" spans="1:3" ht="15">
      <c r="A228" s="77" t="s">
        <v>244</v>
      </c>
      <c r="B228" s="76" t="s">
        <v>509</v>
      </c>
      <c r="C228" s="80" t="s">
        <v>1090</v>
      </c>
    </row>
    <row r="229" spans="1:3" ht="15">
      <c r="A229" s="77" t="s">
        <v>244</v>
      </c>
      <c r="B229" s="76" t="s">
        <v>505</v>
      </c>
      <c r="C229" s="80" t="s">
        <v>1090</v>
      </c>
    </row>
    <row r="230" spans="1:3" ht="15">
      <c r="A230" s="77" t="s">
        <v>244</v>
      </c>
      <c r="B230" s="76" t="s">
        <v>506</v>
      </c>
      <c r="C230" s="80" t="s">
        <v>1090</v>
      </c>
    </row>
    <row r="231" spans="1:3" ht="15">
      <c r="A231" s="77" t="s">
        <v>244</v>
      </c>
      <c r="B231" s="76" t="s">
        <v>507</v>
      </c>
      <c r="C231" s="80" t="s">
        <v>1090</v>
      </c>
    </row>
    <row r="232" spans="1:3" ht="15">
      <c r="A232" s="77" t="s">
        <v>244</v>
      </c>
      <c r="B232" s="76">
        <v>2016</v>
      </c>
      <c r="C232" s="80" t="s">
        <v>1090</v>
      </c>
    </row>
    <row r="233" spans="1:3" ht="15">
      <c r="A233" s="77" t="s">
        <v>244</v>
      </c>
      <c r="B233" s="76">
        <v>13</v>
      </c>
      <c r="C233" s="80" t="s">
        <v>1090</v>
      </c>
    </row>
    <row r="234" spans="1:3" ht="15">
      <c r="A234" s="77" t="s">
        <v>244</v>
      </c>
      <c r="B234" s="76" t="s">
        <v>3136</v>
      </c>
      <c r="C234" s="80" t="s">
        <v>1090</v>
      </c>
    </row>
    <row r="235" spans="1:3" ht="15">
      <c r="A235" s="77" t="s">
        <v>244</v>
      </c>
      <c r="B235" s="76" t="s">
        <v>3329</v>
      </c>
      <c r="C235" s="80" t="s">
        <v>1090</v>
      </c>
    </row>
    <row r="236" spans="1:3" ht="15">
      <c r="A236" s="77" t="s">
        <v>244</v>
      </c>
      <c r="B236" s="76" t="s">
        <v>3169</v>
      </c>
      <c r="C236" s="80" t="s">
        <v>1090</v>
      </c>
    </row>
    <row r="237" spans="1:3" ht="15">
      <c r="A237" s="77" t="s">
        <v>244</v>
      </c>
      <c r="B237" s="76" t="s">
        <v>3195</v>
      </c>
      <c r="C237" s="80" t="s">
        <v>1090</v>
      </c>
    </row>
    <row r="238" spans="1:3" ht="15">
      <c r="A238" s="77" t="s">
        <v>233</v>
      </c>
      <c r="B238" s="76" t="s">
        <v>228</v>
      </c>
      <c r="C238" s="80" t="s">
        <v>1064</v>
      </c>
    </row>
    <row r="239" spans="1:3" ht="15">
      <c r="A239" s="77" t="s">
        <v>233</v>
      </c>
      <c r="B239" s="76" t="s">
        <v>3330</v>
      </c>
      <c r="C239" s="80" t="s">
        <v>1064</v>
      </c>
    </row>
    <row r="240" spans="1:3" ht="15">
      <c r="A240" s="77" t="s">
        <v>233</v>
      </c>
      <c r="B240" s="76" t="s">
        <v>3331</v>
      </c>
      <c r="C240" s="80" t="s">
        <v>1064</v>
      </c>
    </row>
    <row r="241" spans="1:3" ht="15">
      <c r="A241" s="77" t="s">
        <v>233</v>
      </c>
      <c r="B241" s="76" t="s">
        <v>3332</v>
      </c>
      <c r="C241" s="80" t="s">
        <v>1064</v>
      </c>
    </row>
    <row r="242" spans="1:3" ht="15">
      <c r="A242" s="77" t="s">
        <v>233</v>
      </c>
      <c r="B242" s="76" t="s">
        <v>3333</v>
      </c>
      <c r="C242" s="80" t="s">
        <v>1064</v>
      </c>
    </row>
    <row r="243" spans="1:3" ht="15">
      <c r="A243" s="77" t="s">
        <v>226</v>
      </c>
      <c r="B243" s="76" t="s">
        <v>3334</v>
      </c>
      <c r="C243" s="80" t="s">
        <v>1030</v>
      </c>
    </row>
    <row r="244" spans="1:3" ht="15">
      <c r="A244" s="77" t="s">
        <v>226</v>
      </c>
      <c r="B244" s="76" t="s">
        <v>3335</v>
      </c>
      <c r="C244" s="80" t="s">
        <v>1030</v>
      </c>
    </row>
    <row r="245" spans="1:3" ht="15">
      <c r="A245" s="77" t="s">
        <v>226</v>
      </c>
      <c r="B245" s="76" t="s">
        <v>3336</v>
      </c>
      <c r="C245" s="80" t="s">
        <v>1030</v>
      </c>
    </row>
    <row r="246" spans="1:3" ht="15">
      <c r="A246" s="77" t="s">
        <v>226</v>
      </c>
      <c r="B246" s="76" t="s">
        <v>3337</v>
      </c>
      <c r="C246" s="80" t="s">
        <v>1030</v>
      </c>
    </row>
    <row r="247" spans="1:3" ht="15">
      <c r="A247" s="77" t="s">
        <v>226</v>
      </c>
      <c r="B247" s="76" t="s">
        <v>3338</v>
      </c>
      <c r="C247" s="80" t="s">
        <v>1030</v>
      </c>
    </row>
    <row r="248" spans="1:3" ht="15">
      <c r="A248" s="77" t="s">
        <v>226</v>
      </c>
      <c r="B248" s="76" t="s">
        <v>3339</v>
      </c>
      <c r="C248" s="80" t="s">
        <v>1030</v>
      </c>
    </row>
    <row r="249" spans="1:3" ht="15">
      <c r="A249" s="77" t="s">
        <v>226</v>
      </c>
      <c r="B249" s="76" t="s">
        <v>3340</v>
      </c>
      <c r="C249" s="80" t="s">
        <v>1030</v>
      </c>
    </row>
    <row r="250" spans="1:3" ht="15">
      <c r="A250" s="77" t="s">
        <v>226</v>
      </c>
      <c r="B250" s="76" t="s">
        <v>3341</v>
      </c>
      <c r="C250" s="80" t="s">
        <v>1030</v>
      </c>
    </row>
    <row r="251" spans="1:3" ht="15">
      <c r="A251" s="77" t="s">
        <v>226</v>
      </c>
      <c r="B251" s="76" t="s">
        <v>3342</v>
      </c>
      <c r="C251" s="80" t="s">
        <v>1030</v>
      </c>
    </row>
    <row r="252" spans="1:3" ht="15">
      <c r="A252" s="77" t="s">
        <v>226</v>
      </c>
      <c r="B252" s="76" t="s">
        <v>3343</v>
      </c>
      <c r="C252" s="80" t="s">
        <v>1030</v>
      </c>
    </row>
    <row r="253" spans="1:3" ht="15">
      <c r="A253" s="77" t="s">
        <v>226</v>
      </c>
      <c r="B253" s="76" t="s">
        <v>3344</v>
      </c>
      <c r="C253" s="80" t="s">
        <v>1030</v>
      </c>
    </row>
    <row r="254" spans="1:3" ht="15">
      <c r="A254" s="77" t="s">
        <v>226</v>
      </c>
      <c r="B254" s="76" t="s">
        <v>3345</v>
      </c>
      <c r="C254" s="80" t="s">
        <v>1030</v>
      </c>
    </row>
    <row r="255" spans="1:3" ht="15">
      <c r="A255" s="77" t="s">
        <v>226</v>
      </c>
      <c r="B255" s="76" t="s">
        <v>3346</v>
      </c>
      <c r="C255" s="80" t="s">
        <v>1030</v>
      </c>
    </row>
    <row r="256" spans="1:3" ht="15">
      <c r="A256" s="77" t="s">
        <v>226</v>
      </c>
      <c r="B256" s="76" t="s">
        <v>3347</v>
      </c>
      <c r="C256" s="80" t="s">
        <v>1030</v>
      </c>
    </row>
    <row r="257" spans="1:3" ht="15">
      <c r="A257" s="77" t="s">
        <v>226</v>
      </c>
      <c r="B257" s="76" t="s">
        <v>3348</v>
      </c>
      <c r="C257" s="80" t="s">
        <v>1030</v>
      </c>
    </row>
    <row r="258" spans="1:3" ht="15">
      <c r="A258" s="77" t="s">
        <v>226</v>
      </c>
      <c r="B258" s="76" t="s">
        <v>3349</v>
      </c>
      <c r="C258" s="80" t="s">
        <v>1030</v>
      </c>
    </row>
    <row r="259" spans="1:3" ht="15">
      <c r="A259" s="77" t="s">
        <v>226</v>
      </c>
      <c r="B259" s="76" t="s">
        <v>3350</v>
      </c>
      <c r="C259" s="80" t="s">
        <v>1030</v>
      </c>
    </row>
    <row r="260" spans="1:3" ht="15">
      <c r="A260" s="77" t="s">
        <v>226</v>
      </c>
      <c r="B260" s="76" t="s">
        <v>3351</v>
      </c>
      <c r="C260" s="80" t="s">
        <v>1030</v>
      </c>
    </row>
    <row r="261" spans="1:3" ht="15">
      <c r="A261" s="77" t="s">
        <v>226</v>
      </c>
      <c r="B261" s="76" t="s">
        <v>3352</v>
      </c>
      <c r="C261" s="80" t="s">
        <v>1030</v>
      </c>
    </row>
    <row r="262" spans="1:3" ht="15">
      <c r="A262" s="77" t="s">
        <v>226</v>
      </c>
      <c r="B262" s="76" t="s">
        <v>3353</v>
      </c>
      <c r="C262" s="80" t="s">
        <v>1030</v>
      </c>
    </row>
    <row r="263" spans="1:3" ht="15">
      <c r="A263" s="77" t="s">
        <v>226</v>
      </c>
      <c r="B263" s="76" t="s">
        <v>3354</v>
      </c>
      <c r="C263" s="80" t="s">
        <v>1030</v>
      </c>
    </row>
    <row r="264" spans="1:3" ht="15">
      <c r="A264" s="77" t="s">
        <v>226</v>
      </c>
      <c r="B264" s="76" t="s">
        <v>3355</v>
      </c>
      <c r="C264" s="80" t="s">
        <v>1030</v>
      </c>
    </row>
    <row r="265" spans="1:3" ht="15">
      <c r="A265" s="77" t="s">
        <v>226</v>
      </c>
      <c r="B265" s="76" t="s">
        <v>3356</v>
      </c>
      <c r="C265" s="80" t="s">
        <v>1030</v>
      </c>
    </row>
    <row r="266" spans="1:3" ht="15">
      <c r="A266" s="77" t="s">
        <v>244</v>
      </c>
      <c r="B266" s="76" t="s">
        <v>3093</v>
      </c>
      <c r="C266" s="80" t="s">
        <v>1106</v>
      </c>
    </row>
    <row r="267" spans="1:3" ht="15">
      <c r="A267" s="77" t="s">
        <v>244</v>
      </c>
      <c r="B267" s="76" t="s">
        <v>3089</v>
      </c>
      <c r="C267" s="80" t="s">
        <v>1106</v>
      </c>
    </row>
    <row r="268" spans="1:3" ht="15">
      <c r="A268" s="77" t="s">
        <v>244</v>
      </c>
      <c r="B268" s="76" t="s">
        <v>228</v>
      </c>
      <c r="C268" s="80" t="s">
        <v>1106</v>
      </c>
    </row>
    <row r="269" spans="1:3" ht="15">
      <c r="A269" s="77" t="s">
        <v>244</v>
      </c>
      <c r="B269" s="76" t="s">
        <v>3209</v>
      </c>
      <c r="C269" s="80" t="s">
        <v>1106</v>
      </c>
    </row>
    <row r="270" spans="1:3" ht="15">
      <c r="A270" s="77" t="s">
        <v>244</v>
      </c>
      <c r="B270" s="76" t="s">
        <v>3088</v>
      </c>
      <c r="C270" s="80" t="s">
        <v>1106</v>
      </c>
    </row>
    <row r="271" spans="1:3" ht="15">
      <c r="A271" s="77" t="s">
        <v>244</v>
      </c>
      <c r="B271" s="76" t="s">
        <v>278</v>
      </c>
      <c r="C271" s="80" t="s">
        <v>1106</v>
      </c>
    </row>
    <row r="272" spans="1:3" ht="15">
      <c r="A272" s="77" t="s">
        <v>249</v>
      </c>
      <c r="B272" s="76" t="s">
        <v>3357</v>
      </c>
      <c r="C272" s="80" t="s">
        <v>1112</v>
      </c>
    </row>
    <row r="273" spans="1:3" ht="15">
      <c r="A273" s="77" t="s">
        <v>249</v>
      </c>
      <c r="B273" s="76" t="s">
        <v>3358</v>
      </c>
      <c r="C273" s="80" t="s">
        <v>1112</v>
      </c>
    </row>
    <row r="274" spans="1:3" ht="15">
      <c r="A274" s="77" t="s">
        <v>249</v>
      </c>
      <c r="B274" s="76" t="s">
        <v>3106</v>
      </c>
      <c r="C274" s="80" t="s">
        <v>1112</v>
      </c>
    </row>
    <row r="275" spans="1:3" ht="15">
      <c r="A275" s="77" t="s">
        <v>249</v>
      </c>
      <c r="B275" s="76" t="s">
        <v>248</v>
      </c>
      <c r="C275" s="80" t="s">
        <v>1112</v>
      </c>
    </row>
    <row r="276" spans="1:3" ht="15">
      <c r="A276" s="77" t="s">
        <v>249</v>
      </c>
      <c r="B276" s="76" t="s">
        <v>520</v>
      </c>
      <c r="C276" s="80" t="s">
        <v>1112</v>
      </c>
    </row>
    <row r="277" spans="1:3" ht="15">
      <c r="A277" s="77" t="s">
        <v>249</v>
      </c>
      <c r="B277" s="76" t="s">
        <v>376</v>
      </c>
      <c r="C277" s="80" t="s">
        <v>1112</v>
      </c>
    </row>
    <row r="278" spans="1:3" ht="15">
      <c r="A278" s="77" t="s">
        <v>249</v>
      </c>
      <c r="B278" s="76" t="s">
        <v>521</v>
      </c>
      <c r="C278" s="80" t="s">
        <v>1112</v>
      </c>
    </row>
    <row r="279" spans="1:3" ht="15">
      <c r="A279" s="77" t="s">
        <v>249</v>
      </c>
      <c r="B279" s="76" t="s">
        <v>228</v>
      </c>
      <c r="C279" s="80" t="s">
        <v>1112</v>
      </c>
    </row>
    <row r="280" spans="1:3" ht="15">
      <c r="A280" s="77" t="s">
        <v>249</v>
      </c>
      <c r="B280" s="76" t="s">
        <v>250</v>
      </c>
      <c r="C280" s="80" t="s">
        <v>1112</v>
      </c>
    </row>
    <row r="281" spans="1:3" ht="15">
      <c r="A281" s="77" t="s">
        <v>244</v>
      </c>
      <c r="B281" s="76" t="s">
        <v>3084</v>
      </c>
      <c r="C281" s="80" t="s">
        <v>1096</v>
      </c>
    </row>
    <row r="282" spans="1:3" ht="15">
      <c r="A282" s="77" t="s">
        <v>244</v>
      </c>
      <c r="B282" s="76" t="s">
        <v>228</v>
      </c>
      <c r="C282" s="80" t="s">
        <v>1096</v>
      </c>
    </row>
    <row r="283" spans="1:3" ht="15">
      <c r="A283" s="77" t="s">
        <v>244</v>
      </c>
      <c r="B283" s="76" t="s">
        <v>471</v>
      </c>
      <c r="C283" s="80" t="s">
        <v>1096</v>
      </c>
    </row>
    <row r="284" spans="1:3" ht="15">
      <c r="A284" s="77" t="s">
        <v>244</v>
      </c>
      <c r="B284" s="76" t="s">
        <v>3054</v>
      </c>
      <c r="C284" s="80" t="s">
        <v>1096</v>
      </c>
    </row>
    <row r="285" spans="1:3" ht="15">
      <c r="A285" s="77" t="s">
        <v>244</v>
      </c>
      <c r="B285" s="76" t="s">
        <v>3359</v>
      </c>
      <c r="C285" s="80" t="s">
        <v>1096</v>
      </c>
    </row>
    <row r="286" spans="1:3" ht="15">
      <c r="A286" s="77" t="s">
        <v>244</v>
      </c>
      <c r="B286" s="76" t="s">
        <v>3360</v>
      </c>
      <c r="C286" s="80" t="s">
        <v>1096</v>
      </c>
    </row>
    <row r="287" spans="1:3" ht="15">
      <c r="A287" s="77" t="s">
        <v>227</v>
      </c>
      <c r="B287" s="76" t="s">
        <v>3361</v>
      </c>
      <c r="C287" s="80" t="s">
        <v>1038</v>
      </c>
    </row>
    <row r="288" spans="1:3" ht="15">
      <c r="A288" s="77" t="s">
        <v>227</v>
      </c>
      <c r="B288" s="76" t="s">
        <v>228</v>
      </c>
      <c r="C288" s="80" t="s">
        <v>1038</v>
      </c>
    </row>
    <row r="289" spans="1:3" ht="15">
      <c r="A289" s="77" t="s">
        <v>227</v>
      </c>
      <c r="B289" s="76" t="s">
        <v>300</v>
      </c>
      <c r="C289" s="80" t="s">
        <v>1038</v>
      </c>
    </row>
    <row r="290" spans="1:3" ht="15">
      <c r="A290" s="77" t="s">
        <v>227</v>
      </c>
      <c r="B290" s="76" t="s">
        <v>301</v>
      </c>
      <c r="C290" s="80" t="s">
        <v>1038</v>
      </c>
    </row>
    <row r="291" spans="1:3" ht="15">
      <c r="A291" s="77" t="s">
        <v>227</v>
      </c>
      <c r="B291" s="76" t="s">
        <v>255</v>
      </c>
      <c r="C291" s="80" t="s">
        <v>1038</v>
      </c>
    </row>
    <row r="292" spans="1:3" ht="15">
      <c r="A292" s="77" t="s">
        <v>227</v>
      </c>
      <c r="B292" s="76" t="s">
        <v>302</v>
      </c>
      <c r="C292" s="80" t="s">
        <v>1038</v>
      </c>
    </row>
    <row r="293" spans="1:3" ht="15">
      <c r="A293" s="77" t="s">
        <v>234</v>
      </c>
      <c r="B293" s="76" t="s">
        <v>3055</v>
      </c>
      <c r="C293" s="80" t="s">
        <v>1066</v>
      </c>
    </row>
    <row r="294" spans="1:3" ht="15">
      <c r="A294" s="77" t="s">
        <v>234</v>
      </c>
      <c r="B294" s="76" t="s">
        <v>3362</v>
      </c>
      <c r="C294" s="80" t="s">
        <v>1066</v>
      </c>
    </row>
    <row r="295" spans="1:3" ht="15">
      <c r="A295" s="77" t="s">
        <v>234</v>
      </c>
      <c r="B295" s="76" t="s">
        <v>3060</v>
      </c>
      <c r="C295" s="80" t="s">
        <v>1066</v>
      </c>
    </row>
    <row r="296" spans="1:3" ht="15">
      <c r="A296" s="77" t="s">
        <v>234</v>
      </c>
      <c r="B296" s="76" t="s">
        <v>420</v>
      </c>
      <c r="C296" s="80" t="s">
        <v>1066</v>
      </c>
    </row>
    <row r="297" spans="1:3" ht="15">
      <c r="A297" s="77" t="s">
        <v>234</v>
      </c>
      <c r="B297" s="76" t="s">
        <v>228</v>
      </c>
      <c r="C297" s="80" t="s">
        <v>1066</v>
      </c>
    </row>
    <row r="298" spans="1:3" ht="15">
      <c r="A298" s="77" t="s">
        <v>234</v>
      </c>
      <c r="B298" s="76" t="s">
        <v>421</v>
      </c>
      <c r="C298" s="80" t="s">
        <v>1066</v>
      </c>
    </row>
    <row r="299" spans="1:3" ht="15">
      <c r="A299" s="77" t="s">
        <v>234</v>
      </c>
      <c r="B299" s="76" t="s">
        <v>422</v>
      </c>
      <c r="C299" s="80" t="s">
        <v>1066</v>
      </c>
    </row>
    <row r="300" spans="1:3" ht="15">
      <c r="A300" s="77" t="s">
        <v>234</v>
      </c>
      <c r="B300" s="76" t="s">
        <v>235</v>
      </c>
      <c r="C300" s="80" t="s">
        <v>1066</v>
      </c>
    </row>
    <row r="301" spans="1:3" ht="15">
      <c r="A301" s="77" t="s">
        <v>230</v>
      </c>
      <c r="B301" s="76" t="s">
        <v>3170</v>
      </c>
      <c r="C301" s="80" t="s">
        <v>1053</v>
      </c>
    </row>
    <row r="302" spans="1:3" ht="15">
      <c r="A302" s="77" t="s">
        <v>230</v>
      </c>
      <c r="B302" s="76" t="s">
        <v>3363</v>
      </c>
      <c r="C302" s="80" t="s">
        <v>1053</v>
      </c>
    </row>
    <row r="303" spans="1:3" ht="15">
      <c r="A303" s="77" t="s">
        <v>230</v>
      </c>
      <c r="B303" s="76" t="s">
        <v>3364</v>
      </c>
      <c r="C303" s="80" t="s">
        <v>1053</v>
      </c>
    </row>
    <row r="304" spans="1:3" ht="15">
      <c r="A304" s="77" t="s">
        <v>230</v>
      </c>
      <c r="B304" s="76" t="s">
        <v>3148</v>
      </c>
      <c r="C304" s="80" t="s">
        <v>1053</v>
      </c>
    </row>
    <row r="305" spans="1:3" ht="15">
      <c r="A305" s="77" t="s">
        <v>230</v>
      </c>
      <c r="B305" s="76" t="s">
        <v>255</v>
      </c>
      <c r="C305" s="80" t="s">
        <v>1053</v>
      </c>
    </row>
    <row r="306" spans="1:3" ht="15">
      <c r="A306" s="77" t="s">
        <v>230</v>
      </c>
      <c r="B306" s="76" t="s">
        <v>369</v>
      </c>
      <c r="C306" s="80" t="s">
        <v>1053</v>
      </c>
    </row>
    <row r="307" spans="1:3" ht="15">
      <c r="A307" s="77" t="s">
        <v>230</v>
      </c>
      <c r="B307" s="76" t="s">
        <v>370</v>
      </c>
      <c r="C307" s="80" t="s">
        <v>1053</v>
      </c>
    </row>
    <row r="308" spans="1:3" ht="15">
      <c r="A308" s="77" t="s">
        <v>230</v>
      </c>
      <c r="B308" s="76" t="s">
        <v>371</v>
      </c>
      <c r="C308" s="80" t="s">
        <v>1053</v>
      </c>
    </row>
    <row r="309" spans="1:3" ht="15">
      <c r="A309" s="77" t="s">
        <v>230</v>
      </c>
      <c r="B309" s="76" t="s">
        <v>228</v>
      </c>
      <c r="C309" s="80" t="s">
        <v>1053</v>
      </c>
    </row>
    <row r="310" spans="1:3" ht="15">
      <c r="A310" s="77" t="s">
        <v>230</v>
      </c>
      <c r="B310" s="76" t="s">
        <v>372</v>
      </c>
      <c r="C310" s="80" t="s">
        <v>1053</v>
      </c>
    </row>
    <row r="311" spans="1:3" ht="15">
      <c r="A311" s="77" t="s">
        <v>230</v>
      </c>
      <c r="B311" s="76" t="s">
        <v>373</v>
      </c>
      <c r="C311" s="80" t="s">
        <v>1053</v>
      </c>
    </row>
    <row r="312" spans="1:3" ht="15">
      <c r="A312" s="77" t="s">
        <v>230</v>
      </c>
      <c r="B312" s="76" t="s">
        <v>374</v>
      </c>
      <c r="C312" s="80" t="s">
        <v>1053</v>
      </c>
    </row>
    <row r="313" spans="1:3" ht="15">
      <c r="A313" s="77" t="s">
        <v>230</v>
      </c>
      <c r="B313" s="76" t="s">
        <v>375</v>
      </c>
      <c r="C313" s="80" t="s">
        <v>1053</v>
      </c>
    </row>
    <row r="314" spans="1:3" ht="15">
      <c r="A314" s="77" t="s">
        <v>230</v>
      </c>
      <c r="B314" s="76" t="s">
        <v>376</v>
      </c>
      <c r="C314" s="80" t="s">
        <v>1053</v>
      </c>
    </row>
    <row r="315" spans="1:3" ht="15">
      <c r="A315" s="77" t="s">
        <v>230</v>
      </c>
      <c r="B315" s="76" t="s">
        <v>229</v>
      </c>
      <c r="C315" s="80" t="s">
        <v>1053</v>
      </c>
    </row>
    <row r="316" spans="1:3" ht="15">
      <c r="A316" s="77" t="s">
        <v>257</v>
      </c>
      <c r="B316" s="76" t="s">
        <v>526</v>
      </c>
      <c r="C316" s="80" t="s">
        <v>1129</v>
      </c>
    </row>
    <row r="317" spans="1:3" ht="15">
      <c r="A317" s="77" t="s">
        <v>257</v>
      </c>
      <c r="B317" s="76" t="s">
        <v>527</v>
      </c>
      <c r="C317" s="80" t="s">
        <v>1129</v>
      </c>
    </row>
    <row r="318" spans="1:3" ht="15">
      <c r="A318" s="77" t="s">
        <v>257</v>
      </c>
      <c r="B318" s="76" t="s">
        <v>228</v>
      </c>
      <c r="C318" s="80" t="s">
        <v>1129</v>
      </c>
    </row>
    <row r="319" spans="1:3" ht="15">
      <c r="A319" s="77" t="s">
        <v>257</v>
      </c>
      <c r="B319" s="76" t="s">
        <v>528</v>
      </c>
      <c r="C319" s="80" t="s">
        <v>1129</v>
      </c>
    </row>
    <row r="320" spans="1:3" ht="15">
      <c r="A320" s="77" t="s">
        <v>257</v>
      </c>
      <c r="B320" s="76" t="s">
        <v>529</v>
      </c>
      <c r="C320" s="80" t="s">
        <v>1129</v>
      </c>
    </row>
    <row r="321" spans="1:3" ht="15">
      <c r="A321" s="77" t="s">
        <v>257</v>
      </c>
      <c r="B321" s="76" t="s">
        <v>530</v>
      </c>
      <c r="C321" s="80" t="s">
        <v>1129</v>
      </c>
    </row>
    <row r="322" spans="1:3" ht="15">
      <c r="A322" s="77" t="s">
        <v>257</v>
      </c>
      <c r="B322" s="76" t="s">
        <v>531</v>
      </c>
      <c r="C322" s="80" t="s">
        <v>1129</v>
      </c>
    </row>
    <row r="323" spans="1:3" ht="15">
      <c r="A323" s="77" t="s">
        <v>257</v>
      </c>
      <c r="B323" s="76" t="s">
        <v>532</v>
      </c>
      <c r="C323" s="80" t="s">
        <v>1129</v>
      </c>
    </row>
    <row r="324" spans="1:3" ht="15">
      <c r="A324" s="77" t="s">
        <v>257</v>
      </c>
      <c r="B324" s="76" t="s">
        <v>533</v>
      </c>
      <c r="C324" s="80" t="s">
        <v>1129</v>
      </c>
    </row>
    <row r="325" spans="1:3" ht="15">
      <c r="A325" s="77" t="s">
        <v>257</v>
      </c>
      <c r="B325" s="76" t="s">
        <v>534</v>
      </c>
      <c r="C325" s="80" t="s">
        <v>1129</v>
      </c>
    </row>
    <row r="326" spans="1:3" ht="15">
      <c r="A326" s="77" t="s">
        <v>257</v>
      </c>
      <c r="B326" s="76" t="s">
        <v>535</v>
      </c>
      <c r="C326" s="80" t="s">
        <v>1129</v>
      </c>
    </row>
    <row r="327" spans="1:3" ht="15">
      <c r="A327" s="77" t="s">
        <v>257</v>
      </c>
      <c r="B327" s="76" t="s">
        <v>536</v>
      </c>
      <c r="C327" s="80" t="s">
        <v>1129</v>
      </c>
    </row>
    <row r="328" spans="1:3" ht="15">
      <c r="A328" s="77" t="s">
        <v>257</v>
      </c>
      <c r="B328" s="76" t="s">
        <v>537</v>
      </c>
      <c r="C328" s="80" t="s">
        <v>1129</v>
      </c>
    </row>
    <row r="329" spans="1:3" ht="15">
      <c r="A329" s="77" t="s">
        <v>257</v>
      </c>
      <c r="B329" s="76" t="s">
        <v>538</v>
      </c>
      <c r="C329" s="80" t="s">
        <v>1129</v>
      </c>
    </row>
    <row r="330" spans="1:3" ht="15">
      <c r="A330" s="77" t="s">
        <v>257</v>
      </c>
      <c r="B330" s="76" t="s">
        <v>3365</v>
      </c>
      <c r="C330" s="80" t="s">
        <v>1129</v>
      </c>
    </row>
    <row r="331" spans="1:3" ht="15">
      <c r="A331" s="77" t="s">
        <v>257</v>
      </c>
      <c r="B331" s="76" t="s">
        <v>724</v>
      </c>
      <c r="C331" s="80" t="s">
        <v>1129</v>
      </c>
    </row>
    <row r="332" spans="1:3" ht="15">
      <c r="A332" s="77" t="s">
        <v>257</v>
      </c>
      <c r="B332" s="76" t="s">
        <v>3366</v>
      </c>
      <c r="C332" s="80" t="s">
        <v>1129</v>
      </c>
    </row>
    <row r="333" spans="1:3" ht="15">
      <c r="A333" s="77" t="s">
        <v>257</v>
      </c>
      <c r="B333" s="76" t="s">
        <v>3367</v>
      </c>
      <c r="C333" s="80" t="s">
        <v>1129</v>
      </c>
    </row>
    <row r="334" spans="1:3" ht="15">
      <c r="A334" s="77" t="s">
        <v>257</v>
      </c>
      <c r="B334" s="76" t="s">
        <v>3368</v>
      </c>
      <c r="C334" s="80" t="s">
        <v>1129</v>
      </c>
    </row>
    <row r="335" spans="1:3" ht="15">
      <c r="A335" s="77" t="s">
        <v>257</v>
      </c>
      <c r="B335" s="76" t="s">
        <v>3369</v>
      </c>
      <c r="C335" s="80" t="s">
        <v>1129</v>
      </c>
    </row>
    <row r="336" spans="1:3" ht="15">
      <c r="A336" s="77" t="s">
        <v>260</v>
      </c>
      <c r="B336" s="76" t="s">
        <v>3082</v>
      </c>
      <c r="C336" s="80" t="s">
        <v>1144</v>
      </c>
    </row>
    <row r="337" spans="1:3" ht="15">
      <c r="A337" s="77" t="s">
        <v>260</v>
      </c>
      <c r="B337" s="76" t="s">
        <v>3085</v>
      </c>
      <c r="C337" s="80" t="s">
        <v>1144</v>
      </c>
    </row>
    <row r="338" spans="1:3" ht="15">
      <c r="A338" s="77" t="s">
        <v>260</v>
      </c>
      <c r="B338" s="76" t="s">
        <v>3060</v>
      </c>
      <c r="C338" s="80" t="s">
        <v>1144</v>
      </c>
    </row>
    <row r="339" spans="1:3" ht="15">
      <c r="A339" s="77" t="s">
        <v>260</v>
      </c>
      <c r="B339" s="76" t="s">
        <v>492</v>
      </c>
      <c r="C339" s="80" t="s">
        <v>1144</v>
      </c>
    </row>
    <row r="340" spans="1:3" ht="15">
      <c r="A340" s="77" t="s">
        <v>260</v>
      </c>
      <c r="B340" s="76" t="s">
        <v>261</v>
      </c>
      <c r="C340" s="80" t="s">
        <v>1144</v>
      </c>
    </row>
    <row r="341" spans="1:3" ht="15">
      <c r="A341" s="77" t="s">
        <v>260</v>
      </c>
      <c r="B341" s="76" t="s">
        <v>262</v>
      </c>
      <c r="C341" s="80" t="s">
        <v>1144</v>
      </c>
    </row>
    <row r="342" spans="1:3" ht="15">
      <c r="A342" s="77" t="s">
        <v>260</v>
      </c>
      <c r="B342" s="76" t="s">
        <v>493</v>
      </c>
      <c r="C342" s="80" t="s">
        <v>1144</v>
      </c>
    </row>
    <row r="343" spans="1:3" ht="15">
      <c r="A343" s="77" t="s">
        <v>260</v>
      </c>
      <c r="B343" s="76" t="s">
        <v>494</v>
      </c>
      <c r="C343" s="80" t="s">
        <v>1144</v>
      </c>
    </row>
    <row r="344" spans="1:3" ht="15">
      <c r="A344" s="77" t="s">
        <v>260</v>
      </c>
      <c r="B344" s="76" t="s">
        <v>228</v>
      </c>
      <c r="C344" s="80" t="s">
        <v>1144</v>
      </c>
    </row>
    <row r="345" spans="1:3" ht="15">
      <c r="A345" s="77" t="s">
        <v>260</v>
      </c>
      <c r="B345" s="76" t="s">
        <v>495</v>
      </c>
      <c r="C345" s="80" t="s">
        <v>1144</v>
      </c>
    </row>
    <row r="346" spans="1:3" ht="15">
      <c r="A346" s="77" t="s">
        <v>260</v>
      </c>
      <c r="B346" s="76" t="s">
        <v>496</v>
      </c>
      <c r="C346" s="80" t="s">
        <v>1144</v>
      </c>
    </row>
    <row r="347" spans="1:3" ht="15">
      <c r="A347" s="77" t="s">
        <v>260</v>
      </c>
      <c r="B347" s="76" t="s">
        <v>497</v>
      </c>
      <c r="C347" s="80" t="s">
        <v>1144</v>
      </c>
    </row>
    <row r="348" spans="1:3" ht="15">
      <c r="A348" s="77" t="s">
        <v>260</v>
      </c>
      <c r="B348" s="76" t="s">
        <v>498</v>
      </c>
      <c r="C348" s="80" t="s">
        <v>1144</v>
      </c>
    </row>
    <row r="349" spans="1:3" ht="15">
      <c r="A349" s="77" t="s">
        <v>260</v>
      </c>
      <c r="B349" s="76" t="s">
        <v>499</v>
      </c>
      <c r="C349" s="80" t="s">
        <v>1144</v>
      </c>
    </row>
    <row r="350" spans="1:3" ht="15">
      <c r="A350" s="77" t="s">
        <v>260</v>
      </c>
      <c r="B350" s="76" t="s">
        <v>500</v>
      </c>
      <c r="C350" s="80" t="s">
        <v>1144</v>
      </c>
    </row>
    <row r="351" spans="1:3" ht="15">
      <c r="A351" s="77" t="s">
        <v>260</v>
      </c>
      <c r="B351" s="76" t="s">
        <v>501</v>
      </c>
      <c r="C351" s="80" t="s">
        <v>1144</v>
      </c>
    </row>
    <row r="352" spans="1:3" ht="15">
      <c r="A352" s="77" t="s">
        <v>260</v>
      </c>
      <c r="B352" s="76" t="s">
        <v>259</v>
      </c>
      <c r="C352" s="80" t="s">
        <v>1144</v>
      </c>
    </row>
    <row r="353" spans="1:3" ht="15">
      <c r="A353" s="77" t="s">
        <v>227</v>
      </c>
      <c r="B353" s="76" t="s">
        <v>3370</v>
      </c>
      <c r="C353" s="80" t="s">
        <v>1040</v>
      </c>
    </row>
    <row r="354" spans="1:3" ht="15">
      <c r="A354" s="77" t="s">
        <v>227</v>
      </c>
      <c r="B354" s="76" t="s">
        <v>3371</v>
      </c>
      <c r="C354" s="80" t="s">
        <v>1040</v>
      </c>
    </row>
    <row r="355" spans="1:3" ht="15">
      <c r="A355" s="77" t="s">
        <v>227</v>
      </c>
      <c r="B355" s="76" t="s">
        <v>3215</v>
      </c>
      <c r="C355" s="80" t="s">
        <v>1040</v>
      </c>
    </row>
    <row r="356" spans="1:3" ht="15">
      <c r="A356" s="77" t="s">
        <v>227</v>
      </c>
      <c r="B356" s="76" t="s">
        <v>3162</v>
      </c>
      <c r="C356" s="80" t="s">
        <v>1040</v>
      </c>
    </row>
    <row r="357" spans="1:3" ht="15">
      <c r="A357" s="77" t="s">
        <v>227</v>
      </c>
      <c r="B357" s="76" t="s">
        <v>3372</v>
      </c>
      <c r="C357" s="80" t="s">
        <v>1040</v>
      </c>
    </row>
    <row r="358" spans="1:3" ht="15">
      <c r="A358" s="77" t="s">
        <v>227</v>
      </c>
      <c r="B358" s="76" t="s">
        <v>3373</v>
      </c>
      <c r="C358" s="80" t="s">
        <v>1040</v>
      </c>
    </row>
    <row r="359" spans="1:3" ht="15">
      <c r="A359" s="77" t="s">
        <v>244</v>
      </c>
      <c r="B359" s="76" t="s">
        <v>3056</v>
      </c>
      <c r="C359" s="80" t="s">
        <v>1092</v>
      </c>
    </row>
    <row r="360" spans="1:3" ht="15">
      <c r="A360" s="77" t="s">
        <v>244</v>
      </c>
      <c r="B360" s="76" t="s">
        <v>3054</v>
      </c>
      <c r="C360" s="80" t="s">
        <v>1092</v>
      </c>
    </row>
    <row r="361" spans="1:3" ht="15">
      <c r="A361" s="77" t="s">
        <v>244</v>
      </c>
      <c r="B361" s="76" t="s">
        <v>228</v>
      </c>
      <c r="C361" s="80" t="s">
        <v>1092</v>
      </c>
    </row>
    <row r="362" spans="1:3" ht="15">
      <c r="A362" s="77" t="s">
        <v>244</v>
      </c>
      <c r="B362" s="76" t="s">
        <v>3374</v>
      </c>
      <c r="C362" s="80" t="s">
        <v>1092</v>
      </c>
    </row>
    <row r="363" spans="1:3" ht="15">
      <c r="A363" s="77" t="s">
        <v>244</v>
      </c>
      <c r="B363" s="76" t="s">
        <v>3182</v>
      </c>
      <c r="C363" s="80" t="s">
        <v>1092</v>
      </c>
    </row>
    <row r="364" spans="1:3" ht="15">
      <c r="A364" s="77" t="s">
        <v>244</v>
      </c>
      <c r="B364" s="76" t="s">
        <v>3175</v>
      </c>
      <c r="C364" s="80" t="s">
        <v>1092</v>
      </c>
    </row>
    <row r="365" spans="1:3" ht="15">
      <c r="A365" s="77" t="s">
        <v>244</v>
      </c>
      <c r="B365" s="76" t="s">
        <v>3375</v>
      </c>
      <c r="C365" s="80" t="s">
        <v>1092</v>
      </c>
    </row>
    <row r="366" spans="1:3" ht="15">
      <c r="A366" s="77" t="s">
        <v>244</v>
      </c>
      <c r="B366" s="76" t="s">
        <v>3174</v>
      </c>
      <c r="C366" s="80" t="s">
        <v>1092</v>
      </c>
    </row>
    <row r="367" spans="1:3" ht="15">
      <c r="A367" s="77" t="s">
        <v>244</v>
      </c>
      <c r="B367" s="76" t="s">
        <v>3376</v>
      </c>
      <c r="C367" s="80" t="s">
        <v>1092</v>
      </c>
    </row>
    <row r="368" spans="1:3" ht="15">
      <c r="A368" s="77" t="s">
        <v>244</v>
      </c>
      <c r="B368" s="76" t="s">
        <v>3377</v>
      </c>
      <c r="C368" s="80" t="s">
        <v>1092</v>
      </c>
    </row>
    <row r="369" spans="1:3" ht="15">
      <c r="A369" s="77" t="s">
        <v>244</v>
      </c>
      <c r="B369" s="76" t="s">
        <v>3378</v>
      </c>
      <c r="C369" s="80" t="s">
        <v>1092</v>
      </c>
    </row>
    <row r="370" spans="1:3" ht="15">
      <c r="A370" s="77" t="s">
        <v>244</v>
      </c>
      <c r="B370" s="76" t="s">
        <v>3379</v>
      </c>
      <c r="C370" s="80" t="s">
        <v>1092</v>
      </c>
    </row>
    <row r="371" spans="1:3" ht="15">
      <c r="A371" s="77" t="s">
        <v>244</v>
      </c>
      <c r="B371" s="76" t="s">
        <v>3126</v>
      </c>
      <c r="C371" s="80" t="s">
        <v>1092</v>
      </c>
    </row>
    <row r="372" spans="1:3" ht="15">
      <c r="A372" s="77" t="s">
        <v>244</v>
      </c>
      <c r="B372" s="76" t="s">
        <v>3116</v>
      </c>
      <c r="C372" s="80" t="s">
        <v>1092</v>
      </c>
    </row>
    <row r="373" spans="1:3" ht="15">
      <c r="A373" s="77" t="s">
        <v>244</v>
      </c>
      <c r="B373" s="76" t="s">
        <v>3188</v>
      </c>
      <c r="C373" s="80" t="s">
        <v>1092</v>
      </c>
    </row>
    <row r="374" spans="1:3" ht="15">
      <c r="A374" s="77" t="s">
        <v>244</v>
      </c>
      <c r="B374" s="76" t="s">
        <v>3380</v>
      </c>
      <c r="C374" s="80" t="s">
        <v>1092</v>
      </c>
    </row>
    <row r="375" spans="1:3" ht="15">
      <c r="A375" s="77" t="s">
        <v>244</v>
      </c>
      <c r="B375" s="76" t="s">
        <v>3123</v>
      </c>
      <c r="C375" s="80" t="s">
        <v>1092</v>
      </c>
    </row>
    <row r="376" spans="1:3" ht="15">
      <c r="A376" s="77" t="s">
        <v>224</v>
      </c>
      <c r="B376" s="76" t="s">
        <v>667</v>
      </c>
      <c r="C376" s="80" t="s">
        <v>1028</v>
      </c>
    </row>
    <row r="377" spans="1:3" ht="15">
      <c r="A377" s="77" t="s">
        <v>224</v>
      </c>
      <c r="B377" s="76" t="s">
        <v>3381</v>
      </c>
      <c r="C377" s="80" t="s">
        <v>1028</v>
      </c>
    </row>
    <row r="378" spans="1:3" ht="15">
      <c r="A378" s="77" t="s">
        <v>224</v>
      </c>
      <c r="B378" s="76" t="s">
        <v>3066</v>
      </c>
      <c r="C378" s="80" t="s">
        <v>1028</v>
      </c>
    </row>
    <row r="379" spans="1:3" ht="15">
      <c r="A379" s="77" t="s">
        <v>224</v>
      </c>
      <c r="B379" s="76" t="s">
        <v>3382</v>
      </c>
      <c r="C379" s="80" t="s">
        <v>1028</v>
      </c>
    </row>
    <row r="380" spans="1:3" ht="15">
      <c r="A380" s="77" t="s">
        <v>224</v>
      </c>
      <c r="B380" s="76" t="s">
        <v>3383</v>
      </c>
      <c r="C380" s="80" t="s">
        <v>1028</v>
      </c>
    </row>
    <row r="381" spans="1:3" ht="15">
      <c r="A381" s="77" t="s">
        <v>224</v>
      </c>
      <c r="B381" s="76" t="s">
        <v>3384</v>
      </c>
      <c r="C381" s="80" t="s">
        <v>1028</v>
      </c>
    </row>
    <row r="382" spans="1:3" ht="15">
      <c r="A382" s="77" t="s">
        <v>224</v>
      </c>
      <c r="B382" s="76" t="s">
        <v>3385</v>
      </c>
      <c r="C382" s="80" t="s">
        <v>1028</v>
      </c>
    </row>
    <row r="383" spans="1:3" ht="15">
      <c r="A383" s="77" t="s">
        <v>224</v>
      </c>
      <c r="B383" s="76" t="s">
        <v>3386</v>
      </c>
      <c r="C383" s="80" t="s">
        <v>1028</v>
      </c>
    </row>
    <row r="384" spans="1:3" ht="15">
      <c r="A384" s="77" t="s">
        <v>224</v>
      </c>
      <c r="B384" s="76" t="s">
        <v>3387</v>
      </c>
      <c r="C384" s="80" t="s">
        <v>1028</v>
      </c>
    </row>
    <row r="385" spans="1:3" ht="15">
      <c r="A385" s="77" t="s">
        <v>224</v>
      </c>
      <c r="B385" s="76" t="s">
        <v>3144</v>
      </c>
      <c r="C385" s="80" t="s">
        <v>1028</v>
      </c>
    </row>
    <row r="386" spans="1:3" ht="15">
      <c r="A386" s="77" t="s">
        <v>224</v>
      </c>
      <c r="B386" s="76" t="s">
        <v>3388</v>
      </c>
      <c r="C386" s="80" t="s">
        <v>1028</v>
      </c>
    </row>
    <row r="387" spans="1:3" ht="15">
      <c r="A387" s="77" t="s">
        <v>224</v>
      </c>
      <c r="B387" s="76" t="s">
        <v>3389</v>
      </c>
      <c r="C387" s="80" t="s">
        <v>1028</v>
      </c>
    </row>
    <row r="388" spans="1:3" ht="15">
      <c r="A388" s="77" t="s">
        <v>224</v>
      </c>
      <c r="B388" s="76" t="s">
        <v>228</v>
      </c>
      <c r="C388" s="80" t="s">
        <v>1028</v>
      </c>
    </row>
    <row r="389" spans="1:3" ht="15">
      <c r="A389" s="77" t="s">
        <v>224</v>
      </c>
      <c r="B389" s="76" t="s">
        <v>3104</v>
      </c>
      <c r="C389" s="80" t="s">
        <v>1028</v>
      </c>
    </row>
    <row r="390" spans="1:3" ht="15">
      <c r="A390" s="77" t="s">
        <v>224</v>
      </c>
      <c r="B390" s="76" t="s">
        <v>3390</v>
      </c>
      <c r="C390" s="80" t="s">
        <v>1028</v>
      </c>
    </row>
    <row r="391" spans="1:3" ht="15">
      <c r="A391" s="77" t="s">
        <v>224</v>
      </c>
      <c r="B391" s="76" t="s">
        <v>3072</v>
      </c>
      <c r="C391" s="80" t="s">
        <v>1028</v>
      </c>
    </row>
    <row r="392" spans="1:3" ht="15">
      <c r="A392" s="77" t="s">
        <v>224</v>
      </c>
      <c r="B392" s="76" t="s">
        <v>3391</v>
      </c>
      <c r="C392" s="80" t="s">
        <v>1028</v>
      </c>
    </row>
    <row r="393" spans="1:3" ht="15">
      <c r="A393" s="77" t="s">
        <v>224</v>
      </c>
      <c r="B393" s="76" t="s">
        <v>3392</v>
      </c>
      <c r="C393" s="80" t="s">
        <v>1028</v>
      </c>
    </row>
    <row r="394" spans="1:3" ht="15">
      <c r="A394" s="77" t="s">
        <v>224</v>
      </c>
      <c r="B394" s="76" t="s">
        <v>3198</v>
      </c>
      <c r="C394" s="80" t="s">
        <v>1028</v>
      </c>
    </row>
    <row r="395" spans="1:3" ht="15">
      <c r="A395" s="77" t="s">
        <v>257</v>
      </c>
      <c r="B395" s="76" t="s">
        <v>532</v>
      </c>
      <c r="C395" s="80" t="s">
        <v>1133</v>
      </c>
    </row>
    <row r="396" spans="1:3" ht="15">
      <c r="A396" s="77" t="s">
        <v>257</v>
      </c>
      <c r="B396" s="76" t="s">
        <v>228</v>
      </c>
      <c r="C396" s="80" t="s">
        <v>1133</v>
      </c>
    </row>
    <row r="397" spans="1:3" ht="15">
      <c r="A397" s="77" t="s">
        <v>257</v>
      </c>
      <c r="B397" s="76" t="s">
        <v>529</v>
      </c>
      <c r="C397" s="80" t="s">
        <v>1133</v>
      </c>
    </row>
    <row r="398" spans="1:3" ht="15">
      <c r="A398" s="77" t="s">
        <v>257</v>
      </c>
      <c r="B398" s="76" t="s">
        <v>533</v>
      </c>
      <c r="C398" s="80" t="s">
        <v>1133</v>
      </c>
    </row>
    <row r="399" spans="1:3" ht="15">
      <c r="A399" s="77" t="s">
        <v>257</v>
      </c>
      <c r="B399" s="76" t="s">
        <v>535</v>
      </c>
      <c r="C399" s="80" t="s">
        <v>1133</v>
      </c>
    </row>
    <row r="400" spans="1:3" ht="15">
      <c r="A400" s="77" t="s">
        <v>257</v>
      </c>
      <c r="B400" s="76" t="s">
        <v>538</v>
      </c>
      <c r="C400" s="80" t="s">
        <v>1133</v>
      </c>
    </row>
    <row r="401" spans="1:3" ht="15">
      <c r="A401" s="77" t="s">
        <v>257</v>
      </c>
      <c r="B401" s="76" t="s">
        <v>258</v>
      </c>
      <c r="C401" s="80" t="s">
        <v>1133</v>
      </c>
    </row>
    <row r="402" spans="1:3" ht="15">
      <c r="A402" s="77" t="s">
        <v>257</v>
      </c>
      <c r="B402" s="76" t="s">
        <v>3393</v>
      </c>
      <c r="C402" s="80" t="s">
        <v>1133</v>
      </c>
    </row>
    <row r="403" spans="1:3" ht="15">
      <c r="A403" s="77" t="s">
        <v>257</v>
      </c>
      <c r="B403" s="76" t="s">
        <v>3394</v>
      </c>
      <c r="C403" s="80" t="s">
        <v>1133</v>
      </c>
    </row>
    <row r="404" spans="1:3" ht="15">
      <c r="A404" s="77" t="s">
        <v>257</v>
      </c>
      <c r="B404" s="76" t="s">
        <v>3395</v>
      </c>
      <c r="C404" s="80" t="s">
        <v>1133</v>
      </c>
    </row>
    <row r="405" spans="1:3" ht="15">
      <c r="A405" s="77" t="s">
        <v>257</v>
      </c>
      <c r="B405" s="76" t="s">
        <v>3396</v>
      </c>
      <c r="C405" s="80" t="s">
        <v>1133</v>
      </c>
    </row>
    <row r="406" spans="1:3" ht="15">
      <c r="A406" s="77" t="s">
        <v>257</v>
      </c>
      <c r="B406" s="76" t="s">
        <v>3397</v>
      </c>
      <c r="C406" s="80" t="s">
        <v>1133</v>
      </c>
    </row>
    <row r="407" spans="1:3" ht="15">
      <c r="A407" s="77" t="s">
        <v>257</v>
      </c>
      <c r="B407" s="76" t="s">
        <v>3398</v>
      </c>
      <c r="C407" s="80" t="s">
        <v>1133</v>
      </c>
    </row>
    <row r="408" spans="1:3" ht="15">
      <c r="A408" s="77" t="s">
        <v>257</v>
      </c>
      <c r="B408" s="76" t="s">
        <v>3399</v>
      </c>
      <c r="C408" s="80" t="s">
        <v>1133</v>
      </c>
    </row>
    <row r="409" spans="1:3" ht="15">
      <c r="A409" s="77" t="s">
        <v>257</v>
      </c>
      <c r="B409" s="76" t="s">
        <v>3072</v>
      </c>
      <c r="C409" s="80" t="s">
        <v>1133</v>
      </c>
    </row>
    <row r="410" spans="1:3" ht="15">
      <c r="A410" s="77" t="s">
        <v>257</v>
      </c>
      <c r="B410" s="76" t="s">
        <v>3400</v>
      </c>
      <c r="C410" s="80" t="s">
        <v>1133</v>
      </c>
    </row>
    <row r="411" spans="1:3" ht="15">
      <c r="A411" s="77" t="s">
        <v>257</v>
      </c>
      <c r="B411" s="76" t="s">
        <v>3401</v>
      </c>
      <c r="C411" s="80" t="s">
        <v>1133</v>
      </c>
    </row>
    <row r="412" spans="1:3" ht="15">
      <c r="A412" s="77" t="s">
        <v>257</v>
      </c>
      <c r="B412" s="76" t="s">
        <v>3402</v>
      </c>
      <c r="C412" s="80" t="s">
        <v>1133</v>
      </c>
    </row>
    <row r="413" spans="1:3" ht="15">
      <c r="A413" s="77" t="s">
        <v>257</v>
      </c>
      <c r="B413" s="76" t="s">
        <v>724</v>
      </c>
      <c r="C413" s="80" t="s">
        <v>1133</v>
      </c>
    </row>
    <row r="414" spans="1:3" ht="15">
      <c r="A414" s="77" t="s">
        <v>251</v>
      </c>
      <c r="B414" s="76" t="s">
        <v>3403</v>
      </c>
      <c r="C414" s="80" t="s">
        <v>1115</v>
      </c>
    </row>
    <row r="415" spans="1:3" ht="15">
      <c r="A415" s="77" t="s">
        <v>251</v>
      </c>
      <c r="B415" s="76" t="s">
        <v>3404</v>
      </c>
      <c r="C415" s="80" t="s">
        <v>1115</v>
      </c>
    </row>
    <row r="416" spans="1:3" ht="15">
      <c r="A416" s="77" t="s">
        <v>251</v>
      </c>
      <c r="B416" s="76" t="s">
        <v>3405</v>
      </c>
      <c r="C416" s="80" t="s">
        <v>1115</v>
      </c>
    </row>
    <row r="417" spans="1:3" ht="15">
      <c r="A417" s="77" t="s">
        <v>251</v>
      </c>
      <c r="B417" s="76" t="s">
        <v>3406</v>
      </c>
      <c r="C417" s="80" t="s">
        <v>1115</v>
      </c>
    </row>
    <row r="418" spans="1:3" ht="15">
      <c r="A418" s="77" t="s">
        <v>251</v>
      </c>
      <c r="B418" s="76" t="s">
        <v>3407</v>
      </c>
      <c r="C418" s="80" t="s">
        <v>1115</v>
      </c>
    </row>
    <row r="419" spans="1:3" ht="15">
      <c r="A419" s="77" t="s">
        <v>251</v>
      </c>
      <c r="B419" s="76" t="s">
        <v>3408</v>
      </c>
      <c r="C419" s="80" t="s">
        <v>1115</v>
      </c>
    </row>
    <row r="420" spans="1:3" ht="15">
      <c r="A420" s="77" t="s">
        <v>251</v>
      </c>
      <c r="B420" s="76" t="s">
        <v>3409</v>
      </c>
      <c r="C420" s="80" t="s">
        <v>1115</v>
      </c>
    </row>
    <row r="421" spans="1:3" ht="15">
      <c r="A421" s="77" t="s">
        <v>251</v>
      </c>
      <c r="B421" s="76" t="s">
        <v>3410</v>
      </c>
      <c r="C421" s="80" t="s">
        <v>1115</v>
      </c>
    </row>
    <row r="422" spans="1:3" ht="15">
      <c r="A422" s="77" t="s">
        <v>251</v>
      </c>
      <c r="B422" s="76" t="s">
        <v>3411</v>
      </c>
      <c r="C422" s="80" t="s">
        <v>1115</v>
      </c>
    </row>
    <row r="423" spans="1:3" ht="15">
      <c r="A423" s="77" t="s">
        <v>251</v>
      </c>
      <c r="B423" s="76" t="s">
        <v>3068</v>
      </c>
      <c r="C423" s="80" t="s">
        <v>1115</v>
      </c>
    </row>
    <row r="424" spans="1:3" ht="15">
      <c r="A424" s="77" t="s">
        <v>251</v>
      </c>
      <c r="B424" s="76" t="s">
        <v>3412</v>
      </c>
      <c r="C424" s="80" t="s">
        <v>1115</v>
      </c>
    </row>
    <row r="425" spans="1:3" ht="15">
      <c r="A425" s="77" t="s">
        <v>251</v>
      </c>
      <c r="B425" s="76" t="s">
        <v>3413</v>
      </c>
      <c r="C425" s="80" t="s">
        <v>1115</v>
      </c>
    </row>
    <row r="426" spans="1:3" ht="15">
      <c r="A426" s="77" t="s">
        <v>251</v>
      </c>
      <c r="B426" s="76" t="s">
        <v>3192</v>
      </c>
      <c r="C426" s="80" t="s">
        <v>1115</v>
      </c>
    </row>
    <row r="427" spans="1:3" ht="15">
      <c r="A427" s="77" t="s">
        <v>251</v>
      </c>
      <c r="B427" s="76" t="s">
        <v>3414</v>
      </c>
      <c r="C427" s="80" t="s">
        <v>1115</v>
      </c>
    </row>
    <row r="428" spans="1:3" ht="15">
      <c r="A428" s="77" t="s">
        <v>251</v>
      </c>
      <c r="B428" s="76" t="s">
        <v>3415</v>
      </c>
      <c r="C428" s="80" t="s">
        <v>1115</v>
      </c>
    </row>
    <row r="429" spans="1:3" ht="15">
      <c r="A429" s="77" t="s">
        <v>251</v>
      </c>
      <c r="B429" s="76" t="s">
        <v>3416</v>
      </c>
      <c r="C429" s="80" t="s">
        <v>1115</v>
      </c>
    </row>
    <row r="430" spans="1:3" ht="15">
      <c r="A430" s="77" t="s">
        <v>251</v>
      </c>
      <c r="B430" s="76" t="s">
        <v>3417</v>
      </c>
      <c r="C430" s="80" t="s">
        <v>1115</v>
      </c>
    </row>
    <row r="431" spans="1:3" ht="15">
      <c r="A431" s="77" t="s">
        <v>251</v>
      </c>
      <c r="B431" s="76" t="s">
        <v>3052</v>
      </c>
      <c r="C431" s="80" t="s">
        <v>1115</v>
      </c>
    </row>
    <row r="432" spans="1:3" ht="15">
      <c r="A432" s="77" t="s">
        <v>251</v>
      </c>
      <c r="B432" s="76" t="s">
        <v>3418</v>
      </c>
      <c r="C432" s="80" t="s">
        <v>1115</v>
      </c>
    </row>
    <row r="433" spans="1:3" ht="15">
      <c r="A433" s="77" t="s">
        <v>251</v>
      </c>
      <c r="B433" s="76" t="s">
        <v>3210</v>
      </c>
      <c r="C433" s="80" t="s">
        <v>1115</v>
      </c>
    </row>
    <row r="434" spans="1:3" ht="15">
      <c r="A434" s="77" t="s">
        <v>251</v>
      </c>
      <c r="B434" s="76" t="s">
        <v>3419</v>
      </c>
      <c r="C434" s="80" t="s">
        <v>1115</v>
      </c>
    </row>
    <row r="435" spans="1:3" ht="15">
      <c r="A435" s="77" t="s">
        <v>251</v>
      </c>
      <c r="B435" s="76" t="s">
        <v>3195</v>
      </c>
      <c r="C435" s="80" t="s">
        <v>1115</v>
      </c>
    </row>
    <row r="436" spans="1:3" ht="15">
      <c r="A436" s="77" t="s">
        <v>251</v>
      </c>
      <c r="B436" s="76" t="s">
        <v>3199</v>
      </c>
      <c r="C436" s="80" t="s">
        <v>1115</v>
      </c>
    </row>
    <row r="437" spans="1:3" ht="15">
      <c r="A437" s="77" t="s">
        <v>251</v>
      </c>
      <c r="B437" s="76" t="s">
        <v>3420</v>
      </c>
      <c r="C437" s="80" t="s">
        <v>1115</v>
      </c>
    </row>
    <row r="438" spans="1:3" ht="15">
      <c r="A438" s="77" t="s">
        <v>251</v>
      </c>
      <c r="B438" s="76" t="s">
        <v>3421</v>
      </c>
      <c r="C438" s="80" t="s">
        <v>1115</v>
      </c>
    </row>
    <row r="439" spans="1:3" ht="15">
      <c r="A439" s="77" t="s">
        <v>251</v>
      </c>
      <c r="B439" s="76" t="s">
        <v>228</v>
      </c>
      <c r="C439" s="80" t="s">
        <v>1115</v>
      </c>
    </row>
    <row r="440" spans="1:3" ht="15">
      <c r="A440" s="77" t="s">
        <v>251</v>
      </c>
      <c r="B440" s="76" t="s">
        <v>3106</v>
      </c>
      <c r="C440" s="80" t="s">
        <v>1115</v>
      </c>
    </row>
    <row r="441" spans="1:3" ht="15">
      <c r="A441" s="77" t="s">
        <v>251</v>
      </c>
      <c r="B441" s="76" t="s">
        <v>3422</v>
      </c>
      <c r="C441" s="80" t="s">
        <v>1115</v>
      </c>
    </row>
    <row r="442" spans="1:3" ht="15">
      <c r="A442" s="77" t="s">
        <v>251</v>
      </c>
      <c r="B442" s="76" t="s">
        <v>3088</v>
      </c>
      <c r="C442" s="80" t="s">
        <v>1115</v>
      </c>
    </row>
    <row r="443" spans="1:3" ht="15">
      <c r="A443" s="77" t="s">
        <v>251</v>
      </c>
      <c r="B443" s="76" t="s">
        <v>3146</v>
      </c>
      <c r="C443" s="80" t="s">
        <v>1115</v>
      </c>
    </row>
    <row r="444" spans="1:3" ht="15">
      <c r="A444" s="77" t="s">
        <v>235</v>
      </c>
      <c r="B444" s="76" t="s">
        <v>3423</v>
      </c>
      <c r="C444" s="80" t="s">
        <v>1077</v>
      </c>
    </row>
    <row r="445" spans="1:3" ht="15">
      <c r="A445" s="77" t="s">
        <v>235</v>
      </c>
      <c r="B445" s="76" t="s">
        <v>3198</v>
      </c>
      <c r="C445" s="80" t="s">
        <v>1077</v>
      </c>
    </row>
    <row r="446" spans="1:3" ht="15">
      <c r="A446" s="77" t="s">
        <v>235</v>
      </c>
      <c r="B446" s="76" t="s">
        <v>3055</v>
      </c>
      <c r="C446" s="80" t="s">
        <v>1077</v>
      </c>
    </row>
    <row r="447" spans="1:3" ht="15">
      <c r="A447" s="77" t="s">
        <v>235</v>
      </c>
      <c r="B447" s="76" t="s">
        <v>278</v>
      </c>
      <c r="C447" s="80" t="s">
        <v>1077</v>
      </c>
    </row>
    <row r="448" spans="1:3" ht="15">
      <c r="A448" s="77" t="s">
        <v>235</v>
      </c>
      <c r="B448" s="76" t="s">
        <v>3074</v>
      </c>
      <c r="C448" s="80" t="s">
        <v>1077</v>
      </c>
    </row>
    <row r="449" spans="1:3" ht="15">
      <c r="A449" s="77" t="s">
        <v>235</v>
      </c>
      <c r="B449" s="76" t="s">
        <v>228</v>
      </c>
      <c r="C449" s="80" t="s">
        <v>1077</v>
      </c>
    </row>
    <row r="450" spans="1:3" ht="15">
      <c r="A450" s="77" t="s">
        <v>227</v>
      </c>
      <c r="B450" s="76" t="s">
        <v>286</v>
      </c>
      <c r="C450" s="80" t="s">
        <v>1035</v>
      </c>
    </row>
    <row r="451" spans="1:3" ht="15">
      <c r="A451" s="77" t="s">
        <v>227</v>
      </c>
      <c r="B451" s="76" t="s">
        <v>287</v>
      </c>
      <c r="C451" s="80" t="s">
        <v>1035</v>
      </c>
    </row>
    <row r="452" spans="1:3" ht="15">
      <c r="A452" s="77" t="s">
        <v>227</v>
      </c>
      <c r="B452" s="76" t="s">
        <v>288</v>
      </c>
      <c r="C452" s="80" t="s">
        <v>1035</v>
      </c>
    </row>
    <row r="453" spans="1:3" ht="15">
      <c r="A453" s="77" t="s">
        <v>227</v>
      </c>
      <c r="B453" s="76" t="s">
        <v>289</v>
      </c>
      <c r="C453" s="80" t="s">
        <v>1035</v>
      </c>
    </row>
    <row r="454" spans="1:3" ht="15">
      <c r="A454" s="77" t="s">
        <v>227</v>
      </c>
      <c r="B454" s="76" t="s">
        <v>290</v>
      </c>
      <c r="C454" s="80" t="s">
        <v>1035</v>
      </c>
    </row>
    <row r="455" spans="1:3" ht="15">
      <c r="A455" s="77" t="s">
        <v>227</v>
      </c>
      <c r="B455" s="76" t="s">
        <v>3424</v>
      </c>
      <c r="C455" s="80" t="s">
        <v>1035</v>
      </c>
    </row>
    <row r="456" spans="1:3" ht="15">
      <c r="A456" s="77" t="s">
        <v>227</v>
      </c>
      <c r="B456" s="76" t="s">
        <v>291</v>
      </c>
      <c r="C456" s="80" t="s">
        <v>1035</v>
      </c>
    </row>
    <row r="457" spans="1:3" ht="15">
      <c r="A457" s="77" t="s">
        <v>227</v>
      </c>
      <c r="B457" s="76" t="s">
        <v>292</v>
      </c>
      <c r="C457" s="80" t="s">
        <v>1035</v>
      </c>
    </row>
    <row r="458" spans="1:3" ht="15">
      <c r="A458" s="77" t="s">
        <v>227</v>
      </c>
      <c r="B458" s="76" t="s">
        <v>293</v>
      </c>
      <c r="C458" s="80" t="s">
        <v>1035</v>
      </c>
    </row>
    <row r="459" spans="1:3" ht="15">
      <c r="A459" s="77" t="s">
        <v>227</v>
      </c>
      <c r="B459" s="76" t="s">
        <v>294</v>
      </c>
      <c r="C459" s="80" t="s">
        <v>1035</v>
      </c>
    </row>
    <row r="460" spans="1:3" ht="15">
      <c r="A460" s="77" t="s">
        <v>227</v>
      </c>
      <c r="B460" s="76" t="s">
        <v>3067</v>
      </c>
      <c r="C460" s="80" t="s">
        <v>1035</v>
      </c>
    </row>
    <row r="461" spans="1:3" ht="15">
      <c r="A461" s="77" t="s">
        <v>227</v>
      </c>
      <c r="B461" s="76" t="s">
        <v>295</v>
      </c>
      <c r="C461" s="80" t="s">
        <v>1035</v>
      </c>
    </row>
    <row r="462" spans="1:3" ht="15">
      <c r="A462" s="77" t="s">
        <v>227</v>
      </c>
      <c r="B462" s="76" t="s">
        <v>296</v>
      </c>
      <c r="C462" s="80" t="s">
        <v>1035</v>
      </c>
    </row>
    <row r="463" spans="1:3" ht="15">
      <c r="A463" s="77" t="s">
        <v>227</v>
      </c>
      <c r="B463" s="76" t="s">
        <v>297</v>
      </c>
      <c r="C463" s="80" t="s">
        <v>1035</v>
      </c>
    </row>
    <row r="464" spans="1:3" ht="15">
      <c r="A464" s="77" t="s">
        <v>227</v>
      </c>
      <c r="B464" s="76" t="s">
        <v>298</v>
      </c>
      <c r="C464" s="80" t="s">
        <v>1035</v>
      </c>
    </row>
    <row r="465" spans="1:3" ht="15">
      <c r="A465" s="77" t="s">
        <v>227</v>
      </c>
      <c r="B465" s="76" t="s">
        <v>299</v>
      </c>
      <c r="C465" s="80" t="s">
        <v>1035</v>
      </c>
    </row>
    <row r="466" spans="1:3" ht="15">
      <c r="A466" s="77" t="s">
        <v>227</v>
      </c>
      <c r="B466" s="76" t="s">
        <v>228</v>
      </c>
      <c r="C466" s="80" t="s">
        <v>1035</v>
      </c>
    </row>
    <row r="467" spans="1:3" ht="15">
      <c r="A467" s="77" t="s">
        <v>227</v>
      </c>
      <c r="B467" s="76" t="s">
        <v>300</v>
      </c>
      <c r="C467" s="80" t="s">
        <v>1035</v>
      </c>
    </row>
    <row r="468" spans="1:3" ht="15">
      <c r="A468" s="77" t="s">
        <v>227</v>
      </c>
      <c r="B468" s="76" t="s">
        <v>301</v>
      </c>
      <c r="C468" s="80" t="s">
        <v>1035</v>
      </c>
    </row>
    <row r="469" spans="1:3" ht="15">
      <c r="A469" s="77" t="s">
        <v>227</v>
      </c>
      <c r="B469" s="76" t="s">
        <v>255</v>
      </c>
      <c r="C469" s="80" t="s">
        <v>1035</v>
      </c>
    </row>
    <row r="470" spans="1:3" ht="15">
      <c r="A470" s="77" t="s">
        <v>227</v>
      </c>
      <c r="B470" s="76" t="s">
        <v>302</v>
      </c>
      <c r="C470" s="80" t="s">
        <v>1035</v>
      </c>
    </row>
    <row r="471" spans="1:3" ht="15">
      <c r="A471" s="77" t="s">
        <v>244</v>
      </c>
      <c r="B471" s="76" t="s">
        <v>3425</v>
      </c>
      <c r="C471" s="80" t="s">
        <v>1104</v>
      </c>
    </row>
    <row r="472" spans="1:3" ht="15">
      <c r="A472" s="77" t="s">
        <v>244</v>
      </c>
      <c r="B472" s="76" t="s">
        <v>3426</v>
      </c>
      <c r="C472" s="80" t="s">
        <v>1104</v>
      </c>
    </row>
    <row r="473" spans="1:3" ht="15">
      <c r="A473" s="77" t="s">
        <v>244</v>
      </c>
      <c r="B473" s="76" t="s">
        <v>3427</v>
      </c>
      <c r="C473" s="80" t="s">
        <v>1104</v>
      </c>
    </row>
    <row r="474" spans="1:3" ht="15">
      <c r="A474" s="77" t="s">
        <v>244</v>
      </c>
      <c r="B474" s="76" t="s">
        <v>228</v>
      </c>
      <c r="C474" s="80" t="s">
        <v>1104</v>
      </c>
    </row>
    <row r="475" spans="1:3" ht="15">
      <c r="A475" s="77" t="s">
        <v>244</v>
      </c>
      <c r="B475" s="76" t="s">
        <v>3158</v>
      </c>
      <c r="C475" s="80" t="s">
        <v>1104</v>
      </c>
    </row>
    <row r="476" spans="1:3" ht="15">
      <c r="A476" s="77" t="s">
        <v>244</v>
      </c>
      <c r="B476" s="76" t="s">
        <v>3428</v>
      </c>
      <c r="C476" s="80" t="s">
        <v>1104</v>
      </c>
    </row>
    <row r="477" spans="1:3" ht="15">
      <c r="A477" s="77" t="s">
        <v>263</v>
      </c>
      <c r="B477" s="76" t="s">
        <v>228</v>
      </c>
      <c r="C477" s="80" t="s">
        <v>1149</v>
      </c>
    </row>
    <row r="478" spans="1:3" ht="15">
      <c r="A478" s="77" t="s">
        <v>263</v>
      </c>
      <c r="B478" s="76" t="s">
        <v>3429</v>
      </c>
      <c r="C478" s="80" t="s">
        <v>1149</v>
      </c>
    </row>
    <row r="479" spans="1:3" ht="15">
      <c r="A479" s="77" t="s">
        <v>263</v>
      </c>
      <c r="B479" s="76" t="s">
        <v>3430</v>
      </c>
      <c r="C479" s="80" t="s">
        <v>1149</v>
      </c>
    </row>
    <row r="480" spans="1:3" ht="15">
      <c r="A480" s="77" t="s">
        <v>263</v>
      </c>
      <c r="B480" s="76" t="s">
        <v>263</v>
      </c>
      <c r="C480" s="80" t="s">
        <v>1149</v>
      </c>
    </row>
    <row r="481" spans="1:3" ht="15">
      <c r="A481" s="77" t="s">
        <v>252</v>
      </c>
      <c r="B481" s="76" t="s">
        <v>3431</v>
      </c>
      <c r="C481" s="80" t="s">
        <v>1117</v>
      </c>
    </row>
    <row r="482" spans="1:3" ht="15">
      <c r="A482" s="77" t="s">
        <v>252</v>
      </c>
      <c r="B482" s="76" t="s">
        <v>3432</v>
      </c>
      <c r="C482" s="80" t="s">
        <v>1117</v>
      </c>
    </row>
    <row r="483" spans="1:3" ht="15">
      <c r="A483" s="77" t="s">
        <v>252</v>
      </c>
      <c r="B483" s="76" t="s">
        <v>228</v>
      </c>
      <c r="C483" s="80" t="s">
        <v>1117</v>
      </c>
    </row>
    <row r="484" spans="1:3" ht="15">
      <c r="A484" s="77" t="s">
        <v>252</v>
      </c>
      <c r="B484" s="76" t="s">
        <v>229</v>
      </c>
      <c r="C484" s="80" t="s">
        <v>1117</v>
      </c>
    </row>
    <row r="485" spans="1:3" ht="15">
      <c r="A485" s="77" t="s">
        <v>244</v>
      </c>
      <c r="B485" s="76" t="s">
        <v>3433</v>
      </c>
      <c r="C485" s="80" t="s">
        <v>1100</v>
      </c>
    </row>
    <row r="486" spans="1:3" ht="15">
      <c r="A486" s="77" t="s">
        <v>244</v>
      </c>
      <c r="B486" s="76" t="s">
        <v>3223</v>
      </c>
      <c r="C486" s="80" t="s">
        <v>1100</v>
      </c>
    </row>
    <row r="487" spans="1:3" ht="15">
      <c r="A487" s="77" t="s">
        <v>244</v>
      </c>
      <c r="B487" s="76" t="s">
        <v>228</v>
      </c>
      <c r="C487" s="80" t="s">
        <v>1100</v>
      </c>
    </row>
    <row r="488" spans="1:3" ht="15">
      <c r="A488" s="77" t="s">
        <v>244</v>
      </c>
      <c r="B488" s="76" t="s">
        <v>3164</v>
      </c>
      <c r="C488" s="80" t="s">
        <v>1100</v>
      </c>
    </row>
    <row r="489" spans="1:3" ht="15">
      <c r="A489" s="77" t="s">
        <v>244</v>
      </c>
      <c r="B489" s="76" t="s">
        <v>3125</v>
      </c>
      <c r="C489" s="80" t="s">
        <v>1100</v>
      </c>
    </row>
    <row r="490" spans="1:3" ht="15">
      <c r="A490" s="77" t="s">
        <v>244</v>
      </c>
      <c r="B490" s="76" t="s">
        <v>3434</v>
      </c>
      <c r="C490" s="80" t="s">
        <v>1100</v>
      </c>
    </row>
    <row r="491" spans="1:3" ht="15">
      <c r="A491" s="77" t="s">
        <v>236</v>
      </c>
      <c r="B491" s="76" t="s">
        <v>695</v>
      </c>
      <c r="C491" s="80" t="s">
        <v>1070</v>
      </c>
    </row>
    <row r="492" spans="1:3" ht="15">
      <c r="A492" s="77" t="s">
        <v>236</v>
      </c>
      <c r="B492" s="76" t="s">
        <v>3435</v>
      </c>
      <c r="C492" s="80" t="s">
        <v>1070</v>
      </c>
    </row>
    <row r="493" spans="1:3" ht="15">
      <c r="A493" s="77" t="s">
        <v>236</v>
      </c>
      <c r="B493" s="76" t="s">
        <v>3083</v>
      </c>
      <c r="C493" s="80" t="s">
        <v>1070</v>
      </c>
    </row>
    <row r="494" spans="1:3" ht="15">
      <c r="A494" s="77" t="s">
        <v>236</v>
      </c>
      <c r="B494" s="76" t="s">
        <v>3436</v>
      </c>
      <c r="C494" s="80" t="s">
        <v>1070</v>
      </c>
    </row>
    <row r="495" spans="1:3" ht="15">
      <c r="A495" s="77" t="s">
        <v>236</v>
      </c>
      <c r="B495" s="76" t="s">
        <v>3437</v>
      </c>
      <c r="C495" s="80" t="s">
        <v>1070</v>
      </c>
    </row>
    <row r="496" spans="1:3" ht="15">
      <c r="A496" s="77" t="s">
        <v>236</v>
      </c>
      <c r="B496" s="76" t="s">
        <v>3089</v>
      </c>
      <c r="C496" s="80" t="s">
        <v>1070</v>
      </c>
    </row>
    <row r="497" spans="1:3" ht="15">
      <c r="A497" s="77" t="s">
        <v>236</v>
      </c>
      <c r="B497" s="76" t="s">
        <v>3217</v>
      </c>
      <c r="C497" s="80" t="s">
        <v>1070</v>
      </c>
    </row>
    <row r="498" spans="1:3" ht="15">
      <c r="A498" s="77" t="s">
        <v>236</v>
      </c>
      <c r="B498" s="76" t="s">
        <v>3110</v>
      </c>
      <c r="C498" s="80" t="s">
        <v>1070</v>
      </c>
    </row>
    <row r="499" spans="1:3" ht="15">
      <c r="A499" s="77" t="s">
        <v>236</v>
      </c>
      <c r="B499" s="76" t="s">
        <v>3438</v>
      </c>
      <c r="C499" s="80" t="s">
        <v>1070</v>
      </c>
    </row>
    <row r="500" spans="1:3" ht="15">
      <c r="A500" s="77" t="s">
        <v>236</v>
      </c>
      <c r="B500" s="76" t="s">
        <v>3439</v>
      </c>
      <c r="C500" s="80" t="s">
        <v>1070</v>
      </c>
    </row>
    <row r="501" spans="1:3" ht="15">
      <c r="A501" s="77" t="s">
        <v>236</v>
      </c>
      <c r="B501" s="76" t="s">
        <v>3155</v>
      </c>
      <c r="C501" s="80" t="s">
        <v>1070</v>
      </c>
    </row>
    <row r="502" spans="1:3" ht="15">
      <c r="A502" s="77" t="s">
        <v>236</v>
      </c>
      <c r="B502" s="76" t="s">
        <v>3093</v>
      </c>
      <c r="C502" s="80" t="s">
        <v>1070</v>
      </c>
    </row>
    <row r="503" spans="1:3" ht="15">
      <c r="A503" s="77" t="s">
        <v>236</v>
      </c>
      <c r="B503" s="76" t="s">
        <v>3440</v>
      </c>
      <c r="C503" s="80" t="s">
        <v>1070</v>
      </c>
    </row>
    <row r="504" spans="1:3" ht="15">
      <c r="A504" s="77" t="s">
        <v>236</v>
      </c>
      <c r="B504" s="76" t="s">
        <v>3441</v>
      </c>
      <c r="C504" s="80" t="s">
        <v>1070</v>
      </c>
    </row>
    <row r="505" spans="1:3" ht="15">
      <c r="A505" s="77" t="s">
        <v>236</v>
      </c>
      <c r="B505" s="76" t="s">
        <v>3442</v>
      </c>
      <c r="C505" s="80" t="s">
        <v>1070</v>
      </c>
    </row>
    <row r="506" spans="1:3" ht="15">
      <c r="A506" s="77" t="s">
        <v>236</v>
      </c>
      <c r="B506" s="76" t="s">
        <v>3443</v>
      </c>
      <c r="C506" s="80" t="s">
        <v>1070</v>
      </c>
    </row>
    <row r="507" spans="1:3" ht="15">
      <c r="A507" s="77" t="s">
        <v>236</v>
      </c>
      <c r="B507" s="76" t="s">
        <v>3055</v>
      </c>
      <c r="C507" s="80" t="s">
        <v>1070</v>
      </c>
    </row>
    <row r="508" spans="1:3" ht="15">
      <c r="A508" s="77" t="s">
        <v>236</v>
      </c>
      <c r="B508" s="76" t="s">
        <v>3444</v>
      </c>
      <c r="C508" s="80" t="s">
        <v>1070</v>
      </c>
    </row>
    <row r="509" spans="1:3" ht="15">
      <c r="A509" s="77" t="s">
        <v>236</v>
      </c>
      <c r="B509" s="76" t="s">
        <v>3064</v>
      </c>
      <c r="C509" s="80" t="s">
        <v>1070</v>
      </c>
    </row>
    <row r="510" spans="1:3" ht="15">
      <c r="A510" s="77" t="s">
        <v>236</v>
      </c>
      <c r="B510" s="76" t="s">
        <v>228</v>
      </c>
      <c r="C510" s="80" t="s">
        <v>1070</v>
      </c>
    </row>
    <row r="511" spans="1:3" ht="15">
      <c r="A511" s="77" t="s">
        <v>236</v>
      </c>
      <c r="B511" s="76" t="s">
        <v>3151</v>
      </c>
      <c r="C511" s="80" t="s">
        <v>1070</v>
      </c>
    </row>
    <row r="512" spans="1:3" ht="15">
      <c r="A512" s="77" t="s">
        <v>236</v>
      </c>
      <c r="B512" s="76" t="s">
        <v>3445</v>
      </c>
      <c r="C512" s="80" t="s">
        <v>1070</v>
      </c>
    </row>
    <row r="513" spans="1:3" ht="15">
      <c r="A513" s="77" t="s">
        <v>259</v>
      </c>
      <c r="B513" s="76" t="s">
        <v>492</v>
      </c>
      <c r="C513" s="80" t="s">
        <v>1143</v>
      </c>
    </row>
    <row r="514" spans="1:3" ht="15">
      <c r="A514" s="77" t="s">
        <v>259</v>
      </c>
      <c r="B514" s="76" t="s">
        <v>261</v>
      </c>
      <c r="C514" s="80" t="s">
        <v>1143</v>
      </c>
    </row>
    <row r="515" spans="1:3" ht="15">
      <c r="A515" s="77" t="s">
        <v>259</v>
      </c>
      <c r="B515" s="76" t="s">
        <v>262</v>
      </c>
      <c r="C515" s="80" t="s">
        <v>1143</v>
      </c>
    </row>
    <row r="516" spans="1:3" ht="15">
      <c r="A516" s="77" t="s">
        <v>259</v>
      </c>
      <c r="B516" s="76" t="s">
        <v>3446</v>
      </c>
      <c r="C516" s="80" t="s">
        <v>1143</v>
      </c>
    </row>
    <row r="517" spans="1:3" ht="15">
      <c r="A517" s="77" t="s">
        <v>259</v>
      </c>
      <c r="B517" s="76" t="s">
        <v>493</v>
      </c>
      <c r="C517" s="80" t="s">
        <v>1143</v>
      </c>
    </row>
    <row r="518" spans="1:3" ht="15">
      <c r="A518" s="77" t="s">
        <v>259</v>
      </c>
      <c r="B518" s="76" t="s">
        <v>494</v>
      </c>
      <c r="C518" s="80" t="s">
        <v>1143</v>
      </c>
    </row>
    <row r="519" spans="1:3" ht="15">
      <c r="A519" s="77" t="s">
        <v>259</v>
      </c>
      <c r="B519" s="76" t="s">
        <v>228</v>
      </c>
      <c r="C519" s="80" t="s">
        <v>1143</v>
      </c>
    </row>
    <row r="520" spans="1:3" ht="15">
      <c r="A520" s="77" t="s">
        <v>259</v>
      </c>
      <c r="B520" s="76" t="s">
        <v>495</v>
      </c>
      <c r="C520" s="80" t="s">
        <v>1143</v>
      </c>
    </row>
    <row r="521" spans="1:3" ht="15">
      <c r="A521" s="77" t="s">
        <v>259</v>
      </c>
      <c r="B521" s="76" t="s">
        <v>496</v>
      </c>
      <c r="C521" s="80" t="s">
        <v>1143</v>
      </c>
    </row>
    <row r="522" spans="1:3" ht="15">
      <c r="A522" s="77" t="s">
        <v>259</v>
      </c>
      <c r="B522" s="76" t="s">
        <v>260</v>
      </c>
      <c r="C522" s="80" t="s">
        <v>1143</v>
      </c>
    </row>
    <row r="523" spans="1:3" ht="15">
      <c r="A523" s="77" t="s">
        <v>259</v>
      </c>
      <c r="B523" s="76" t="s">
        <v>497</v>
      </c>
      <c r="C523" s="80" t="s">
        <v>1143</v>
      </c>
    </row>
    <row r="524" spans="1:3" ht="15">
      <c r="A524" s="77" t="s">
        <v>259</v>
      </c>
      <c r="B524" s="76" t="s">
        <v>498</v>
      </c>
      <c r="C524" s="80" t="s">
        <v>1143</v>
      </c>
    </row>
    <row r="525" spans="1:3" ht="15">
      <c r="A525" s="77" t="s">
        <v>259</v>
      </c>
      <c r="B525" s="76" t="s">
        <v>499</v>
      </c>
      <c r="C525" s="80" t="s">
        <v>1143</v>
      </c>
    </row>
    <row r="526" spans="1:3" ht="15">
      <c r="A526" s="77" t="s">
        <v>259</v>
      </c>
      <c r="B526" s="76" t="s">
        <v>500</v>
      </c>
      <c r="C526" s="80" t="s">
        <v>1143</v>
      </c>
    </row>
    <row r="527" spans="1:3" ht="15">
      <c r="A527" s="77" t="s">
        <v>259</v>
      </c>
      <c r="B527" s="76" t="s">
        <v>501</v>
      </c>
      <c r="C527" s="80" t="s">
        <v>1143</v>
      </c>
    </row>
    <row r="528" spans="1:3" ht="15">
      <c r="A528" s="77" t="s">
        <v>259</v>
      </c>
      <c r="B528" s="76" t="s">
        <v>3447</v>
      </c>
      <c r="C528" s="80" t="s">
        <v>1143</v>
      </c>
    </row>
    <row r="529" spans="1:3" ht="15">
      <c r="A529" s="77" t="s">
        <v>259</v>
      </c>
      <c r="B529" s="76" t="s">
        <v>3448</v>
      </c>
      <c r="C529" s="80" t="s">
        <v>1143</v>
      </c>
    </row>
    <row r="530" spans="1:3" ht="15">
      <c r="A530" s="77" t="s">
        <v>259</v>
      </c>
      <c r="B530" s="76" t="s">
        <v>3449</v>
      </c>
      <c r="C530" s="80" t="s">
        <v>1143</v>
      </c>
    </row>
    <row r="531" spans="1:3" ht="15">
      <c r="A531" s="77" t="s">
        <v>259</v>
      </c>
      <c r="B531" s="76" t="s">
        <v>3450</v>
      </c>
      <c r="C531" s="80" t="s">
        <v>1143</v>
      </c>
    </row>
    <row r="532" spans="1:3" ht="15">
      <c r="A532" s="77" t="s">
        <v>259</v>
      </c>
      <c r="B532" s="76" t="s">
        <v>3451</v>
      </c>
      <c r="C532" s="80" t="s">
        <v>1143</v>
      </c>
    </row>
    <row r="533" spans="1:3" ht="15">
      <c r="A533" s="77" t="s">
        <v>259</v>
      </c>
      <c r="B533" s="76" t="s">
        <v>3452</v>
      </c>
      <c r="C533" s="80" t="s">
        <v>1143</v>
      </c>
    </row>
    <row r="534" spans="1:3" ht="15">
      <c r="A534" s="77" t="s">
        <v>230</v>
      </c>
      <c r="B534" s="76" t="s">
        <v>3453</v>
      </c>
      <c r="C534" s="80" t="s">
        <v>1052</v>
      </c>
    </row>
    <row r="535" spans="1:3" ht="15">
      <c r="A535" s="77" t="s">
        <v>230</v>
      </c>
      <c r="B535" s="76" t="s">
        <v>3094</v>
      </c>
      <c r="C535" s="80" t="s">
        <v>1052</v>
      </c>
    </row>
    <row r="536" spans="1:3" ht="15">
      <c r="A536" s="77" t="s">
        <v>230</v>
      </c>
      <c r="B536" s="76" t="s">
        <v>3454</v>
      </c>
      <c r="C536" s="80" t="s">
        <v>1052</v>
      </c>
    </row>
    <row r="537" spans="1:3" ht="15">
      <c r="A537" s="77" t="s">
        <v>230</v>
      </c>
      <c r="B537" s="76" t="s">
        <v>3455</v>
      </c>
      <c r="C537" s="80" t="s">
        <v>1052</v>
      </c>
    </row>
    <row r="538" spans="1:3" ht="15">
      <c r="A538" s="77" t="s">
        <v>230</v>
      </c>
      <c r="B538" s="76" t="s">
        <v>3456</v>
      </c>
      <c r="C538" s="80" t="s">
        <v>1052</v>
      </c>
    </row>
    <row r="539" spans="1:3" ht="15">
      <c r="A539" s="77" t="s">
        <v>230</v>
      </c>
      <c r="B539" s="76" t="s">
        <v>3133</v>
      </c>
      <c r="C539" s="80" t="s">
        <v>1052</v>
      </c>
    </row>
    <row r="540" spans="1:3" ht="15">
      <c r="A540" s="77" t="s">
        <v>230</v>
      </c>
      <c r="B540" s="76" t="s">
        <v>3457</v>
      </c>
      <c r="C540" s="80" t="s">
        <v>1052</v>
      </c>
    </row>
    <row r="541" spans="1:3" ht="15">
      <c r="A541" s="77" t="s">
        <v>230</v>
      </c>
      <c r="B541" s="76" t="s">
        <v>3177</v>
      </c>
      <c r="C541" s="80" t="s">
        <v>1052</v>
      </c>
    </row>
    <row r="542" spans="1:3" ht="15">
      <c r="A542" s="77" t="s">
        <v>230</v>
      </c>
      <c r="B542" s="76" t="s">
        <v>3082</v>
      </c>
      <c r="C542" s="80" t="s">
        <v>1052</v>
      </c>
    </row>
    <row r="543" spans="1:3" ht="15">
      <c r="A543" s="77" t="s">
        <v>230</v>
      </c>
      <c r="B543" s="76" t="s">
        <v>3458</v>
      </c>
      <c r="C543" s="80" t="s">
        <v>1052</v>
      </c>
    </row>
    <row r="544" spans="1:3" ht="15">
      <c r="A544" s="77" t="s">
        <v>230</v>
      </c>
      <c r="B544" s="76" t="s">
        <v>3459</v>
      </c>
      <c r="C544" s="80" t="s">
        <v>1052</v>
      </c>
    </row>
    <row r="545" spans="1:3" ht="15">
      <c r="A545" s="77" t="s">
        <v>230</v>
      </c>
      <c r="B545" s="76" t="s">
        <v>3460</v>
      </c>
      <c r="C545" s="80" t="s">
        <v>1052</v>
      </c>
    </row>
    <row r="546" spans="1:3" ht="15">
      <c r="A546" s="77" t="s">
        <v>230</v>
      </c>
      <c r="B546" s="76" t="s">
        <v>3461</v>
      </c>
      <c r="C546" s="80" t="s">
        <v>1052</v>
      </c>
    </row>
    <row r="547" spans="1:3" ht="15">
      <c r="A547" s="77" t="s">
        <v>230</v>
      </c>
      <c r="B547" s="76" t="s">
        <v>3462</v>
      </c>
      <c r="C547" s="80" t="s">
        <v>1052</v>
      </c>
    </row>
    <row r="548" spans="1:3" ht="15">
      <c r="A548" s="77" t="s">
        <v>230</v>
      </c>
      <c r="B548" s="76" t="s">
        <v>3463</v>
      </c>
      <c r="C548" s="80" t="s">
        <v>1052</v>
      </c>
    </row>
    <row r="549" spans="1:3" ht="15">
      <c r="A549" s="77" t="s">
        <v>230</v>
      </c>
      <c r="B549" s="76" t="s">
        <v>3464</v>
      </c>
      <c r="C549" s="80" t="s">
        <v>1052</v>
      </c>
    </row>
    <row r="550" spans="1:3" ht="15">
      <c r="A550" s="77" t="s">
        <v>230</v>
      </c>
      <c r="B550" s="76" t="s">
        <v>3055</v>
      </c>
      <c r="C550" s="80" t="s">
        <v>1052</v>
      </c>
    </row>
    <row r="551" spans="1:3" ht="15">
      <c r="A551" s="77" t="s">
        <v>230</v>
      </c>
      <c r="B551" s="76" t="s">
        <v>3465</v>
      </c>
      <c r="C551" s="80" t="s">
        <v>1052</v>
      </c>
    </row>
    <row r="552" spans="1:3" ht="15">
      <c r="A552" s="77" t="s">
        <v>230</v>
      </c>
      <c r="B552" s="76" t="s">
        <v>369</v>
      </c>
      <c r="C552" s="80" t="s">
        <v>1052</v>
      </c>
    </row>
    <row r="553" spans="1:3" ht="15">
      <c r="A553" s="77" t="s">
        <v>230</v>
      </c>
      <c r="B553" s="76" t="s">
        <v>370</v>
      </c>
      <c r="C553" s="80" t="s">
        <v>1052</v>
      </c>
    </row>
    <row r="554" spans="1:3" ht="15">
      <c r="A554" s="77" t="s">
        <v>230</v>
      </c>
      <c r="B554" s="76" t="s">
        <v>371</v>
      </c>
      <c r="C554" s="80" t="s">
        <v>1052</v>
      </c>
    </row>
    <row r="555" spans="1:3" ht="15">
      <c r="A555" s="77" t="s">
        <v>230</v>
      </c>
      <c r="B555" s="76" t="s">
        <v>228</v>
      </c>
      <c r="C555" s="80" t="s">
        <v>1052</v>
      </c>
    </row>
    <row r="556" spans="1:3" ht="15">
      <c r="A556" s="77" t="s">
        <v>230</v>
      </c>
      <c r="B556" s="76" t="s">
        <v>372</v>
      </c>
      <c r="C556" s="80" t="s">
        <v>1052</v>
      </c>
    </row>
    <row r="557" spans="1:3" ht="15">
      <c r="A557" s="77" t="s">
        <v>230</v>
      </c>
      <c r="B557" s="76" t="s">
        <v>373</v>
      </c>
      <c r="C557" s="80" t="s">
        <v>1052</v>
      </c>
    </row>
    <row r="558" spans="1:3" ht="15">
      <c r="A558" s="77" t="s">
        <v>230</v>
      </c>
      <c r="B558" s="76" t="s">
        <v>374</v>
      </c>
      <c r="C558" s="80" t="s">
        <v>1052</v>
      </c>
    </row>
    <row r="559" spans="1:3" ht="15">
      <c r="A559" s="77" t="s">
        <v>230</v>
      </c>
      <c r="B559" s="76" t="s">
        <v>375</v>
      </c>
      <c r="C559" s="80" t="s">
        <v>1052</v>
      </c>
    </row>
    <row r="560" spans="1:3" ht="15">
      <c r="A560" s="77" t="s">
        <v>230</v>
      </c>
      <c r="B560" s="76" t="s">
        <v>376</v>
      </c>
      <c r="C560" s="80" t="s">
        <v>1052</v>
      </c>
    </row>
    <row r="561" spans="1:3" ht="15">
      <c r="A561" s="77" t="s">
        <v>230</v>
      </c>
      <c r="B561" s="76" t="s">
        <v>229</v>
      </c>
      <c r="C561" s="80" t="s">
        <v>1052</v>
      </c>
    </row>
    <row r="562" spans="1:3" ht="15">
      <c r="A562" s="77" t="s">
        <v>227</v>
      </c>
      <c r="B562" s="76" t="s">
        <v>286</v>
      </c>
      <c r="C562" s="80" t="s">
        <v>1036</v>
      </c>
    </row>
    <row r="563" spans="1:3" ht="15">
      <c r="A563" s="77" t="s">
        <v>227</v>
      </c>
      <c r="B563" s="76" t="s">
        <v>287</v>
      </c>
      <c r="C563" s="80" t="s">
        <v>1036</v>
      </c>
    </row>
    <row r="564" spans="1:3" ht="15">
      <c r="A564" s="77" t="s">
        <v>227</v>
      </c>
      <c r="B564" s="76" t="s">
        <v>288</v>
      </c>
      <c r="C564" s="80" t="s">
        <v>1036</v>
      </c>
    </row>
    <row r="565" spans="1:3" ht="15">
      <c r="A565" s="77" t="s">
        <v>227</v>
      </c>
      <c r="B565" s="76" t="s">
        <v>289</v>
      </c>
      <c r="C565" s="80" t="s">
        <v>1036</v>
      </c>
    </row>
    <row r="566" spans="1:3" ht="15">
      <c r="A566" s="77" t="s">
        <v>227</v>
      </c>
      <c r="B566" s="76" t="s">
        <v>290</v>
      </c>
      <c r="C566" s="80" t="s">
        <v>1036</v>
      </c>
    </row>
    <row r="567" spans="1:3" ht="15">
      <c r="A567" s="77" t="s">
        <v>227</v>
      </c>
      <c r="B567" s="76" t="s">
        <v>291</v>
      </c>
      <c r="C567" s="80" t="s">
        <v>1036</v>
      </c>
    </row>
    <row r="568" spans="1:3" ht="15">
      <c r="A568" s="77" t="s">
        <v>227</v>
      </c>
      <c r="B568" s="76" t="s">
        <v>292</v>
      </c>
      <c r="C568" s="80" t="s">
        <v>1036</v>
      </c>
    </row>
    <row r="569" spans="1:3" ht="15">
      <c r="A569" s="77" t="s">
        <v>227</v>
      </c>
      <c r="B569" s="76" t="s">
        <v>293</v>
      </c>
      <c r="C569" s="80" t="s">
        <v>1036</v>
      </c>
    </row>
    <row r="570" spans="1:3" ht="15">
      <c r="A570" s="77" t="s">
        <v>227</v>
      </c>
      <c r="B570" s="76" t="s">
        <v>294</v>
      </c>
      <c r="C570" s="80" t="s">
        <v>1036</v>
      </c>
    </row>
    <row r="571" spans="1:3" ht="15">
      <c r="A571" s="77" t="s">
        <v>227</v>
      </c>
      <c r="B571" s="76" t="s">
        <v>3067</v>
      </c>
      <c r="C571" s="80" t="s">
        <v>1036</v>
      </c>
    </row>
    <row r="572" spans="1:3" ht="15">
      <c r="A572" s="77" t="s">
        <v>227</v>
      </c>
      <c r="B572" s="76" t="s">
        <v>295</v>
      </c>
      <c r="C572" s="80" t="s">
        <v>1036</v>
      </c>
    </row>
    <row r="573" spans="1:3" ht="15">
      <c r="A573" s="77" t="s">
        <v>227</v>
      </c>
      <c r="B573" s="76" t="s">
        <v>296</v>
      </c>
      <c r="C573" s="80" t="s">
        <v>1036</v>
      </c>
    </row>
    <row r="574" spans="1:3" ht="15">
      <c r="A574" s="77" t="s">
        <v>227</v>
      </c>
      <c r="B574" s="76" t="s">
        <v>297</v>
      </c>
      <c r="C574" s="80" t="s">
        <v>1036</v>
      </c>
    </row>
    <row r="575" spans="1:3" ht="15">
      <c r="A575" s="77" t="s">
        <v>227</v>
      </c>
      <c r="B575" s="76" t="s">
        <v>298</v>
      </c>
      <c r="C575" s="80" t="s">
        <v>1036</v>
      </c>
    </row>
    <row r="576" spans="1:3" ht="15">
      <c r="A576" s="77" t="s">
        <v>227</v>
      </c>
      <c r="B576" s="76" t="s">
        <v>299</v>
      </c>
      <c r="C576" s="80" t="s">
        <v>1036</v>
      </c>
    </row>
    <row r="577" spans="1:3" ht="15">
      <c r="A577" s="77" t="s">
        <v>227</v>
      </c>
      <c r="B577" s="76" t="s">
        <v>228</v>
      </c>
      <c r="C577" s="80" t="s">
        <v>1036</v>
      </c>
    </row>
    <row r="578" spans="1:3" ht="15">
      <c r="A578" s="77" t="s">
        <v>227</v>
      </c>
      <c r="B578" s="76" t="s">
        <v>300</v>
      </c>
      <c r="C578" s="80" t="s">
        <v>1036</v>
      </c>
    </row>
    <row r="579" spans="1:3" ht="15">
      <c r="A579" s="77" t="s">
        <v>227</v>
      </c>
      <c r="B579" s="76" t="s">
        <v>301</v>
      </c>
      <c r="C579" s="80" t="s">
        <v>1036</v>
      </c>
    </row>
    <row r="580" spans="1:3" ht="15">
      <c r="A580" s="77" t="s">
        <v>227</v>
      </c>
      <c r="B580" s="76" t="s">
        <v>255</v>
      </c>
      <c r="C580" s="80" t="s">
        <v>1036</v>
      </c>
    </row>
    <row r="581" spans="1:3" ht="15">
      <c r="A581" s="77" t="s">
        <v>227</v>
      </c>
      <c r="B581" s="76" t="s">
        <v>302</v>
      </c>
      <c r="C581" s="80" t="s">
        <v>1036</v>
      </c>
    </row>
    <row r="582" spans="1:3" ht="15">
      <c r="A582" s="77" t="s">
        <v>246</v>
      </c>
      <c r="B582" s="76" t="s">
        <v>509</v>
      </c>
      <c r="C582" s="80" t="s">
        <v>1094</v>
      </c>
    </row>
    <row r="583" spans="1:3" ht="15">
      <c r="A583" s="77" t="s">
        <v>246</v>
      </c>
      <c r="B583" s="76" t="s">
        <v>3466</v>
      </c>
      <c r="C583" s="80" t="s">
        <v>1094</v>
      </c>
    </row>
    <row r="584" spans="1:3" ht="15">
      <c r="A584" s="77" t="s">
        <v>246</v>
      </c>
      <c r="B584" s="76" t="s">
        <v>3467</v>
      </c>
      <c r="C584" s="80" t="s">
        <v>1094</v>
      </c>
    </row>
    <row r="585" spans="1:3" ht="15">
      <c r="A585" s="77" t="s">
        <v>246</v>
      </c>
      <c r="B585" s="76" t="s">
        <v>3468</v>
      </c>
      <c r="C585" s="80" t="s">
        <v>1094</v>
      </c>
    </row>
    <row r="586" spans="1:3" ht="15">
      <c r="A586" s="77" t="s">
        <v>235</v>
      </c>
      <c r="B586" s="76" t="s">
        <v>3290</v>
      </c>
      <c r="C586" s="80" t="s">
        <v>1069</v>
      </c>
    </row>
    <row r="587" spans="1:3" ht="15">
      <c r="A587" s="77" t="s">
        <v>235</v>
      </c>
      <c r="B587" s="76" t="s">
        <v>699</v>
      </c>
      <c r="C587" s="80" t="s">
        <v>1069</v>
      </c>
    </row>
    <row r="588" spans="1:3" ht="15">
      <c r="A588" s="77" t="s">
        <v>235</v>
      </c>
      <c r="B588" s="76" t="s">
        <v>3469</v>
      </c>
      <c r="C588" s="80" t="s">
        <v>1069</v>
      </c>
    </row>
    <row r="589" spans="1:3" ht="15">
      <c r="A589" s="77" t="s">
        <v>235</v>
      </c>
      <c r="B589" s="76" t="s">
        <v>693</v>
      </c>
      <c r="C589" s="80" t="s">
        <v>1069</v>
      </c>
    </row>
    <row r="590" spans="1:3" ht="15">
      <c r="A590" s="77" t="s">
        <v>235</v>
      </c>
      <c r="B590" s="76" t="s">
        <v>3470</v>
      </c>
      <c r="C590" s="80" t="s">
        <v>1069</v>
      </c>
    </row>
    <row r="591" spans="1:3" ht="15">
      <c r="A591" s="77" t="s">
        <v>235</v>
      </c>
      <c r="B591" s="76" t="s">
        <v>3471</v>
      </c>
      <c r="C591" s="80" t="s">
        <v>1069</v>
      </c>
    </row>
    <row r="592" spans="1:3" ht="15">
      <c r="A592" s="77" t="s">
        <v>235</v>
      </c>
      <c r="B592" s="76" t="s">
        <v>228</v>
      </c>
      <c r="C592" s="80" t="s">
        <v>1069</v>
      </c>
    </row>
    <row r="593" spans="1:3" ht="15">
      <c r="A593" s="77" t="s">
        <v>235</v>
      </c>
      <c r="B593" s="76" t="s">
        <v>234</v>
      </c>
      <c r="C593" s="80" t="s">
        <v>1069</v>
      </c>
    </row>
    <row r="594" spans="1:3" ht="15">
      <c r="A594" s="77" t="s">
        <v>235</v>
      </c>
      <c r="B594" s="76" t="s">
        <v>471</v>
      </c>
      <c r="C594" s="80" t="s">
        <v>1069</v>
      </c>
    </row>
    <row r="595" spans="1:3" ht="15">
      <c r="A595" s="77" t="s">
        <v>235</v>
      </c>
      <c r="B595" s="76" t="s">
        <v>3060</v>
      </c>
      <c r="C595" s="80" t="s">
        <v>1069</v>
      </c>
    </row>
    <row r="596" spans="1:3" ht="15">
      <c r="A596" s="77" t="s">
        <v>239</v>
      </c>
      <c r="B596" s="76" t="s">
        <v>3074</v>
      </c>
      <c r="C596" s="80" t="s">
        <v>1084</v>
      </c>
    </row>
    <row r="597" spans="1:3" ht="15">
      <c r="A597" s="77" t="s">
        <v>239</v>
      </c>
      <c r="B597" s="76" t="s">
        <v>3132</v>
      </c>
      <c r="C597" s="80" t="s">
        <v>1084</v>
      </c>
    </row>
    <row r="598" spans="1:3" ht="15">
      <c r="A598" s="77" t="s">
        <v>239</v>
      </c>
      <c r="B598" s="76" t="s">
        <v>3447</v>
      </c>
      <c r="C598" s="80" t="s">
        <v>1084</v>
      </c>
    </row>
    <row r="599" spans="1:3" ht="15">
      <c r="A599" s="77" t="s">
        <v>239</v>
      </c>
      <c r="B599" s="76" t="s">
        <v>278</v>
      </c>
      <c r="C599" s="80" t="s">
        <v>1084</v>
      </c>
    </row>
    <row r="600" spans="1:3" ht="15">
      <c r="A600" s="77" t="s">
        <v>239</v>
      </c>
      <c r="B600" s="76" t="s">
        <v>3053</v>
      </c>
      <c r="C600" s="80" t="s">
        <v>1084</v>
      </c>
    </row>
    <row r="601" spans="1:3" ht="15">
      <c r="A601" s="77" t="s">
        <v>239</v>
      </c>
      <c r="B601" s="76" t="s">
        <v>3052</v>
      </c>
      <c r="C601" s="80" t="s">
        <v>1084</v>
      </c>
    </row>
    <row r="602" spans="1:3" ht="15">
      <c r="A602" s="77" t="s">
        <v>239</v>
      </c>
      <c r="B602" s="76" t="s">
        <v>482</v>
      </c>
      <c r="C602" s="80" t="s">
        <v>1084</v>
      </c>
    </row>
    <row r="603" spans="1:3" ht="15">
      <c r="A603" s="77" t="s">
        <v>239</v>
      </c>
      <c r="B603" s="76" t="s">
        <v>483</v>
      </c>
      <c r="C603" s="80" t="s">
        <v>1084</v>
      </c>
    </row>
    <row r="604" spans="1:3" ht="15">
      <c r="A604" s="77" t="s">
        <v>239</v>
      </c>
      <c r="B604" s="76" t="s">
        <v>484</v>
      </c>
      <c r="C604" s="80" t="s">
        <v>1084</v>
      </c>
    </row>
    <row r="605" spans="1:3" ht="15">
      <c r="A605" s="77" t="s">
        <v>239</v>
      </c>
      <c r="B605" s="76" t="s">
        <v>485</v>
      </c>
      <c r="C605" s="80" t="s">
        <v>1084</v>
      </c>
    </row>
    <row r="606" spans="1:3" ht="15">
      <c r="A606" s="77" t="s">
        <v>239</v>
      </c>
      <c r="B606" s="76" t="s">
        <v>486</v>
      </c>
      <c r="C606" s="80" t="s">
        <v>1084</v>
      </c>
    </row>
    <row r="607" spans="1:3" ht="15">
      <c r="A607" s="77" t="s">
        <v>239</v>
      </c>
      <c r="B607" s="76" t="s">
        <v>487</v>
      </c>
      <c r="C607" s="80" t="s">
        <v>1084</v>
      </c>
    </row>
    <row r="608" spans="1:3" ht="15">
      <c r="A608" s="77" t="s">
        <v>239</v>
      </c>
      <c r="B608" s="76" t="s">
        <v>255</v>
      </c>
      <c r="C608" s="80" t="s">
        <v>1084</v>
      </c>
    </row>
    <row r="609" spans="1:3" ht="15">
      <c r="A609" s="77" t="s">
        <v>239</v>
      </c>
      <c r="B609" s="76" t="s">
        <v>488</v>
      </c>
      <c r="C609" s="80" t="s">
        <v>1084</v>
      </c>
    </row>
    <row r="610" spans="1:3" ht="15">
      <c r="A610" s="77" t="s">
        <v>239</v>
      </c>
      <c r="B610" s="76" t="s">
        <v>489</v>
      </c>
      <c r="C610" s="80" t="s">
        <v>1084</v>
      </c>
    </row>
    <row r="611" spans="1:3" ht="15">
      <c r="A611" s="77" t="s">
        <v>239</v>
      </c>
      <c r="B611" s="76" t="s">
        <v>3472</v>
      </c>
      <c r="C611" s="80" t="s">
        <v>1084</v>
      </c>
    </row>
    <row r="612" spans="1:3" ht="15">
      <c r="A612" s="77" t="s">
        <v>239</v>
      </c>
      <c r="B612" s="76" t="s">
        <v>228</v>
      </c>
      <c r="C612" s="80" t="s">
        <v>1084</v>
      </c>
    </row>
    <row r="613" spans="1:3" ht="15">
      <c r="A613" s="77" t="s">
        <v>239</v>
      </c>
      <c r="B613" s="76" t="s">
        <v>490</v>
      </c>
      <c r="C613" s="80" t="s">
        <v>1084</v>
      </c>
    </row>
    <row r="614" spans="1:3" ht="15">
      <c r="A614" s="77" t="s">
        <v>239</v>
      </c>
      <c r="B614" s="76" t="s">
        <v>3191</v>
      </c>
      <c r="C614" s="80" t="s">
        <v>1084</v>
      </c>
    </row>
    <row r="615" spans="1:3" ht="15">
      <c r="A615" s="77" t="s">
        <v>233</v>
      </c>
      <c r="B615" s="76" t="s">
        <v>228</v>
      </c>
      <c r="C615" s="80" t="s">
        <v>1065</v>
      </c>
    </row>
    <row r="616" spans="1:3" ht="15">
      <c r="A616" s="77" t="s">
        <v>233</v>
      </c>
      <c r="B616" s="76" t="s">
        <v>3473</v>
      </c>
      <c r="C616" s="80" t="s">
        <v>1065</v>
      </c>
    </row>
    <row r="617" spans="1:3" ht="15">
      <c r="A617" s="77" t="s">
        <v>233</v>
      </c>
      <c r="B617" s="76" t="s">
        <v>3474</v>
      </c>
      <c r="C617" s="80" t="s">
        <v>1065</v>
      </c>
    </row>
    <row r="618" spans="1:3" ht="15">
      <c r="A618" s="77" t="s">
        <v>233</v>
      </c>
      <c r="B618" s="76" t="s">
        <v>3475</v>
      </c>
      <c r="C618" s="80" t="s">
        <v>1065</v>
      </c>
    </row>
    <row r="619" spans="1:3" ht="15">
      <c r="A619" s="77" t="s">
        <v>233</v>
      </c>
      <c r="B619" s="76" t="s">
        <v>3476</v>
      </c>
      <c r="C619" s="80" t="s">
        <v>1065</v>
      </c>
    </row>
    <row r="620" spans="1:3" ht="15">
      <c r="A620" s="77" t="s">
        <v>233</v>
      </c>
      <c r="B620" s="76" t="s">
        <v>3477</v>
      </c>
      <c r="C620" s="80" t="s">
        <v>1065</v>
      </c>
    </row>
    <row r="621" spans="1:3" ht="15">
      <c r="A621" s="77" t="s">
        <v>233</v>
      </c>
      <c r="B621" s="76" t="s">
        <v>3478</v>
      </c>
      <c r="C621" s="80" t="s">
        <v>1065</v>
      </c>
    </row>
    <row r="622" spans="1:3" ht="15">
      <c r="A622" s="77" t="s">
        <v>229</v>
      </c>
      <c r="B622" s="76" t="s">
        <v>3479</v>
      </c>
      <c r="C622" s="80" t="s">
        <v>1079</v>
      </c>
    </row>
    <row r="623" spans="1:3" ht="15">
      <c r="A623" s="77" t="s">
        <v>229</v>
      </c>
      <c r="B623" s="76" t="s">
        <v>702</v>
      </c>
      <c r="C623" s="80" t="s">
        <v>1079</v>
      </c>
    </row>
    <row r="624" spans="1:3" ht="15">
      <c r="A624" s="77" t="s">
        <v>229</v>
      </c>
      <c r="B624" s="76" t="s">
        <v>3480</v>
      </c>
      <c r="C624" s="80" t="s">
        <v>1079</v>
      </c>
    </row>
    <row r="625" spans="1:3" ht="15">
      <c r="A625" s="77" t="s">
        <v>229</v>
      </c>
      <c r="B625" s="76" t="s">
        <v>3068</v>
      </c>
      <c r="C625" s="80" t="s">
        <v>1079</v>
      </c>
    </row>
    <row r="626" spans="1:3" ht="15">
      <c r="A626" s="77" t="s">
        <v>229</v>
      </c>
      <c r="B626" s="76" t="s">
        <v>3189</v>
      </c>
      <c r="C626" s="80" t="s">
        <v>1079</v>
      </c>
    </row>
    <row r="627" spans="1:3" ht="15">
      <c r="A627" s="77" t="s">
        <v>229</v>
      </c>
      <c r="B627" s="76" t="s">
        <v>724</v>
      </c>
      <c r="C627" s="80" t="s">
        <v>1079</v>
      </c>
    </row>
    <row r="628" spans="1:3" ht="15">
      <c r="A628" s="77" t="s">
        <v>229</v>
      </c>
      <c r="B628" s="76" t="s">
        <v>471</v>
      </c>
      <c r="C628" s="80" t="s">
        <v>1079</v>
      </c>
    </row>
    <row r="629" spans="1:3" ht="15">
      <c r="A629" s="77" t="s">
        <v>229</v>
      </c>
      <c r="B629" s="76" t="s">
        <v>238</v>
      </c>
      <c r="C629" s="80" t="s">
        <v>1079</v>
      </c>
    </row>
    <row r="630" spans="1:3" ht="15">
      <c r="A630" s="77" t="s">
        <v>229</v>
      </c>
      <c r="B630" s="76" t="s">
        <v>228</v>
      </c>
      <c r="C630" s="80" t="s">
        <v>1079</v>
      </c>
    </row>
    <row r="631" spans="1:3" ht="15">
      <c r="A631" s="77" t="s">
        <v>229</v>
      </c>
      <c r="B631" s="76" t="s">
        <v>253</v>
      </c>
      <c r="C631" s="80" t="s">
        <v>1079</v>
      </c>
    </row>
    <row r="632" spans="1:3" ht="15">
      <c r="A632" s="77" t="s">
        <v>244</v>
      </c>
      <c r="B632" s="76" t="s">
        <v>228</v>
      </c>
      <c r="C632" s="80" t="s">
        <v>1097</v>
      </c>
    </row>
    <row r="633" spans="1:3" ht="15">
      <c r="A633" s="77" t="s">
        <v>244</v>
      </c>
      <c r="B633" s="76" t="s">
        <v>471</v>
      </c>
      <c r="C633" s="80" t="s">
        <v>1097</v>
      </c>
    </row>
    <row r="634" spans="1:3" ht="15">
      <c r="A634" s="77" t="s">
        <v>244</v>
      </c>
      <c r="B634" s="76" t="s">
        <v>3481</v>
      </c>
      <c r="C634" s="80" t="s">
        <v>1097</v>
      </c>
    </row>
    <row r="635" spans="1:3" ht="15">
      <c r="A635" s="77" t="s">
        <v>244</v>
      </c>
      <c r="B635" s="76" t="s">
        <v>3085</v>
      </c>
      <c r="C635" s="80" t="s">
        <v>1097</v>
      </c>
    </row>
    <row r="636" spans="1:3" ht="15">
      <c r="A636" s="77" t="s">
        <v>244</v>
      </c>
      <c r="B636" s="76" t="s">
        <v>3209</v>
      </c>
      <c r="C636" s="80" t="s">
        <v>1097</v>
      </c>
    </row>
    <row r="637" spans="1:3" ht="15">
      <c r="A637" s="77" t="s">
        <v>244</v>
      </c>
      <c r="B637" s="76" t="s">
        <v>3136</v>
      </c>
      <c r="C637" s="80" t="s">
        <v>1097</v>
      </c>
    </row>
    <row r="638" spans="1:3" ht="15">
      <c r="A638" s="77" t="s">
        <v>244</v>
      </c>
      <c r="B638" s="76" t="s">
        <v>3169</v>
      </c>
      <c r="C638" s="80" t="s">
        <v>1097</v>
      </c>
    </row>
    <row r="639" spans="1:3" ht="15">
      <c r="A639" s="77" t="s">
        <v>247</v>
      </c>
      <c r="B639" s="76" t="s">
        <v>796</v>
      </c>
      <c r="C639" s="80" t="s">
        <v>1095</v>
      </c>
    </row>
    <row r="640" spans="1:3" ht="15">
      <c r="A640" s="77" t="s">
        <v>247</v>
      </c>
      <c r="B640" s="76" t="s">
        <v>3482</v>
      </c>
      <c r="C640" s="80" t="s">
        <v>1095</v>
      </c>
    </row>
    <row r="641" spans="1:3" ht="15">
      <c r="A641" s="77" t="s">
        <v>229</v>
      </c>
      <c r="B641" s="76" t="s">
        <v>3483</v>
      </c>
      <c r="C641" s="80" t="s">
        <v>1059</v>
      </c>
    </row>
    <row r="642" spans="1:3" ht="15">
      <c r="A642" s="77" t="s">
        <v>229</v>
      </c>
      <c r="B642" s="76" t="s">
        <v>3484</v>
      </c>
      <c r="C642" s="80" t="s">
        <v>1059</v>
      </c>
    </row>
    <row r="643" spans="1:3" ht="15">
      <c r="A643" s="77" t="s">
        <v>229</v>
      </c>
      <c r="B643" s="76" t="s">
        <v>3485</v>
      </c>
      <c r="C643" s="80" t="s">
        <v>1059</v>
      </c>
    </row>
    <row r="644" spans="1:3" ht="15">
      <c r="A644" s="77" t="s">
        <v>229</v>
      </c>
      <c r="B644" s="76" t="s">
        <v>3053</v>
      </c>
      <c r="C644" s="80" t="s">
        <v>1059</v>
      </c>
    </row>
    <row r="645" spans="1:3" ht="15">
      <c r="A645" s="77" t="s">
        <v>229</v>
      </c>
      <c r="B645" s="76" t="s">
        <v>3052</v>
      </c>
      <c r="C645" s="80" t="s">
        <v>1059</v>
      </c>
    </row>
    <row r="646" spans="1:3" ht="15">
      <c r="A646" s="77" t="s">
        <v>229</v>
      </c>
      <c r="B646" s="76" t="s">
        <v>402</v>
      </c>
      <c r="C646" s="80" t="s">
        <v>1059</v>
      </c>
    </row>
    <row r="647" spans="1:3" ht="15">
      <c r="A647" s="77" t="s">
        <v>229</v>
      </c>
      <c r="B647" s="76" t="s">
        <v>403</v>
      </c>
      <c r="C647" s="80" t="s">
        <v>1059</v>
      </c>
    </row>
    <row r="648" spans="1:3" ht="15">
      <c r="A648" s="77" t="s">
        <v>229</v>
      </c>
      <c r="B648" s="76" t="s">
        <v>404</v>
      </c>
      <c r="C648" s="80" t="s">
        <v>1059</v>
      </c>
    </row>
    <row r="649" spans="1:3" ht="15">
      <c r="A649" s="77" t="s">
        <v>229</v>
      </c>
      <c r="B649" s="76" t="s">
        <v>405</v>
      </c>
      <c r="C649" s="80" t="s">
        <v>1059</v>
      </c>
    </row>
    <row r="650" spans="1:3" ht="15">
      <c r="A650" s="77" t="s">
        <v>229</v>
      </c>
      <c r="B650" s="76" t="s">
        <v>406</v>
      </c>
      <c r="C650" s="80" t="s">
        <v>1059</v>
      </c>
    </row>
    <row r="651" spans="1:3" ht="15">
      <c r="A651" s="77" t="s">
        <v>229</v>
      </c>
      <c r="B651" s="76" t="s">
        <v>303</v>
      </c>
      <c r="C651" s="80" t="s">
        <v>1059</v>
      </c>
    </row>
    <row r="652" spans="1:3" ht="15">
      <c r="A652" s="77" t="s">
        <v>229</v>
      </c>
      <c r="B652" s="76" t="s">
        <v>407</v>
      </c>
      <c r="C652" s="80" t="s">
        <v>1059</v>
      </c>
    </row>
    <row r="653" spans="1:3" ht="15">
      <c r="A653" s="77" t="s">
        <v>229</v>
      </c>
      <c r="B653" s="76" t="s">
        <v>408</v>
      </c>
      <c r="C653" s="80" t="s">
        <v>1059</v>
      </c>
    </row>
    <row r="654" spans="1:3" ht="15">
      <c r="A654" s="77" t="s">
        <v>229</v>
      </c>
      <c r="B654" s="76" t="s">
        <v>409</v>
      </c>
      <c r="C654" s="80" t="s">
        <v>1059</v>
      </c>
    </row>
    <row r="655" spans="1:3" ht="15">
      <c r="A655" s="77" t="s">
        <v>229</v>
      </c>
      <c r="B655" s="76" t="s">
        <v>410</v>
      </c>
      <c r="C655" s="80" t="s">
        <v>1059</v>
      </c>
    </row>
    <row r="656" spans="1:3" ht="15">
      <c r="A656" s="77" t="s">
        <v>229</v>
      </c>
      <c r="B656" s="76" t="s">
        <v>228</v>
      </c>
      <c r="C656" s="80" t="s">
        <v>1059</v>
      </c>
    </row>
    <row r="657" spans="1:3" ht="15">
      <c r="A657" s="77" t="s">
        <v>229</v>
      </c>
      <c r="B657" s="76" t="s">
        <v>3486</v>
      </c>
      <c r="C657" s="80" t="s">
        <v>1059</v>
      </c>
    </row>
    <row r="658" spans="1:3" ht="15">
      <c r="A658" s="77" t="s">
        <v>238</v>
      </c>
      <c r="B658" s="76" t="s">
        <v>228</v>
      </c>
      <c r="C658" s="80" t="s">
        <v>1075</v>
      </c>
    </row>
    <row r="659" spans="1:3" ht="15">
      <c r="A659" s="77" t="s">
        <v>238</v>
      </c>
      <c r="B659" s="76" t="s">
        <v>699</v>
      </c>
      <c r="C659" s="80" t="s">
        <v>1075</v>
      </c>
    </row>
    <row r="660" spans="1:3" ht="15">
      <c r="A660" s="77" t="s">
        <v>238</v>
      </c>
      <c r="B660" s="76" t="s">
        <v>463</v>
      </c>
      <c r="C660" s="80" t="s">
        <v>1075</v>
      </c>
    </row>
    <row r="661" spans="1:3" ht="15">
      <c r="A661" s="77" t="s">
        <v>238</v>
      </c>
      <c r="B661" s="76" t="s">
        <v>464</v>
      </c>
      <c r="C661" s="80" t="s">
        <v>1075</v>
      </c>
    </row>
    <row r="662" spans="1:3" ht="15">
      <c r="A662" s="77" t="s">
        <v>238</v>
      </c>
      <c r="B662" s="76" t="s">
        <v>465</v>
      </c>
      <c r="C662" s="80" t="s">
        <v>1075</v>
      </c>
    </row>
    <row r="663" spans="1:3" ht="15">
      <c r="A663" s="77" t="s">
        <v>238</v>
      </c>
      <c r="B663" s="76" t="s">
        <v>466</v>
      </c>
      <c r="C663" s="80" t="s">
        <v>1075</v>
      </c>
    </row>
    <row r="664" spans="1:3" ht="15">
      <c r="A664" s="77" t="s">
        <v>238</v>
      </c>
      <c r="B664" s="76" t="s">
        <v>467</v>
      </c>
      <c r="C664" s="80" t="s">
        <v>1075</v>
      </c>
    </row>
    <row r="665" spans="1:3" ht="15">
      <c r="A665" s="77" t="s">
        <v>238</v>
      </c>
      <c r="B665" s="76" t="s">
        <v>468</v>
      </c>
      <c r="C665" s="80" t="s">
        <v>1075</v>
      </c>
    </row>
    <row r="666" spans="1:3" ht="15">
      <c r="A666" s="77" t="s">
        <v>238</v>
      </c>
      <c r="B666" s="76" t="s">
        <v>259</v>
      </c>
      <c r="C666" s="80" t="s">
        <v>1075</v>
      </c>
    </row>
    <row r="667" spans="1:3" ht="15">
      <c r="A667" s="77" t="s">
        <v>238</v>
      </c>
      <c r="B667" s="76" t="s">
        <v>469</v>
      </c>
      <c r="C667" s="80" t="s">
        <v>1075</v>
      </c>
    </row>
    <row r="668" spans="1:3" ht="15">
      <c r="A668" s="77" t="s">
        <v>238</v>
      </c>
      <c r="B668" s="76" t="s">
        <v>470</v>
      </c>
      <c r="C668" s="80" t="s">
        <v>1075</v>
      </c>
    </row>
    <row r="669" spans="1:3" ht="15">
      <c r="A669" s="77" t="s">
        <v>238</v>
      </c>
      <c r="B669" s="76" t="s">
        <v>235</v>
      </c>
      <c r="C669" s="80" t="s">
        <v>1075</v>
      </c>
    </row>
    <row r="670" spans="1:3" ht="15">
      <c r="A670" s="77" t="s">
        <v>257</v>
      </c>
      <c r="B670" s="76" t="s">
        <v>258</v>
      </c>
      <c r="C670" s="80" t="s">
        <v>1131</v>
      </c>
    </row>
    <row r="671" spans="1:3" ht="15">
      <c r="A671" s="77" t="s">
        <v>257</v>
      </c>
      <c r="B671" s="76" t="s">
        <v>526</v>
      </c>
      <c r="C671" s="80" t="s">
        <v>1131</v>
      </c>
    </row>
    <row r="672" spans="1:3" ht="15">
      <c r="A672" s="77" t="s">
        <v>257</v>
      </c>
      <c r="B672" s="76" t="s">
        <v>527</v>
      </c>
      <c r="C672" s="80" t="s">
        <v>1131</v>
      </c>
    </row>
    <row r="673" spans="1:3" ht="15">
      <c r="A673" s="77" t="s">
        <v>257</v>
      </c>
      <c r="B673" s="76" t="s">
        <v>228</v>
      </c>
      <c r="C673" s="80" t="s">
        <v>1131</v>
      </c>
    </row>
    <row r="674" spans="1:3" ht="15">
      <c r="A674" s="77" t="s">
        <v>257</v>
      </c>
      <c r="B674" s="76" t="s">
        <v>528</v>
      </c>
      <c r="C674" s="80" t="s">
        <v>1131</v>
      </c>
    </row>
    <row r="675" spans="1:3" ht="15">
      <c r="A675" s="77" t="s">
        <v>257</v>
      </c>
      <c r="B675" s="76" t="s">
        <v>529</v>
      </c>
      <c r="C675" s="80" t="s">
        <v>1131</v>
      </c>
    </row>
    <row r="676" spans="1:3" ht="15">
      <c r="A676" s="77" t="s">
        <v>257</v>
      </c>
      <c r="B676" s="76" t="s">
        <v>530</v>
      </c>
      <c r="C676" s="80" t="s">
        <v>1131</v>
      </c>
    </row>
    <row r="677" spans="1:3" ht="15">
      <c r="A677" s="77" t="s">
        <v>257</v>
      </c>
      <c r="B677" s="76" t="s">
        <v>531</v>
      </c>
      <c r="C677" s="80" t="s">
        <v>1131</v>
      </c>
    </row>
    <row r="678" spans="1:3" ht="15">
      <c r="A678" s="77" t="s">
        <v>257</v>
      </c>
      <c r="B678" s="76" t="s">
        <v>532</v>
      </c>
      <c r="C678" s="80" t="s">
        <v>1131</v>
      </c>
    </row>
    <row r="679" spans="1:3" ht="15">
      <c r="A679" s="77" t="s">
        <v>257</v>
      </c>
      <c r="B679" s="76" t="s">
        <v>533</v>
      </c>
      <c r="C679" s="80" t="s">
        <v>1131</v>
      </c>
    </row>
    <row r="680" spans="1:3" ht="15">
      <c r="A680" s="77" t="s">
        <v>257</v>
      </c>
      <c r="B680" s="76" t="s">
        <v>534</v>
      </c>
      <c r="C680" s="80" t="s">
        <v>1131</v>
      </c>
    </row>
    <row r="681" spans="1:3" ht="15">
      <c r="A681" s="77" t="s">
        <v>257</v>
      </c>
      <c r="B681" s="76" t="s">
        <v>535</v>
      </c>
      <c r="C681" s="80" t="s">
        <v>1131</v>
      </c>
    </row>
    <row r="682" spans="1:3" ht="15">
      <c r="A682" s="77" t="s">
        <v>257</v>
      </c>
      <c r="B682" s="76" t="s">
        <v>536</v>
      </c>
      <c r="C682" s="80" t="s">
        <v>1131</v>
      </c>
    </row>
    <row r="683" spans="1:3" ht="15">
      <c r="A683" s="77" t="s">
        <v>257</v>
      </c>
      <c r="B683" s="76" t="s">
        <v>537</v>
      </c>
      <c r="C683" s="80" t="s">
        <v>1131</v>
      </c>
    </row>
    <row r="684" spans="1:3" ht="15">
      <c r="A684" s="77" t="s">
        <v>257</v>
      </c>
      <c r="B684" s="76" t="s">
        <v>538</v>
      </c>
      <c r="C684" s="80" t="s">
        <v>1131</v>
      </c>
    </row>
    <row r="685" spans="1:3" ht="15">
      <c r="A685" s="77" t="s">
        <v>257</v>
      </c>
      <c r="B685" s="76" t="s">
        <v>3487</v>
      </c>
      <c r="C685" s="80" t="s">
        <v>1131</v>
      </c>
    </row>
    <row r="686" spans="1:3" ht="15">
      <c r="A686" s="77" t="s">
        <v>257</v>
      </c>
      <c r="B686" s="76" t="s">
        <v>3488</v>
      </c>
      <c r="C686" s="80" t="s">
        <v>1131</v>
      </c>
    </row>
    <row r="687" spans="1:3" ht="15">
      <c r="A687" s="77" t="s">
        <v>257</v>
      </c>
      <c r="B687" s="76" t="s">
        <v>3489</v>
      </c>
      <c r="C687" s="80" t="s">
        <v>1131</v>
      </c>
    </row>
    <row r="688" spans="1:3" ht="15">
      <c r="A688" s="77" t="s">
        <v>257</v>
      </c>
      <c r="B688" s="76" t="s">
        <v>3490</v>
      </c>
      <c r="C688" s="80" t="s">
        <v>1131</v>
      </c>
    </row>
    <row r="689" spans="1:3" ht="15">
      <c r="A689" s="77" t="s">
        <v>244</v>
      </c>
      <c r="B689" s="76" t="s">
        <v>3054</v>
      </c>
      <c r="C689" s="80" t="s">
        <v>1093</v>
      </c>
    </row>
    <row r="690" spans="1:3" ht="15">
      <c r="A690" s="77" t="s">
        <v>244</v>
      </c>
      <c r="B690" s="76" t="s">
        <v>3491</v>
      </c>
      <c r="C690" s="80" t="s">
        <v>1093</v>
      </c>
    </row>
    <row r="691" spans="1:3" ht="15">
      <c r="A691" s="77" t="s">
        <v>244</v>
      </c>
      <c r="B691" s="76" t="s">
        <v>3201</v>
      </c>
      <c r="C691" s="80" t="s">
        <v>1093</v>
      </c>
    </row>
    <row r="692" spans="1:3" ht="15">
      <c r="A692" s="77" t="s">
        <v>244</v>
      </c>
      <c r="B692" s="76" t="s">
        <v>3064</v>
      </c>
      <c r="C692" s="80" t="s">
        <v>1093</v>
      </c>
    </row>
    <row r="693" spans="1:3" ht="15">
      <c r="A693" s="77" t="s">
        <v>244</v>
      </c>
      <c r="B693" s="76" t="s">
        <v>3055</v>
      </c>
      <c r="C693" s="80" t="s">
        <v>1093</v>
      </c>
    </row>
    <row r="694" spans="1:3" ht="15">
      <c r="A694" s="77" t="s">
        <v>244</v>
      </c>
      <c r="B694" s="76" t="s">
        <v>508</v>
      </c>
      <c r="C694" s="80" t="s">
        <v>1093</v>
      </c>
    </row>
    <row r="695" spans="1:3" ht="15">
      <c r="A695" s="77" t="s">
        <v>244</v>
      </c>
      <c r="B695" s="76" t="s">
        <v>509</v>
      </c>
      <c r="C695" s="80" t="s">
        <v>1093</v>
      </c>
    </row>
    <row r="696" spans="1:3" ht="15">
      <c r="A696" s="77" t="s">
        <v>244</v>
      </c>
      <c r="B696" s="76" t="s">
        <v>278</v>
      </c>
      <c r="C696" s="80" t="s">
        <v>1093</v>
      </c>
    </row>
    <row r="697" spans="1:3" ht="15">
      <c r="A697" s="77" t="s">
        <v>244</v>
      </c>
      <c r="B697" s="76" t="s">
        <v>3170</v>
      </c>
      <c r="C697" s="80" t="s">
        <v>1093</v>
      </c>
    </row>
    <row r="698" spans="1:3" ht="15">
      <c r="A698" s="77" t="s">
        <v>244</v>
      </c>
      <c r="B698" s="76" t="s">
        <v>3492</v>
      </c>
      <c r="C698" s="80" t="s">
        <v>1093</v>
      </c>
    </row>
    <row r="699" spans="1:3" ht="15">
      <c r="A699" s="77" t="s">
        <v>244</v>
      </c>
      <c r="B699" s="76" t="s">
        <v>3493</v>
      </c>
      <c r="C699" s="80" t="s">
        <v>1093</v>
      </c>
    </row>
    <row r="700" spans="1:3" ht="15">
      <c r="A700" s="77" t="s">
        <v>244</v>
      </c>
      <c r="B700" s="76" t="s">
        <v>3494</v>
      </c>
      <c r="C700" s="80" t="s">
        <v>1093</v>
      </c>
    </row>
    <row r="701" spans="1:3" ht="15">
      <c r="A701" s="77" t="s">
        <v>244</v>
      </c>
      <c r="B701" s="76" t="s">
        <v>228</v>
      </c>
      <c r="C701" s="80" t="s">
        <v>1093</v>
      </c>
    </row>
    <row r="702" spans="1:3" ht="15">
      <c r="A702" s="77" t="s">
        <v>244</v>
      </c>
      <c r="B702" s="76" t="s">
        <v>3100</v>
      </c>
      <c r="C702" s="80" t="s">
        <v>1093</v>
      </c>
    </row>
    <row r="703" spans="1:3" ht="15">
      <c r="A703" s="77" t="s">
        <v>244</v>
      </c>
      <c r="B703" s="76" t="s">
        <v>3083</v>
      </c>
      <c r="C703" s="80" t="s">
        <v>1093</v>
      </c>
    </row>
    <row r="704" spans="1:3" ht="15">
      <c r="A704" s="77" t="s">
        <v>244</v>
      </c>
      <c r="B704" s="76" t="s">
        <v>3112</v>
      </c>
      <c r="C704" s="80" t="s">
        <v>1093</v>
      </c>
    </row>
    <row r="705" spans="1:3" ht="15">
      <c r="A705" s="77" t="s">
        <v>244</v>
      </c>
      <c r="B705" s="76" t="s">
        <v>3080</v>
      </c>
      <c r="C705" s="80" t="s">
        <v>1093</v>
      </c>
    </row>
    <row r="706" spans="1:3" ht="15">
      <c r="A706" s="77" t="s">
        <v>244</v>
      </c>
      <c r="B706" s="76" t="s">
        <v>3089</v>
      </c>
      <c r="C706" s="80" t="s">
        <v>1093</v>
      </c>
    </row>
    <row r="707" spans="1:3" ht="15">
      <c r="A707" s="77" t="s">
        <v>244</v>
      </c>
      <c r="B707" s="76" t="s">
        <v>3204</v>
      </c>
      <c r="C707" s="80" t="s">
        <v>1093</v>
      </c>
    </row>
    <row r="708" spans="1:3" ht="15">
      <c r="A708" s="77" t="s">
        <v>244</v>
      </c>
      <c r="B708" s="76" t="s">
        <v>3495</v>
      </c>
      <c r="C708" s="80" t="s">
        <v>1093</v>
      </c>
    </row>
    <row r="709" spans="1:3" ht="15">
      <c r="A709" s="77" t="s">
        <v>244</v>
      </c>
      <c r="B709" s="76" t="s">
        <v>3177</v>
      </c>
      <c r="C709" s="80" t="s">
        <v>1093</v>
      </c>
    </row>
    <row r="710" spans="1:3" ht="15">
      <c r="A710" s="77" t="s">
        <v>244</v>
      </c>
      <c r="B710" s="76" t="s">
        <v>3496</v>
      </c>
      <c r="C710" s="80" t="s">
        <v>1093</v>
      </c>
    </row>
    <row r="711" spans="1:3" ht="15">
      <c r="A711" s="77" t="s">
        <v>244</v>
      </c>
      <c r="B711" s="76" t="s">
        <v>3497</v>
      </c>
      <c r="C711" s="80" t="s">
        <v>1093</v>
      </c>
    </row>
    <row r="712" spans="1:3" ht="15">
      <c r="A712" s="77" t="s">
        <v>244</v>
      </c>
      <c r="B712" s="76" t="s">
        <v>3119</v>
      </c>
      <c r="C712" s="80" t="s">
        <v>1093</v>
      </c>
    </row>
    <row r="713" spans="1:3" ht="15">
      <c r="A713" s="77" t="s">
        <v>244</v>
      </c>
      <c r="B713" s="76" t="s">
        <v>3498</v>
      </c>
      <c r="C713" s="80" t="s">
        <v>1093</v>
      </c>
    </row>
    <row r="714" spans="1:3" ht="15">
      <c r="A714" s="77" t="s">
        <v>244</v>
      </c>
      <c r="B714" s="76" t="s">
        <v>3499</v>
      </c>
      <c r="C714" s="80" t="s">
        <v>1093</v>
      </c>
    </row>
    <row r="715" spans="1:3" ht="15">
      <c r="A715" s="77" t="s">
        <v>239</v>
      </c>
      <c r="B715" s="76" t="s">
        <v>3500</v>
      </c>
      <c r="C715" s="80" t="s">
        <v>1083</v>
      </c>
    </row>
    <row r="716" spans="1:3" ht="15">
      <c r="A716" s="77" t="s">
        <v>239</v>
      </c>
      <c r="B716" s="76" t="s">
        <v>3501</v>
      </c>
      <c r="C716" s="80" t="s">
        <v>1083</v>
      </c>
    </row>
    <row r="717" spans="1:3" ht="15">
      <c r="A717" s="77" t="s">
        <v>239</v>
      </c>
      <c r="B717" s="76" t="s">
        <v>3502</v>
      </c>
      <c r="C717" s="80" t="s">
        <v>1083</v>
      </c>
    </row>
    <row r="718" spans="1:3" ht="15">
      <c r="A718" s="77" t="s">
        <v>239</v>
      </c>
      <c r="B718" s="76" t="s">
        <v>3053</v>
      </c>
      <c r="C718" s="80" t="s">
        <v>1083</v>
      </c>
    </row>
    <row r="719" spans="1:3" ht="15">
      <c r="A719" s="77" t="s">
        <v>239</v>
      </c>
      <c r="B719" s="76" t="s">
        <v>3052</v>
      </c>
      <c r="C719" s="80" t="s">
        <v>1083</v>
      </c>
    </row>
    <row r="720" spans="1:3" ht="15">
      <c r="A720" s="77" t="s">
        <v>239</v>
      </c>
      <c r="B720" s="76" t="s">
        <v>472</v>
      </c>
      <c r="C720" s="80" t="s">
        <v>1083</v>
      </c>
    </row>
    <row r="721" spans="1:3" ht="15">
      <c r="A721" s="77" t="s">
        <v>239</v>
      </c>
      <c r="B721" s="76" t="s">
        <v>473</v>
      </c>
      <c r="C721" s="80" t="s">
        <v>1083</v>
      </c>
    </row>
    <row r="722" spans="1:3" ht="15">
      <c r="A722" s="77" t="s">
        <v>239</v>
      </c>
      <c r="B722" s="76" t="s">
        <v>474</v>
      </c>
      <c r="C722" s="80" t="s">
        <v>1083</v>
      </c>
    </row>
    <row r="723" spans="1:3" ht="15">
      <c r="A723" s="77" t="s">
        <v>239</v>
      </c>
      <c r="B723" s="76" t="s">
        <v>475</v>
      </c>
      <c r="C723" s="80" t="s">
        <v>1083</v>
      </c>
    </row>
    <row r="724" spans="1:3" ht="15">
      <c r="A724" s="77" t="s">
        <v>239</v>
      </c>
      <c r="B724" s="76" t="s">
        <v>476</v>
      </c>
      <c r="C724" s="80" t="s">
        <v>1083</v>
      </c>
    </row>
    <row r="725" spans="1:3" ht="15">
      <c r="A725" s="77" t="s">
        <v>239</v>
      </c>
      <c r="B725" s="76" t="s">
        <v>477</v>
      </c>
      <c r="C725" s="80" t="s">
        <v>1083</v>
      </c>
    </row>
    <row r="726" spans="1:3" ht="15">
      <c r="A726" s="77" t="s">
        <v>239</v>
      </c>
      <c r="B726" s="76" t="s">
        <v>478</v>
      </c>
      <c r="C726" s="80" t="s">
        <v>1083</v>
      </c>
    </row>
    <row r="727" spans="1:3" ht="15">
      <c r="A727" s="77" t="s">
        <v>239</v>
      </c>
      <c r="B727" s="76" t="s">
        <v>479</v>
      </c>
      <c r="C727" s="80" t="s">
        <v>1083</v>
      </c>
    </row>
    <row r="728" spans="1:3" ht="15">
      <c r="A728" s="77" t="s">
        <v>239</v>
      </c>
      <c r="B728" s="76" t="s">
        <v>480</v>
      </c>
      <c r="C728" s="80" t="s">
        <v>1083</v>
      </c>
    </row>
    <row r="729" spans="1:3" ht="15">
      <c r="A729" s="77" t="s">
        <v>239</v>
      </c>
      <c r="B729" s="76" t="s">
        <v>481</v>
      </c>
      <c r="C729" s="80" t="s">
        <v>1083</v>
      </c>
    </row>
    <row r="730" spans="1:3" ht="15">
      <c r="A730" s="77" t="s">
        <v>239</v>
      </c>
      <c r="B730" s="76" t="s">
        <v>3472</v>
      </c>
      <c r="C730" s="80" t="s">
        <v>1083</v>
      </c>
    </row>
    <row r="731" spans="1:3" ht="15">
      <c r="A731" s="77" t="s">
        <v>239</v>
      </c>
      <c r="B731" s="76" t="s">
        <v>228</v>
      </c>
      <c r="C731" s="80" t="s">
        <v>1083</v>
      </c>
    </row>
    <row r="732" spans="1:3" ht="15">
      <c r="A732" s="77" t="s">
        <v>239</v>
      </c>
      <c r="B732" s="76" t="s">
        <v>3503</v>
      </c>
      <c r="C732" s="80" t="s">
        <v>1083</v>
      </c>
    </row>
    <row r="733" spans="1:3" ht="15">
      <c r="A733" s="77" t="s">
        <v>239</v>
      </c>
      <c r="B733" s="76" t="s">
        <v>3191</v>
      </c>
      <c r="C733" s="80" t="s">
        <v>1083</v>
      </c>
    </row>
    <row r="734" spans="1:3" ht="15">
      <c r="A734" s="77" t="s">
        <v>257</v>
      </c>
      <c r="B734" s="76" t="s">
        <v>526</v>
      </c>
      <c r="C734" s="80" t="s">
        <v>1132</v>
      </c>
    </row>
    <row r="735" spans="1:3" ht="15">
      <c r="A735" s="77" t="s">
        <v>257</v>
      </c>
      <c r="B735" s="76" t="s">
        <v>228</v>
      </c>
      <c r="C735" s="80" t="s">
        <v>1132</v>
      </c>
    </row>
    <row r="736" spans="1:3" ht="15">
      <c r="A736" s="77" t="s">
        <v>257</v>
      </c>
      <c r="B736" s="76" t="s">
        <v>528</v>
      </c>
      <c r="C736" s="80" t="s">
        <v>1132</v>
      </c>
    </row>
    <row r="737" spans="1:3" ht="15">
      <c r="A737" s="77" t="s">
        <v>257</v>
      </c>
      <c r="B737" s="76" t="s">
        <v>529</v>
      </c>
      <c r="C737" s="80" t="s">
        <v>1132</v>
      </c>
    </row>
    <row r="738" spans="1:3" ht="15">
      <c r="A738" s="77" t="s">
        <v>257</v>
      </c>
      <c r="B738" s="76" t="s">
        <v>530</v>
      </c>
      <c r="C738" s="80" t="s">
        <v>1132</v>
      </c>
    </row>
    <row r="739" spans="1:3" ht="15">
      <c r="A739" s="77" t="s">
        <v>257</v>
      </c>
      <c r="B739" s="76" t="s">
        <v>531</v>
      </c>
      <c r="C739" s="80" t="s">
        <v>1132</v>
      </c>
    </row>
    <row r="740" spans="1:3" ht="15">
      <c r="A740" s="77" t="s">
        <v>257</v>
      </c>
      <c r="B740" s="76" t="s">
        <v>532</v>
      </c>
      <c r="C740" s="80" t="s">
        <v>1132</v>
      </c>
    </row>
    <row r="741" spans="1:3" ht="15">
      <c r="A741" s="77" t="s">
        <v>257</v>
      </c>
      <c r="B741" s="76" t="s">
        <v>533</v>
      </c>
      <c r="C741" s="80" t="s">
        <v>1132</v>
      </c>
    </row>
    <row r="742" spans="1:3" ht="15">
      <c r="A742" s="77" t="s">
        <v>257</v>
      </c>
      <c r="B742" s="76" t="s">
        <v>534</v>
      </c>
      <c r="C742" s="80" t="s">
        <v>1132</v>
      </c>
    </row>
    <row r="743" spans="1:3" ht="15">
      <c r="A743" s="77" t="s">
        <v>257</v>
      </c>
      <c r="B743" s="76" t="s">
        <v>535</v>
      </c>
      <c r="C743" s="80" t="s">
        <v>1132</v>
      </c>
    </row>
    <row r="744" spans="1:3" ht="15">
      <c r="A744" s="77" t="s">
        <v>257</v>
      </c>
      <c r="B744" s="76" t="s">
        <v>537</v>
      </c>
      <c r="C744" s="80" t="s">
        <v>1132</v>
      </c>
    </row>
    <row r="745" spans="1:3" ht="15">
      <c r="A745" s="77" t="s">
        <v>257</v>
      </c>
      <c r="B745" s="76" t="s">
        <v>538</v>
      </c>
      <c r="C745" s="80" t="s">
        <v>1132</v>
      </c>
    </row>
    <row r="746" spans="1:3" ht="15">
      <c r="A746" s="77" t="s">
        <v>257</v>
      </c>
      <c r="B746" s="76" t="s">
        <v>3504</v>
      </c>
      <c r="C746" s="80" t="s">
        <v>1132</v>
      </c>
    </row>
    <row r="747" spans="1:3" ht="15">
      <c r="A747" s="77" t="s">
        <v>257</v>
      </c>
      <c r="B747" s="76" t="s">
        <v>3484</v>
      </c>
      <c r="C747" s="80" t="s">
        <v>1132</v>
      </c>
    </row>
    <row r="748" spans="1:3" ht="15">
      <c r="A748" s="77" t="s">
        <v>257</v>
      </c>
      <c r="B748" s="76" t="s">
        <v>3505</v>
      </c>
      <c r="C748" s="80" t="s">
        <v>1132</v>
      </c>
    </row>
    <row r="749" spans="1:3" ht="15">
      <c r="A749" s="77" t="s">
        <v>257</v>
      </c>
      <c r="B749" s="76" t="s">
        <v>3306</v>
      </c>
      <c r="C749" s="80" t="s">
        <v>1132</v>
      </c>
    </row>
    <row r="750" spans="1:3" ht="15">
      <c r="A750" s="77" t="s">
        <v>257</v>
      </c>
      <c r="B750" s="76" t="s">
        <v>3506</v>
      </c>
      <c r="C750" s="80" t="s">
        <v>1132</v>
      </c>
    </row>
    <row r="751" spans="1:3" ht="15">
      <c r="A751" s="77" t="s">
        <v>257</v>
      </c>
      <c r="B751" s="76" t="s">
        <v>3507</v>
      </c>
      <c r="C751" s="80" t="s">
        <v>1132</v>
      </c>
    </row>
    <row r="752" spans="1:3" ht="15">
      <c r="A752" s="77" t="s">
        <v>257</v>
      </c>
      <c r="B752" s="76" t="s">
        <v>3092</v>
      </c>
      <c r="C752" s="80" t="s">
        <v>1132</v>
      </c>
    </row>
    <row r="753" spans="1:3" ht="15">
      <c r="A753" s="77" t="s">
        <v>257</v>
      </c>
      <c r="B753" s="76" t="s">
        <v>3508</v>
      </c>
      <c r="C753" s="80" t="s">
        <v>1132</v>
      </c>
    </row>
    <row r="754" spans="1:3" ht="15">
      <c r="A754" s="77" t="s">
        <v>257</v>
      </c>
      <c r="B754" s="76" t="s">
        <v>3509</v>
      </c>
      <c r="C754" s="80" t="s">
        <v>1132</v>
      </c>
    </row>
    <row r="755" spans="1:3" ht="15">
      <c r="A755" s="77" t="s">
        <v>257</v>
      </c>
      <c r="B755" s="76" t="s">
        <v>3510</v>
      </c>
      <c r="C755" s="80" t="s">
        <v>1132</v>
      </c>
    </row>
    <row r="756" spans="1:3" ht="15">
      <c r="A756" s="77" t="s">
        <v>229</v>
      </c>
      <c r="B756" s="76" t="s">
        <v>3511</v>
      </c>
      <c r="C756" s="80" t="s">
        <v>1058</v>
      </c>
    </row>
    <row r="757" spans="1:3" ht="15">
      <c r="A757" s="77" t="s">
        <v>229</v>
      </c>
      <c r="B757" s="76" t="s">
        <v>3512</v>
      </c>
      <c r="C757" s="80" t="s">
        <v>1058</v>
      </c>
    </row>
    <row r="758" spans="1:3" ht="15">
      <c r="A758" s="77" t="s">
        <v>229</v>
      </c>
      <c r="B758" s="76" t="s">
        <v>3513</v>
      </c>
      <c r="C758" s="80" t="s">
        <v>1058</v>
      </c>
    </row>
    <row r="759" spans="1:3" ht="15">
      <c r="A759" s="77" t="s">
        <v>229</v>
      </c>
      <c r="B759" s="76" t="s">
        <v>3514</v>
      </c>
      <c r="C759" s="80" t="s">
        <v>1058</v>
      </c>
    </row>
    <row r="760" spans="1:3" ht="15">
      <c r="A760" s="77" t="s">
        <v>229</v>
      </c>
      <c r="B760" s="76" t="s">
        <v>3515</v>
      </c>
      <c r="C760" s="80" t="s">
        <v>1058</v>
      </c>
    </row>
    <row r="761" spans="1:3" ht="15">
      <c r="A761" s="77" t="s">
        <v>229</v>
      </c>
      <c r="B761" s="76" t="s">
        <v>3516</v>
      </c>
      <c r="C761" s="80" t="s">
        <v>1058</v>
      </c>
    </row>
    <row r="762" spans="1:3" ht="15">
      <c r="A762" s="77" t="s">
        <v>229</v>
      </c>
      <c r="B762" s="76" t="s">
        <v>3517</v>
      </c>
      <c r="C762" s="80" t="s">
        <v>1058</v>
      </c>
    </row>
    <row r="763" spans="1:3" ht="15">
      <c r="A763" s="77" t="s">
        <v>229</v>
      </c>
      <c r="B763" s="76" t="s">
        <v>3518</v>
      </c>
      <c r="C763" s="80" t="s">
        <v>1058</v>
      </c>
    </row>
    <row r="764" spans="1:3" ht="15">
      <c r="A764" s="77" t="s">
        <v>229</v>
      </c>
      <c r="B764" s="76" t="s">
        <v>3053</v>
      </c>
      <c r="C764" s="80" t="s">
        <v>1058</v>
      </c>
    </row>
    <row r="765" spans="1:3" ht="15">
      <c r="A765" s="77" t="s">
        <v>229</v>
      </c>
      <c r="B765" s="76" t="s">
        <v>3052</v>
      </c>
      <c r="C765" s="80" t="s">
        <v>1058</v>
      </c>
    </row>
    <row r="766" spans="1:3" ht="15">
      <c r="A766" s="77" t="s">
        <v>229</v>
      </c>
      <c r="B766" s="76" t="s">
        <v>417</v>
      </c>
      <c r="C766" s="80" t="s">
        <v>1058</v>
      </c>
    </row>
    <row r="767" spans="1:3" ht="15">
      <c r="A767" s="77" t="s">
        <v>229</v>
      </c>
      <c r="B767" s="76" t="s">
        <v>394</v>
      </c>
      <c r="C767" s="80" t="s">
        <v>1058</v>
      </c>
    </row>
    <row r="768" spans="1:3" ht="15">
      <c r="A768" s="77" t="s">
        <v>229</v>
      </c>
      <c r="B768" s="76" t="s">
        <v>395</v>
      </c>
      <c r="C768" s="80" t="s">
        <v>1058</v>
      </c>
    </row>
    <row r="769" spans="1:3" ht="15">
      <c r="A769" s="77" t="s">
        <v>229</v>
      </c>
      <c r="B769" s="76" t="s">
        <v>414</v>
      </c>
      <c r="C769" s="80" t="s">
        <v>1058</v>
      </c>
    </row>
    <row r="770" spans="1:3" ht="15">
      <c r="A770" s="77" t="s">
        <v>229</v>
      </c>
      <c r="B770" s="76" t="s">
        <v>396</v>
      </c>
      <c r="C770" s="80" t="s">
        <v>1058</v>
      </c>
    </row>
    <row r="771" spans="1:3" ht="15">
      <c r="A771" s="77" t="s">
        <v>229</v>
      </c>
      <c r="B771" s="76" t="s">
        <v>397</v>
      </c>
      <c r="C771" s="80" t="s">
        <v>1058</v>
      </c>
    </row>
    <row r="772" spans="1:3" ht="15">
      <c r="A772" s="77" t="s">
        <v>229</v>
      </c>
      <c r="B772" s="76" t="s">
        <v>398</v>
      </c>
      <c r="C772" s="80" t="s">
        <v>1058</v>
      </c>
    </row>
    <row r="773" spans="1:3" ht="15">
      <c r="A773" s="77" t="s">
        <v>229</v>
      </c>
      <c r="B773" s="76" t="s">
        <v>399</v>
      </c>
      <c r="C773" s="80" t="s">
        <v>1058</v>
      </c>
    </row>
    <row r="774" spans="1:3" ht="15">
      <c r="A774" s="77" t="s">
        <v>229</v>
      </c>
      <c r="B774" s="76" t="s">
        <v>400</v>
      </c>
      <c r="C774" s="80" t="s">
        <v>1058</v>
      </c>
    </row>
    <row r="775" spans="1:3" ht="15">
      <c r="A775" s="77" t="s">
        <v>229</v>
      </c>
      <c r="B775" s="76" t="s">
        <v>401</v>
      </c>
      <c r="C775" s="80" t="s">
        <v>1058</v>
      </c>
    </row>
    <row r="776" spans="1:3" ht="15">
      <c r="A776" s="77" t="s">
        <v>229</v>
      </c>
      <c r="B776" s="76" t="s">
        <v>228</v>
      </c>
      <c r="C776" s="80" t="s">
        <v>1058</v>
      </c>
    </row>
    <row r="777" spans="1:3" ht="15">
      <c r="A777" s="77" t="s">
        <v>229</v>
      </c>
      <c r="B777" s="76" t="s">
        <v>3519</v>
      </c>
      <c r="C777" s="80" t="s">
        <v>1058</v>
      </c>
    </row>
    <row r="778" spans="1:3" ht="15">
      <c r="A778" s="77" t="s">
        <v>229</v>
      </c>
      <c r="B778" s="76" t="s">
        <v>3520</v>
      </c>
      <c r="C778" s="80" t="s">
        <v>1050</v>
      </c>
    </row>
    <row r="779" spans="1:3" ht="15">
      <c r="A779" s="77" t="s">
        <v>229</v>
      </c>
      <c r="B779" s="76" t="s">
        <v>3521</v>
      </c>
      <c r="C779" s="80" t="s">
        <v>1050</v>
      </c>
    </row>
    <row r="780" spans="1:3" ht="15">
      <c r="A780" s="77" t="s">
        <v>229</v>
      </c>
      <c r="B780" s="76" t="s">
        <v>364</v>
      </c>
      <c r="C780" s="80" t="s">
        <v>1050</v>
      </c>
    </row>
    <row r="781" spans="1:3" ht="15">
      <c r="A781" s="77" t="s">
        <v>229</v>
      </c>
      <c r="B781" s="76" t="s">
        <v>3522</v>
      </c>
      <c r="C781" s="80" t="s">
        <v>1050</v>
      </c>
    </row>
    <row r="782" spans="1:3" ht="15">
      <c r="A782" s="77" t="s">
        <v>229</v>
      </c>
      <c r="B782" s="76" t="s">
        <v>3523</v>
      </c>
      <c r="C782" s="80" t="s">
        <v>1050</v>
      </c>
    </row>
    <row r="783" spans="1:3" ht="15">
      <c r="A783" s="77" t="s">
        <v>229</v>
      </c>
      <c r="B783" s="76" t="s">
        <v>3524</v>
      </c>
      <c r="C783" s="80" t="s">
        <v>1050</v>
      </c>
    </row>
    <row r="784" spans="1:3" ht="15">
      <c r="A784" s="77" t="s">
        <v>229</v>
      </c>
      <c r="B784" s="76" t="s">
        <v>3053</v>
      </c>
      <c r="C784" s="80" t="s">
        <v>1050</v>
      </c>
    </row>
    <row r="785" spans="1:3" ht="15">
      <c r="A785" s="77" t="s">
        <v>229</v>
      </c>
      <c r="B785" s="76" t="s">
        <v>3052</v>
      </c>
      <c r="C785" s="80" t="s">
        <v>1050</v>
      </c>
    </row>
    <row r="786" spans="1:3" ht="15">
      <c r="A786" s="77" t="s">
        <v>229</v>
      </c>
      <c r="B786" s="76" t="s">
        <v>416</v>
      </c>
      <c r="C786" s="80" t="s">
        <v>1050</v>
      </c>
    </row>
    <row r="787" spans="1:3" ht="15">
      <c r="A787" s="77" t="s">
        <v>229</v>
      </c>
      <c r="B787" s="76" t="s">
        <v>357</v>
      </c>
      <c r="C787" s="80" t="s">
        <v>1050</v>
      </c>
    </row>
    <row r="788" spans="1:3" ht="15">
      <c r="A788" s="77" t="s">
        <v>229</v>
      </c>
      <c r="B788" s="76" t="s">
        <v>380</v>
      </c>
      <c r="C788" s="80" t="s">
        <v>1050</v>
      </c>
    </row>
    <row r="789" spans="1:3" ht="15">
      <c r="A789" s="77" t="s">
        <v>229</v>
      </c>
      <c r="B789" s="76" t="s">
        <v>414</v>
      </c>
      <c r="C789" s="80" t="s">
        <v>1050</v>
      </c>
    </row>
    <row r="790" spans="1:3" ht="15">
      <c r="A790" s="77" t="s">
        <v>229</v>
      </c>
      <c r="B790" s="76" t="s">
        <v>417</v>
      </c>
      <c r="C790" s="80" t="s">
        <v>1050</v>
      </c>
    </row>
    <row r="791" spans="1:3" ht="15">
      <c r="A791" s="77" t="s">
        <v>229</v>
      </c>
      <c r="B791" s="76" t="s">
        <v>368</v>
      </c>
      <c r="C791" s="80" t="s">
        <v>1050</v>
      </c>
    </row>
    <row r="792" spans="1:3" ht="15">
      <c r="A792" s="77" t="s">
        <v>229</v>
      </c>
      <c r="B792" s="76" t="s">
        <v>366</v>
      </c>
      <c r="C792" s="80" t="s">
        <v>1050</v>
      </c>
    </row>
    <row r="793" spans="1:3" ht="15">
      <c r="A793" s="77" t="s">
        <v>229</v>
      </c>
      <c r="B793" s="76" t="s">
        <v>362</v>
      </c>
      <c r="C793" s="80" t="s">
        <v>1050</v>
      </c>
    </row>
    <row r="794" spans="1:3" ht="15">
      <c r="A794" s="77" t="s">
        <v>229</v>
      </c>
      <c r="B794" s="76" t="s">
        <v>358</v>
      </c>
      <c r="C794" s="80" t="s">
        <v>1050</v>
      </c>
    </row>
    <row r="795" spans="1:3" ht="15">
      <c r="A795" s="77" t="s">
        <v>229</v>
      </c>
      <c r="B795" s="76" t="s">
        <v>359</v>
      </c>
      <c r="C795" s="80" t="s">
        <v>1050</v>
      </c>
    </row>
    <row r="796" spans="1:3" ht="15">
      <c r="A796" s="77" t="s">
        <v>229</v>
      </c>
      <c r="B796" s="76" t="s">
        <v>228</v>
      </c>
      <c r="C796" s="80" t="s">
        <v>1050</v>
      </c>
    </row>
    <row r="797" spans="1:3" ht="15">
      <c r="A797" s="77" t="s">
        <v>229</v>
      </c>
      <c r="B797" s="76" t="s">
        <v>3211</v>
      </c>
      <c r="C797" s="80" t="s">
        <v>1050</v>
      </c>
    </row>
    <row r="798" spans="1:3" ht="15">
      <c r="A798" s="77" t="s">
        <v>244</v>
      </c>
      <c r="B798" s="76">
        <v>2020</v>
      </c>
      <c r="C798" s="80" t="s">
        <v>1108</v>
      </c>
    </row>
    <row r="799" spans="1:3" ht="15">
      <c r="A799" s="77" t="s">
        <v>244</v>
      </c>
      <c r="B799" s="76" t="s">
        <v>3112</v>
      </c>
      <c r="C799" s="80" t="s">
        <v>1108</v>
      </c>
    </row>
    <row r="800" spans="1:3" ht="15">
      <c r="A800" s="77" t="s">
        <v>244</v>
      </c>
      <c r="B800" s="76" t="s">
        <v>3080</v>
      </c>
      <c r="C800" s="80" t="s">
        <v>1108</v>
      </c>
    </row>
    <row r="801" spans="1:3" ht="15">
      <c r="A801" s="77" t="s">
        <v>244</v>
      </c>
      <c r="B801" s="76" t="s">
        <v>3219</v>
      </c>
      <c r="C801" s="80" t="s">
        <v>1108</v>
      </c>
    </row>
    <row r="802" spans="1:3" ht="15">
      <c r="A802" s="77" t="s">
        <v>244</v>
      </c>
      <c r="B802" s="76" t="s">
        <v>3121</v>
      </c>
      <c r="C802" s="80" t="s">
        <v>1108</v>
      </c>
    </row>
    <row r="803" spans="1:3" ht="15">
      <c r="A803" s="77" t="s">
        <v>244</v>
      </c>
      <c r="B803" s="76" t="s">
        <v>3525</v>
      </c>
      <c r="C803" s="80" t="s">
        <v>1108</v>
      </c>
    </row>
    <row r="804" spans="1:3" ht="15">
      <c r="A804" s="77" t="s">
        <v>244</v>
      </c>
      <c r="B804" s="76" t="s">
        <v>3526</v>
      </c>
      <c r="C804" s="80" t="s">
        <v>1108</v>
      </c>
    </row>
    <row r="805" spans="1:3" ht="15">
      <c r="A805" s="77" t="s">
        <v>244</v>
      </c>
      <c r="B805" s="76" t="s">
        <v>3100</v>
      </c>
      <c r="C805" s="80" t="s">
        <v>1108</v>
      </c>
    </row>
    <row r="806" spans="1:3" ht="15">
      <c r="A806" s="77" t="s">
        <v>244</v>
      </c>
      <c r="B806" s="76" t="s">
        <v>3083</v>
      </c>
      <c r="C806" s="80" t="s">
        <v>1108</v>
      </c>
    </row>
    <row r="807" spans="1:3" ht="15">
      <c r="A807" s="77" t="s">
        <v>244</v>
      </c>
      <c r="B807" s="76" t="s">
        <v>3527</v>
      </c>
      <c r="C807" s="80" t="s">
        <v>1108</v>
      </c>
    </row>
    <row r="808" spans="1:3" ht="15">
      <c r="A808" s="77" t="s">
        <v>244</v>
      </c>
      <c r="B808" s="76" t="s">
        <v>3528</v>
      </c>
      <c r="C808" s="80" t="s">
        <v>1108</v>
      </c>
    </row>
    <row r="809" spans="1:3" ht="15">
      <c r="A809" s="77" t="s">
        <v>244</v>
      </c>
      <c r="B809" s="76" t="s">
        <v>228</v>
      </c>
      <c r="C809" s="80" t="s">
        <v>1108</v>
      </c>
    </row>
    <row r="810" spans="1:3" ht="15">
      <c r="A810" s="77" t="s">
        <v>244</v>
      </c>
      <c r="B810" s="76" t="s">
        <v>3529</v>
      </c>
      <c r="C810" s="80" t="s">
        <v>1108</v>
      </c>
    </row>
    <row r="811" spans="1:3" ht="15">
      <c r="A811" s="77" t="s">
        <v>223</v>
      </c>
      <c r="B811" s="76" t="s">
        <v>3530</v>
      </c>
      <c r="C811" s="80" t="s">
        <v>1027</v>
      </c>
    </row>
    <row r="812" spans="1:3" ht="15">
      <c r="A812" s="77" t="s">
        <v>223</v>
      </c>
      <c r="B812" s="76" t="s">
        <v>3531</v>
      </c>
      <c r="C812" s="80" t="s">
        <v>1027</v>
      </c>
    </row>
    <row r="813" spans="1:3" ht="15">
      <c r="A813" s="77" t="s">
        <v>223</v>
      </c>
      <c r="B813" s="76" t="s">
        <v>3532</v>
      </c>
      <c r="C813" s="80" t="s">
        <v>1027</v>
      </c>
    </row>
    <row r="814" spans="1:3" ht="15">
      <c r="A814" s="77" t="s">
        <v>223</v>
      </c>
      <c r="B814" s="76" t="s">
        <v>3533</v>
      </c>
      <c r="C814" s="80" t="s">
        <v>1027</v>
      </c>
    </row>
    <row r="815" spans="1:3" ht="15">
      <c r="A815" s="77" t="s">
        <v>223</v>
      </c>
      <c r="B815" s="76" t="s">
        <v>3534</v>
      </c>
      <c r="C815" s="80" t="s">
        <v>1027</v>
      </c>
    </row>
    <row r="816" spans="1:3" ht="15">
      <c r="A816" s="77" t="s">
        <v>223</v>
      </c>
      <c r="B816" s="76" t="s">
        <v>3535</v>
      </c>
      <c r="C816" s="80" t="s">
        <v>1027</v>
      </c>
    </row>
    <row r="817" spans="1:3" ht="15">
      <c r="A817" s="77" t="s">
        <v>223</v>
      </c>
      <c r="B817" s="76" t="s">
        <v>3536</v>
      </c>
      <c r="C817" s="80" t="s">
        <v>1027</v>
      </c>
    </row>
    <row r="818" spans="1:3" ht="15">
      <c r="A818" s="77" t="s">
        <v>223</v>
      </c>
      <c r="B818" s="76" t="s">
        <v>3537</v>
      </c>
      <c r="C818" s="80" t="s">
        <v>1027</v>
      </c>
    </row>
    <row r="819" spans="1:3" ht="15">
      <c r="A819" s="77" t="s">
        <v>223</v>
      </c>
      <c r="B819" s="76" t="s">
        <v>3538</v>
      </c>
      <c r="C819" s="80" t="s">
        <v>1027</v>
      </c>
    </row>
    <row r="820" spans="1:3" ht="15">
      <c r="A820" s="77" t="s">
        <v>223</v>
      </c>
      <c r="B820" s="76" t="s">
        <v>3539</v>
      </c>
      <c r="C820" s="80" t="s">
        <v>1027</v>
      </c>
    </row>
    <row r="821" spans="1:3" ht="15">
      <c r="A821" s="77" t="s">
        <v>223</v>
      </c>
      <c r="B821" s="76" t="s">
        <v>3540</v>
      </c>
      <c r="C821" s="80" t="s">
        <v>1027</v>
      </c>
    </row>
    <row r="822" spans="1:3" ht="15">
      <c r="A822" s="77" t="s">
        <v>223</v>
      </c>
      <c r="B822" s="76" t="s">
        <v>3541</v>
      </c>
      <c r="C822" s="80" t="s">
        <v>1027</v>
      </c>
    </row>
    <row r="823" spans="1:3" ht="15">
      <c r="A823" s="77" t="s">
        <v>223</v>
      </c>
      <c r="B823" s="76" t="s">
        <v>3542</v>
      </c>
      <c r="C823" s="80" t="s">
        <v>1027</v>
      </c>
    </row>
    <row r="824" spans="1:3" ht="15">
      <c r="A824" s="77" t="s">
        <v>223</v>
      </c>
      <c r="B824" s="76" t="s">
        <v>3543</v>
      </c>
      <c r="C824" s="80" t="s">
        <v>1027</v>
      </c>
    </row>
    <row r="825" spans="1:3" ht="15">
      <c r="A825" s="77" t="s">
        <v>223</v>
      </c>
      <c r="B825" s="76" t="s">
        <v>228</v>
      </c>
      <c r="C825" s="80" t="s">
        <v>1027</v>
      </c>
    </row>
    <row r="826" spans="1:3" ht="15">
      <c r="A826" s="77" t="s">
        <v>223</v>
      </c>
      <c r="B826" s="76" t="s">
        <v>3544</v>
      </c>
      <c r="C826" s="80" t="s">
        <v>1027</v>
      </c>
    </row>
    <row r="827" spans="1:3" ht="15">
      <c r="A827" s="77" t="s">
        <v>223</v>
      </c>
      <c r="B827" s="76" t="s">
        <v>3545</v>
      </c>
      <c r="C827" s="80" t="s">
        <v>1027</v>
      </c>
    </row>
    <row r="828" spans="1:3" ht="15">
      <c r="A828" s="77" t="s">
        <v>223</v>
      </c>
      <c r="B828" s="76" t="s">
        <v>3546</v>
      </c>
      <c r="C828" s="80" t="s">
        <v>1027</v>
      </c>
    </row>
    <row r="829" spans="1:3" ht="15">
      <c r="A829" s="77" t="s">
        <v>223</v>
      </c>
      <c r="B829" s="76" t="s">
        <v>3547</v>
      </c>
      <c r="C829" s="80" t="s">
        <v>1027</v>
      </c>
    </row>
    <row r="830" spans="1:3" ht="15">
      <c r="A830" s="77" t="s">
        <v>223</v>
      </c>
      <c r="B830" s="76" t="s">
        <v>3548</v>
      </c>
      <c r="C830" s="80" t="s">
        <v>1027</v>
      </c>
    </row>
    <row r="831" spans="1:3" ht="15">
      <c r="A831" s="77" t="s">
        <v>223</v>
      </c>
      <c r="B831" s="76" t="s">
        <v>264</v>
      </c>
      <c r="C831" s="80" t="s">
        <v>1027</v>
      </c>
    </row>
    <row r="832" spans="1:3" ht="15">
      <c r="A832" s="77" t="s">
        <v>244</v>
      </c>
      <c r="B832" s="76" t="s">
        <v>228</v>
      </c>
      <c r="C832" s="80" t="s">
        <v>1102</v>
      </c>
    </row>
    <row r="833" spans="1:3" ht="15">
      <c r="A833" s="77" t="s">
        <v>244</v>
      </c>
      <c r="B833" s="76" t="s">
        <v>3092</v>
      </c>
      <c r="C833" s="80" t="s">
        <v>1102</v>
      </c>
    </row>
    <row r="834" spans="1:3" ht="15">
      <c r="A834" s="77" t="s">
        <v>244</v>
      </c>
      <c r="B834" s="76" t="s">
        <v>3549</v>
      </c>
      <c r="C834" s="80" t="s">
        <v>1102</v>
      </c>
    </row>
    <row r="835" spans="1:3" ht="15">
      <c r="A835" s="77" t="s">
        <v>244</v>
      </c>
      <c r="B835" s="76" t="s">
        <v>3215</v>
      </c>
      <c r="C835" s="80" t="s">
        <v>1102</v>
      </c>
    </row>
    <row r="836" spans="1:3" ht="15">
      <c r="A836" s="77" t="s">
        <v>244</v>
      </c>
      <c r="B836" s="76" t="s">
        <v>3550</v>
      </c>
      <c r="C836" s="80" t="s">
        <v>1102</v>
      </c>
    </row>
    <row r="837" spans="1:3" ht="15">
      <c r="A837" s="77" t="s">
        <v>244</v>
      </c>
      <c r="B837" s="76" t="s">
        <v>3551</v>
      </c>
      <c r="C837" s="80" t="s">
        <v>1102</v>
      </c>
    </row>
    <row r="838" spans="1:3" ht="15">
      <c r="A838" s="77" t="s">
        <v>244</v>
      </c>
      <c r="B838" s="76" t="s">
        <v>3552</v>
      </c>
      <c r="C838" s="80" t="s">
        <v>1102</v>
      </c>
    </row>
    <row r="839" spans="1:3" ht="15">
      <c r="A839" s="77" t="s">
        <v>244</v>
      </c>
      <c r="B839" s="76" t="s">
        <v>3553</v>
      </c>
      <c r="C839" s="80" t="s">
        <v>1102</v>
      </c>
    </row>
    <row r="840" spans="1:3" ht="15">
      <c r="A840" s="77" t="s">
        <v>244</v>
      </c>
      <c r="B840" s="76" t="s">
        <v>3554</v>
      </c>
      <c r="C840" s="80" t="s">
        <v>1102</v>
      </c>
    </row>
    <row r="841" spans="1:3" ht="15">
      <c r="A841" s="77" t="s">
        <v>244</v>
      </c>
      <c r="B841" s="76" t="s">
        <v>3555</v>
      </c>
      <c r="C841" s="80" t="s">
        <v>1102</v>
      </c>
    </row>
    <row r="842" spans="1:3" ht="15">
      <c r="A842" s="77" t="s">
        <v>244</v>
      </c>
      <c r="B842" s="76" t="s">
        <v>3556</v>
      </c>
      <c r="C842" s="80" t="s">
        <v>1102</v>
      </c>
    </row>
    <row r="843" spans="1:3" ht="15">
      <c r="A843" s="77" t="s">
        <v>244</v>
      </c>
      <c r="B843" s="76" t="s">
        <v>3557</v>
      </c>
      <c r="C843" s="80" t="s">
        <v>1102</v>
      </c>
    </row>
    <row r="844" spans="1:3" ht="15">
      <c r="A844" s="77" t="s">
        <v>244</v>
      </c>
      <c r="B844" s="76" t="s">
        <v>3558</v>
      </c>
      <c r="C844" s="80" t="s">
        <v>1102</v>
      </c>
    </row>
    <row r="845" spans="1:3" ht="15">
      <c r="A845" s="77" t="s">
        <v>244</v>
      </c>
      <c r="B845" s="76" t="s">
        <v>3107</v>
      </c>
      <c r="C845" s="80" t="s">
        <v>1102</v>
      </c>
    </row>
    <row r="846" spans="1:3" ht="15">
      <c r="A846" s="77" t="s">
        <v>244</v>
      </c>
      <c r="B846" s="76" t="s">
        <v>3559</v>
      </c>
      <c r="C846" s="80" t="s">
        <v>1102</v>
      </c>
    </row>
    <row r="847" spans="1:3" ht="15">
      <c r="A847" s="77" t="s">
        <v>244</v>
      </c>
      <c r="B847" s="76" t="s">
        <v>3560</v>
      </c>
      <c r="C847" s="80" t="s">
        <v>1102</v>
      </c>
    </row>
    <row r="848" spans="1:3" ht="15">
      <c r="A848" s="77" t="s">
        <v>244</v>
      </c>
      <c r="B848" s="76" t="s">
        <v>3561</v>
      </c>
      <c r="C848" s="80" t="s">
        <v>1102</v>
      </c>
    </row>
    <row r="849" spans="1:3" ht="15">
      <c r="A849" s="77" t="s">
        <v>244</v>
      </c>
      <c r="B849" s="76" t="s">
        <v>3562</v>
      </c>
      <c r="C849" s="80" t="s">
        <v>1102</v>
      </c>
    </row>
    <row r="850" spans="1:3" ht="15">
      <c r="A850" s="77" t="s">
        <v>244</v>
      </c>
      <c r="B850" s="76" t="s">
        <v>3144</v>
      </c>
      <c r="C850" s="80" t="s">
        <v>1102</v>
      </c>
    </row>
    <row r="851" spans="1:3" ht="15">
      <c r="A851" s="77" t="s">
        <v>244</v>
      </c>
      <c r="B851" s="76" t="s">
        <v>3563</v>
      </c>
      <c r="C851" s="80" t="s">
        <v>1102</v>
      </c>
    </row>
    <row r="852" spans="1:3" ht="15">
      <c r="A852" s="77" t="s">
        <v>244</v>
      </c>
      <c r="B852" s="76" t="s">
        <v>3091</v>
      </c>
      <c r="C852" s="80" t="s">
        <v>1102</v>
      </c>
    </row>
    <row r="853" spans="1:3" ht="15">
      <c r="A853" s="77" t="s">
        <v>244</v>
      </c>
      <c r="B853" s="76" t="s">
        <v>3564</v>
      </c>
      <c r="C853" s="80" t="s">
        <v>1102</v>
      </c>
    </row>
    <row r="854" spans="1:3" ht="15">
      <c r="A854" s="77" t="s">
        <v>244</v>
      </c>
      <c r="B854" s="76" t="s">
        <v>3565</v>
      </c>
      <c r="C854" s="80" t="s">
        <v>1102</v>
      </c>
    </row>
    <row r="855" spans="1:3" ht="15">
      <c r="A855" s="77" t="s">
        <v>244</v>
      </c>
      <c r="B855" s="76" t="s">
        <v>3566</v>
      </c>
      <c r="C855" s="80" t="s">
        <v>1102</v>
      </c>
    </row>
    <row r="856" spans="1:3" ht="15">
      <c r="A856" s="77" t="s">
        <v>244</v>
      </c>
      <c r="B856" s="76" t="s">
        <v>3567</v>
      </c>
      <c r="C856" s="80" t="s">
        <v>1102</v>
      </c>
    </row>
    <row r="857" spans="1:3" ht="15">
      <c r="A857" s="77" t="s">
        <v>244</v>
      </c>
      <c r="B857" s="76" t="s">
        <v>3102</v>
      </c>
      <c r="C857" s="80" t="s">
        <v>1102</v>
      </c>
    </row>
    <row r="858" spans="1:3" ht="15">
      <c r="A858" s="77" t="s">
        <v>244</v>
      </c>
      <c r="B858" s="76" t="s">
        <v>3568</v>
      </c>
      <c r="C858" s="80" t="s">
        <v>1102</v>
      </c>
    </row>
    <row r="859" spans="1:3" ht="15">
      <c r="A859" s="77" t="s">
        <v>244</v>
      </c>
      <c r="B859" s="76" t="s">
        <v>3569</v>
      </c>
      <c r="C859" s="80" t="s">
        <v>1102</v>
      </c>
    </row>
    <row r="860" spans="1:3" ht="15">
      <c r="A860" s="77" t="s">
        <v>244</v>
      </c>
      <c r="B860" s="76" t="s">
        <v>3064</v>
      </c>
      <c r="C860" s="80" t="s">
        <v>1102</v>
      </c>
    </row>
    <row r="861" spans="1:3" ht="15">
      <c r="A861" s="77" t="s">
        <v>244</v>
      </c>
      <c r="B861" s="76" t="s">
        <v>228</v>
      </c>
      <c r="C861" s="80" t="s">
        <v>1099</v>
      </c>
    </row>
    <row r="862" spans="1:3" ht="15">
      <c r="A862" s="77" t="s">
        <v>244</v>
      </c>
      <c r="B862" s="76" t="s">
        <v>3570</v>
      </c>
      <c r="C862" s="80" t="s">
        <v>1099</v>
      </c>
    </row>
    <row r="863" spans="1:3" ht="15">
      <c r="A863" s="77" t="s">
        <v>244</v>
      </c>
      <c r="B863" s="76" t="s">
        <v>3571</v>
      </c>
      <c r="C863" s="80" t="s">
        <v>1099</v>
      </c>
    </row>
    <row r="864" spans="1:3" ht="15">
      <c r="A864" s="77" t="s">
        <v>229</v>
      </c>
      <c r="B864" s="76" t="s">
        <v>702</v>
      </c>
      <c r="C864" s="80" t="s">
        <v>1122</v>
      </c>
    </row>
    <row r="865" spans="1:3" ht="15">
      <c r="A865" s="77" t="s">
        <v>229</v>
      </c>
      <c r="B865" s="76" t="s">
        <v>3572</v>
      </c>
      <c r="C865" s="80" t="s">
        <v>1122</v>
      </c>
    </row>
    <row r="866" spans="1:3" ht="15">
      <c r="A866" s="77" t="s">
        <v>229</v>
      </c>
      <c r="B866" s="76">
        <v>2023</v>
      </c>
      <c r="C866" s="80" t="s">
        <v>1122</v>
      </c>
    </row>
    <row r="867" spans="1:3" ht="15">
      <c r="A867" s="77" t="s">
        <v>229</v>
      </c>
      <c r="B867" s="76">
        <v>24</v>
      </c>
      <c r="C867" s="80" t="s">
        <v>1122</v>
      </c>
    </row>
    <row r="868" spans="1:3" ht="15">
      <c r="A868" s="77" t="s">
        <v>229</v>
      </c>
      <c r="B868" s="76">
        <v>25</v>
      </c>
      <c r="C868" s="80" t="s">
        <v>1122</v>
      </c>
    </row>
    <row r="869" spans="1:3" ht="15">
      <c r="A869" s="77" t="s">
        <v>229</v>
      </c>
      <c r="B869" s="76">
        <v>36</v>
      </c>
      <c r="C869" s="80" t="s">
        <v>1122</v>
      </c>
    </row>
    <row r="870" spans="1:3" ht="15">
      <c r="A870" s="77" t="s">
        <v>229</v>
      </c>
      <c r="B870" s="76">
        <v>13</v>
      </c>
      <c r="C870" s="80" t="s">
        <v>1122</v>
      </c>
    </row>
    <row r="871" spans="1:3" ht="15">
      <c r="A871" s="77" t="s">
        <v>229</v>
      </c>
      <c r="B871" s="76">
        <v>2020</v>
      </c>
      <c r="C871" s="80" t="s">
        <v>1122</v>
      </c>
    </row>
    <row r="872" spans="1:3" ht="15">
      <c r="A872" s="77" t="s">
        <v>229</v>
      </c>
      <c r="B872" s="76" t="s">
        <v>3110</v>
      </c>
      <c r="C872" s="80" t="s">
        <v>1122</v>
      </c>
    </row>
    <row r="873" spans="1:3" ht="15">
      <c r="A873" s="77" t="s">
        <v>229</v>
      </c>
      <c r="B873" s="76" t="s">
        <v>3573</v>
      </c>
      <c r="C873" s="80" t="s">
        <v>1122</v>
      </c>
    </row>
    <row r="874" spans="1:3" ht="15">
      <c r="A874" s="77" t="s">
        <v>229</v>
      </c>
      <c r="B874" s="76" t="s">
        <v>3574</v>
      </c>
      <c r="C874" s="80" t="s">
        <v>1122</v>
      </c>
    </row>
    <row r="875" spans="1:3" ht="15">
      <c r="A875" s="77" t="s">
        <v>229</v>
      </c>
      <c r="B875" s="76" t="s">
        <v>3575</v>
      </c>
      <c r="C875" s="80" t="s">
        <v>1122</v>
      </c>
    </row>
    <row r="876" spans="1:3" ht="15">
      <c r="A876" s="77" t="s">
        <v>229</v>
      </c>
      <c r="B876" s="76" t="s">
        <v>228</v>
      </c>
      <c r="C876" s="80" t="s">
        <v>1122</v>
      </c>
    </row>
    <row r="877" spans="1:3" ht="15">
      <c r="A877" s="77" t="s">
        <v>229</v>
      </c>
      <c r="B877" s="76" t="s">
        <v>3576</v>
      </c>
      <c r="C877" s="80" t="s">
        <v>1122</v>
      </c>
    </row>
    <row r="878" spans="1:3" ht="15">
      <c r="A878" s="77" t="s">
        <v>226</v>
      </c>
      <c r="B878" s="76" t="s">
        <v>3092</v>
      </c>
      <c r="C878" s="80" t="s">
        <v>1031</v>
      </c>
    </row>
    <row r="879" spans="1:3" ht="15">
      <c r="A879" s="77" t="s">
        <v>226</v>
      </c>
      <c r="B879" s="76" t="s">
        <v>3577</v>
      </c>
      <c r="C879" s="80" t="s">
        <v>1031</v>
      </c>
    </row>
    <row r="880" spans="1:3" ht="15">
      <c r="A880" s="77" t="s">
        <v>226</v>
      </c>
      <c r="B880" s="76" t="s">
        <v>3578</v>
      </c>
      <c r="C880" s="80" t="s">
        <v>1031</v>
      </c>
    </row>
    <row r="881" spans="1:3" ht="15">
      <c r="A881" s="77" t="s">
        <v>226</v>
      </c>
      <c r="B881" s="76" t="s">
        <v>265</v>
      </c>
      <c r="C881" s="80" t="s">
        <v>1031</v>
      </c>
    </row>
    <row r="882" spans="1:3" ht="15">
      <c r="A882" s="77" t="s">
        <v>226</v>
      </c>
      <c r="B882" s="76" t="s">
        <v>266</v>
      </c>
      <c r="C882" s="80" t="s">
        <v>1031</v>
      </c>
    </row>
    <row r="883" spans="1:3" ht="15">
      <c r="A883" s="77" t="s">
        <v>226</v>
      </c>
      <c r="B883" s="76" t="s">
        <v>267</v>
      </c>
      <c r="C883" s="80" t="s">
        <v>1031</v>
      </c>
    </row>
    <row r="884" spans="1:3" ht="15">
      <c r="A884" s="77" t="s">
        <v>226</v>
      </c>
      <c r="B884" s="76" t="s">
        <v>268</v>
      </c>
      <c r="C884" s="80" t="s">
        <v>1031</v>
      </c>
    </row>
    <row r="885" spans="1:3" ht="15">
      <c r="A885" s="77" t="s">
        <v>226</v>
      </c>
      <c r="B885" s="76" t="s">
        <v>269</v>
      </c>
      <c r="C885" s="80" t="s">
        <v>1031</v>
      </c>
    </row>
    <row r="886" spans="1:3" ht="15">
      <c r="A886" s="77" t="s">
        <v>226</v>
      </c>
      <c r="B886" s="76" t="s">
        <v>270</v>
      </c>
      <c r="C886" s="80" t="s">
        <v>1031</v>
      </c>
    </row>
    <row r="887" spans="1:3" ht="15">
      <c r="A887" s="77" t="s">
        <v>226</v>
      </c>
      <c r="B887" s="76" t="s">
        <v>271</v>
      </c>
      <c r="C887" s="80" t="s">
        <v>1031</v>
      </c>
    </row>
    <row r="888" spans="1:3" ht="15">
      <c r="A888" s="77" t="s">
        <v>226</v>
      </c>
      <c r="B888" s="76" t="s">
        <v>272</v>
      </c>
      <c r="C888" s="80" t="s">
        <v>1031</v>
      </c>
    </row>
    <row r="889" spans="1:3" ht="15">
      <c r="A889" s="77" t="s">
        <v>226</v>
      </c>
      <c r="B889" s="76" t="s">
        <v>273</v>
      </c>
      <c r="C889" s="80" t="s">
        <v>1031</v>
      </c>
    </row>
    <row r="890" spans="1:3" ht="15">
      <c r="A890" s="77" t="s">
        <v>226</v>
      </c>
      <c r="B890" s="76" t="s">
        <v>234</v>
      </c>
      <c r="C890" s="80" t="s">
        <v>1031</v>
      </c>
    </row>
    <row r="891" spans="1:3" ht="15">
      <c r="A891" s="77" t="s">
        <v>226</v>
      </c>
      <c r="B891" s="76" t="s">
        <v>228</v>
      </c>
      <c r="C891" s="80" t="s">
        <v>1031</v>
      </c>
    </row>
    <row r="892" spans="1:3" ht="15">
      <c r="A892" s="77" t="s">
        <v>261</v>
      </c>
      <c r="B892" s="76" t="s">
        <v>3082</v>
      </c>
      <c r="C892" s="80" t="s">
        <v>1145</v>
      </c>
    </row>
    <row r="893" spans="1:3" ht="15">
      <c r="A893" s="77" t="s">
        <v>261</v>
      </c>
      <c r="B893" s="76" t="s">
        <v>3060</v>
      </c>
      <c r="C893" s="80" t="s">
        <v>1145</v>
      </c>
    </row>
    <row r="894" spans="1:3" ht="15">
      <c r="A894" s="77" t="s">
        <v>261</v>
      </c>
      <c r="B894" s="76" t="s">
        <v>492</v>
      </c>
      <c r="C894" s="80" t="s">
        <v>1145</v>
      </c>
    </row>
    <row r="895" spans="1:3" ht="15">
      <c r="A895" s="77" t="s">
        <v>261</v>
      </c>
      <c r="B895" s="76" t="s">
        <v>262</v>
      </c>
      <c r="C895" s="80" t="s">
        <v>1145</v>
      </c>
    </row>
    <row r="896" spans="1:3" ht="15">
      <c r="A896" s="77" t="s">
        <v>261</v>
      </c>
      <c r="B896" s="76" t="s">
        <v>493</v>
      </c>
      <c r="C896" s="80" t="s">
        <v>1145</v>
      </c>
    </row>
    <row r="897" spans="1:3" ht="15">
      <c r="A897" s="77" t="s">
        <v>261</v>
      </c>
      <c r="B897" s="76" t="s">
        <v>494</v>
      </c>
      <c r="C897" s="80" t="s">
        <v>1145</v>
      </c>
    </row>
    <row r="898" spans="1:3" ht="15">
      <c r="A898" s="77" t="s">
        <v>261</v>
      </c>
      <c r="B898" s="76" t="s">
        <v>228</v>
      </c>
      <c r="C898" s="80" t="s">
        <v>1145</v>
      </c>
    </row>
    <row r="899" spans="1:3" ht="15">
      <c r="A899" s="77" t="s">
        <v>261</v>
      </c>
      <c r="B899" s="76" t="s">
        <v>495</v>
      </c>
      <c r="C899" s="80" t="s">
        <v>1145</v>
      </c>
    </row>
    <row r="900" spans="1:3" ht="15">
      <c r="A900" s="77" t="s">
        <v>261</v>
      </c>
      <c r="B900" s="76" t="s">
        <v>496</v>
      </c>
      <c r="C900" s="80" t="s">
        <v>1145</v>
      </c>
    </row>
    <row r="901" spans="1:3" ht="15">
      <c r="A901" s="77" t="s">
        <v>261</v>
      </c>
      <c r="B901" s="76" t="s">
        <v>260</v>
      </c>
      <c r="C901" s="80" t="s">
        <v>1145</v>
      </c>
    </row>
    <row r="902" spans="1:3" ht="15">
      <c r="A902" s="77" t="s">
        <v>261</v>
      </c>
      <c r="B902" s="76" t="s">
        <v>497</v>
      </c>
      <c r="C902" s="80" t="s">
        <v>1145</v>
      </c>
    </row>
    <row r="903" spans="1:3" ht="15">
      <c r="A903" s="77" t="s">
        <v>261</v>
      </c>
      <c r="B903" s="76" t="s">
        <v>498</v>
      </c>
      <c r="C903" s="80" t="s">
        <v>1145</v>
      </c>
    </row>
    <row r="904" spans="1:3" ht="15">
      <c r="A904" s="77" t="s">
        <v>261</v>
      </c>
      <c r="B904" s="76" t="s">
        <v>499</v>
      </c>
      <c r="C904" s="80" t="s">
        <v>1145</v>
      </c>
    </row>
    <row r="905" spans="1:3" ht="15">
      <c r="A905" s="77" t="s">
        <v>261</v>
      </c>
      <c r="B905" s="76" t="s">
        <v>500</v>
      </c>
      <c r="C905" s="80" t="s">
        <v>1145</v>
      </c>
    </row>
    <row r="906" spans="1:3" ht="15">
      <c r="A906" s="77" t="s">
        <v>261</v>
      </c>
      <c r="B906" s="76" t="s">
        <v>501</v>
      </c>
      <c r="C906" s="80" t="s">
        <v>1145</v>
      </c>
    </row>
    <row r="907" spans="1:3" ht="15">
      <c r="A907" s="77" t="s">
        <v>261</v>
      </c>
      <c r="B907" s="76" t="s">
        <v>259</v>
      </c>
      <c r="C907" s="80" t="s">
        <v>1145</v>
      </c>
    </row>
    <row r="908" spans="1:3" ht="15">
      <c r="A908" s="77" t="s">
        <v>244</v>
      </c>
      <c r="B908" s="76" t="s">
        <v>3579</v>
      </c>
      <c r="C908" s="80" t="s">
        <v>1101</v>
      </c>
    </row>
    <row r="909" spans="1:3" ht="15">
      <c r="A909" s="77" t="s">
        <v>244</v>
      </c>
      <c r="B909" s="76" t="s">
        <v>3580</v>
      </c>
      <c r="C909" s="80" t="s">
        <v>1101</v>
      </c>
    </row>
    <row r="910" spans="1:3" ht="15">
      <c r="A910" s="77" t="s">
        <v>244</v>
      </c>
      <c r="B910" s="76" t="s">
        <v>3125</v>
      </c>
      <c r="C910" s="80" t="s">
        <v>1101</v>
      </c>
    </row>
    <row r="911" spans="1:3" ht="15">
      <c r="A911" s="77" t="s">
        <v>244</v>
      </c>
      <c r="B911" s="76" t="s">
        <v>3581</v>
      </c>
      <c r="C911" s="80" t="s">
        <v>1101</v>
      </c>
    </row>
    <row r="912" spans="1:3" ht="15">
      <c r="A912" s="77" t="s">
        <v>244</v>
      </c>
      <c r="B912" s="76" t="s">
        <v>3184</v>
      </c>
      <c r="C912" s="80" t="s">
        <v>1101</v>
      </c>
    </row>
    <row r="913" spans="1:3" ht="15">
      <c r="A913" s="77" t="s">
        <v>244</v>
      </c>
      <c r="B913" s="76" t="s">
        <v>3093</v>
      </c>
      <c r="C913" s="80" t="s">
        <v>1101</v>
      </c>
    </row>
    <row r="914" spans="1:3" ht="15">
      <c r="A914" s="77" t="s">
        <v>244</v>
      </c>
      <c r="B914" s="76" t="s">
        <v>228</v>
      </c>
      <c r="C914" s="80" t="s">
        <v>1101</v>
      </c>
    </row>
    <row r="915" spans="1:3" ht="15">
      <c r="A915" s="77" t="s">
        <v>244</v>
      </c>
      <c r="B915" s="76" t="s">
        <v>3582</v>
      </c>
      <c r="C915" s="80" t="s">
        <v>1101</v>
      </c>
    </row>
    <row r="916" spans="1:3" ht="15">
      <c r="A916" s="77" t="s">
        <v>242</v>
      </c>
      <c r="B916" s="76" t="s">
        <v>502</v>
      </c>
      <c r="C916" s="80" t="s">
        <v>1087</v>
      </c>
    </row>
    <row r="917" spans="1:3" ht="15">
      <c r="A917" s="77" t="s">
        <v>242</v>
      </c>
      <c r="B917" s="76" t="s">
        <v>503</v>
      </c>
      <c r="C917" s="80" t="s">
        <v>1087</v>
      </c>
    </row>
    <row r="918" spans="1:3" ht="15">
      <c r="A918" s="77" t="s">
        <v>242</v>
      </c>
      <c r="B918" s="76" t="s">
        <v>228</v>
      </c>
      <c r="C918" s="80" t="s">
        <v>1087</v>
      </c>
    </row>
    <row r="919" spans="1:3" ht="15">
      <c r="A919" s="77" t="s">
        <v>242</v>
      </c>
      <c r="B919" s="76" t="s">
        <v>3583</v>
      </c>
      <c r="C919" s="80" t="s">
        <v>1087</v>
      </c>
    </row>
    <row r="920" spans="1:3" ht="15">
      <c r="A920" s="77" t="s">
        <v>242</v>
      </c>
      <c r="B920" s="76" t="s">
        <v>3584</v>
      </c>
      <c r="C920" s="80" t="s">
        <v>1087</v>
      </c>
    </row>
    <row r="921" spans="1:3" ht="15">
      <c r="A921" s="77" t="s">
        <v>242</v>
      </c>
      <c r="B921" s="76" t="s">
        <v>3585</v>
      </c>
      <c r="C921" s="80" t="s">
        <v>1087</v>
      </c>
    </row>
    <row r="922" spans="1:3" ht="15">
      <c r="A922" s="77" t="s">
        <v>242</v>
      </c>
      <c r="B922" s="76" t="s">
        <v>3586</v>
      </c>
      <c r="C922" s="80" t="s">
        <v>1087</v>
      </c>
    </row>
    <row r="923" spans="1:3" ht="15">
      <c r="A923" s="77" t="s">
        <v>242</v>
      </c>
      <c r="B923" s="76" t="s">
        <v>3587</v>
      </c>
      <c r="C923" s="80" t="s">
        <v>1087</v>
      </c>
    </row>
    <row r="924" spans="1:3" ht="15">
      <c r="A924" s="77" t="s">
        <v>242</v>
      </c>
      <c r="B924" s="76" t="s">
        <v>278</v>
      </c>
      <c r="C924" s="80" t="s">
        <v>1087</v>
      </c>
    </row>
    <row r="925" spans="1:3" ht="15">
      <c r="A925" s="77" t="s">
        <v>242</v>
      </c>
      <c r="B925" s="76" t="s">
        <v>3588</v>
      </c>
      <c r="C925" s="80" t="s">
        <v>1087</v>
      </c>
    </row>
    <row r="926" spans="1:3" ht="15">
      <c r="A926" s="77" t="s">
        <v>242</v>
      </c>
      <c r="B926" s="76" t="s">
        <v>3589</v>
      </c>
      <c r="C926" s="80" t="s">
        <v>1087</v>
      </c>
    </row>
    <row r="927" spans="1:3" ht="15">
      <c r="A927" s="77" t="s">
        <v>242</v>
      </c>
      <c r="B927" s="76" t="s">
        <v>3590</v>
      </c>
      <c r="C927" s="80" t="s">
        <v>1087</v>
      </c>
    </row>
    <row r="928" spans="1:3" ht="15">
      <c r="A928" s="77" t="s">
        <v>242</v>
      </c>
      <c r="B928" s="76" t="s">
        <v>3591</v>
      </c>
      <c r="C928" s="80" t="s">
        <v>1087</v>
      </c>
    </row>
    <row r="929" spans="1:3" ht="15">
      <c r="A929" s="77" t="s">
        <v>242</v>
      </c>
      <c r="B929" s="76" t="s">
        <v>3592</v>
      </c>
      <c r="C929" s="80" t="s">
        <v>1087</v>
      </c>
    </row>
    <row r="930" spans="1:3" ht="15">
      <c r="A930" s="77" t="s">
        <v>232</v>
      </c>
      <c r="B930" s="76" t="s">
        <v>3104</v>
      </c>
      <c r="C930" s="80" t="s">
        <v>1063</v>
      </c>
    </row>
    <row r="931" spans="1:3" ht="15">
      <c r="A931" s="77" t="s">
        <v>232</v>
      </c>
      <c r="B931" s="76" t="s">
        <v>3073</v>
      </c>
      <c r="C931" s="80" t="s">
        <v>1063</v>
      </c>
    </row>
    <row r="932" spans="1:3" ht="15">
      <c r="A932" s="77" t="s">
        <v>232</v>
      </c>
      <c r="B932" s="76" t="s">
        <v>228</v>
      </c>
      <c r="C932" s="80" t="s">
        <v>1063</v>
      </c>
    </row>
    <row r="933" spans="1:3" ht="15">
      <c r="A933" s="77" t="s">
        <v>232</v>
      </c>
      <c r="B933" s="76" t="s">
        <v>3075</v>
      </c>
      <c r="C933" s="80" t="s">
        <v>1063</v>
      </c>
    </row>
    <row r="934" spans="1:3" ht="15">
      <c r="A934" s="77" t="s">
        <v>238</v>
      </c>
      <c r="B934" s="76" t="s">
        <v>3593</v>
      </c>
      <c r="C934" s="80" t="s">
        <v>1074</v>
      </c>
    </row>
    <row r="935" spans="1:3" ht="15">
      <c r="A935" s="77" t="s">
        <v>238</v>
      </c>
      <c r="B935" s="76" t="s">
        <v>3594</v>
      </c>
      <c r="C935" s="80" t="s">
        <v>1074</v>
      </c>
    </row>
    <row r="936" spans="1:3" ht="15">
      <c r="A936" s="77" t="s">
        <v>238</v>
      </c>
      <c r="B936" s="76" t="s">
        <v>3595</v>
      </c>
      <c r="C936" s="80" t="s">
        <v>1074</v>
      </c>
    </row>
    <row r="937" spans="1:3" ht="15">
      <c r="A937" s="77" t="s">
        <v>238</v>
      </c>
      <c r="B937" s="76" t="s">
        <v>3596</v>
      </c>
      <c r="C937" s="80" t="s">
        <v>1074</v>
      </c>
    </row>
    <row r="938" spans="1:3" ht="15">
      <c r="A938" s="77" t="s">
        <v>238</v>
      </c>
      <c r="B938" s="76" t="s">
        <v>3597</v>
      </c>
      <c r="C938" s="80" t="s">
        <v>1074</v>
      </c>
    </row>
    <row r="939" spans="1:3" ht="15">
      <c r="A939" s="77" t="s">
        <v>238</v>
      </c>
      <c r="B939" s="76" t="s">
        <v>3053</v>
      </c>
      <c r="C939" s="80" t="s">
        <v>1074</v>
      </c>
    </row>
    <row r="940" spans="1:3" ht="15">
      <c r="A940" s="77" t="s">
        <v>238</v>
      </c>
      <c r="B940" s="76" t="s">
        <v>3052</v>
      </c>
      <c r="C940" s="80" t="s">
        <v>1074</v>
      </c>
    </row>
    <row r="941" spans="1:3" ht="15">
      <c r="A941" s="77" t="s">
        <v>238</v>
      </c>
      <c r="B941" s="76" t="s">
        <v>453</v>
      </c>
      <c r="C941" s="80" t="s">
        <v>1074</v>
      </c>
    </row>
    <row r="942" spans="1:3" ht="15">
      <c r="A942" s="77" t="s">
        <v>238</v>
      </c>
      <c r="B942" s="76" t="s">
        <v>454</v>
      </c>
      <c r="C942" s="80" t="s">
        <v>1074</v>
      </c>
    </row>
    <row r="943" spans="1:3" ht="15">
      <c r="A943" s="77" t="s">
        <v>238</v>
      </c>
      <c r="B943" s="76" t="s">
        <v>455</v>
      </c>
      <c r="C943" s="80" t="s">
        <v>1074</v>
      </c>
    </row>
    <row r="944" spans="1:3" ht="15">
      <c r="A944" s="77" t="s">
        <v>238</v>
      </c>
      <c r="B944" s="76" t="s">
        <v>456</v>
      </c>
      <c r="C944" s="80" t="s">
        <v>1074</v>
      </c>
    </row>
    <row r="945" spans="1:3" ht="15">
      <c r="A945" s="77" t="s">
        <v>238</v>
      </c>
      <c r="B945" s="76" t="s">
        <v>457</v>
      </c>
      <c r="C945" s="80" t="s">
        <v>1074</v>
      </c>
    </row>
    <row r="946" spans="1:3" ht="15">
      <c r="A946" s="77" t="s">
        <v>238</v>
      </c>
      <c r="B946" s="76" t="s">
        <v>458</v>
      </c>
      <c r="C946" s="80" t="s">
        <v>1074</v>
      </c>
    </row>
    <row r="947" spans="1:3" ht="15">
      <c r="A947" s="77" t="s">
        <v>238</v>
      </c>
      <c r="B947" s="76" t="s">
        <v>459</v>
      </c>
      <c r="C947" s="80" t="s">
        <v>1074</v>
      </c>
    </row>
    <row r="948" spans="1:3" ht="15">
      <c r="A948" s="77" t="s">
        <v>238</v>
      </c>
      <c r="B948" s="76" t="s">
        <v>460</v>
      </c>
      <c r="C948" s="80" t="s">
        <v>1074</v>
      </c>
    </row>
    <row r="949" spans="1:3" ht="15">
      <c r="A949" s="77" t="s">
        <v>238</v>
      </c>
      <c r="B949" s="76" t="s">
        <v>461</v>
      </c>
      <c r="C949" s="80" t="s">
        <v>1074</v>
      </c>
    </row>
    <row r="950" spans="1:3" ht="15">
      <c r="A950" s="77" t="s">
        <v>238</v>
      </c>
      <c r="B950" s="76" t="s">
        <v>462</v>
      </c>
      <c r="C950" s="80" t="s">
        <v>1074</v>
      </c>
    </row>
    <row r="951" spans="1:3" ht="15">
      <c r="A951" s="77" t="s">
        <v>238</v>
      </c>
      <c r="B951" s="76" t="s">
        <v>228</v>
      </c>
      <c r="C951" s="80" t="s">
        <v>1074</v>
      </c>
    </row>
    <row r="952" spans="1:3" ht="15">
      <c r="A952" s="77" t="s">
        <v>238</v>
      </c>
      <c r="B952" s="76" t="s">
        <v>3598</v>
      </c>
      <c r="C952" s="80" t="s">
        <v>1074</v>
      </c>
    </row>
    <row r="953" spans="1:3" ht="15">
      <c r="A953" s="77" t="s">
        <v>244</v>
      </c>
      <c r="B953" s="76" t="s">
        <v>228</v>
      </c>
      <c r="C953" s="80" t="s">
        <v>1107</v>
      </c>
    </row>
    <row r="954" spans="1:3" ht="15">
      <c r="A954" s="77" t="s">
        <v>244</v>
      </c>
      <c r="B954" s="76" t="s">
        <v>3599</v>
      </c>
      <c r="C954" s="80" t="s">
        <v>1107</v>
      </c>
    </row>
    <row r="955" spans="1:3" ht="15">
      <c r="A955" s="77" t="s">
        <v>244</v>
      </c>
      <c r="B955" s="76" t="s">
        <v>3600</v>
      </c>
      <c r="C955" s="80" t="s">
        <v>1107</v>
      </c>
    </row>
    <row r="956" spans="1:3" ht="15">
      <c r="A956" s="77" t="s">
        <v>257</v>
      </c>
      <c r="B956" s="76" t="s">
        <v>228</v>
      </c>
      <c r="C956" s="80" t="s">
        <v>1134</v>
      </c>
    </row>
    <row r="957" spans="1:3" ht="15">
      <c r="A957" s="77" t="s">
        <v>257</v>
      </c>
      <c r="B957" s="76" t="s">
        <v>529</v>
      </c>
      <c r="C957" s="80" t="s">
        <v>1134</v>
      </c>
    </row>
    <row r="958" spans="1:3" ht="15">
      <c r="A958" s="77" t="s">
        <v>257</v>
      </c>
      <c r="B958" s="76" t="s">
        <v>532</v>
      </c>
      <c r="C958" s="80" t="s">
        <v>1134</v>
      </c>
    </row>
    <row r="959" spans="1:3" ht="15">
      <c r="A959" s="77" t="s">
        <v>257</v>
      </c>
      <c r="B959" s="76" t="s">
        <v>533</v>
      </c>
      <c r="C959" s="80" t="s">
        <v>1134</v>
      </c>
    </row>
    <row r="960" spans="1:3" ht="15">
      <c r="A960" s="77" t="s">
        <v>257</v>
      </c>
      <c r="B960" s="76" t="s">
        <v>535</v>
      </c>
      <c r="C960" s="80" t="s">
        <v>1134</v>
      </c>
    </row>
    <row r="961" spans="1:3" ht="15">
      <c r="A961" s="77" t="s">
        <v>257</v>
      </c>
      <c r="B961" s="76" t="s">
        <v>538</v>
      </c>
      <c r="C961" s="80" t="s">
        <v>1134</v>
      </c>
    </row>
    <row r="962" spans="1:3" ht="15">
      <c r="A962" s="77" t="s">
        <v>257</v>
      </c>
      <c r="B962" s="76" t="s">
        <v>3601</v>
      </c>
      <c r="C962" s="80" t="s">
        <v>1134</v>
      </c>
    </row>
    <row r="963" spans="1:3" ht="15">
      <c r="A963" s="77" t="s">
        <v>257</v>
      </c>
      <c r="B963" s="76" t="s">
        <v>3602</v>
      </c>
      <c r="C963" s="80" t="s">
        <v>1134</v>
      </c>
    </row>
    <row r="964" spans="1:3" ht="15">
      <c r="A964" s="77" t="s">
        <v>257</v>
      </c>
      <c r="B964" s="76" t="s">
        <v>3603</v>
      </c>
      <c r="C964" s="80" t="s">
        <v>1134</v>
      </c>
    </row>
    <row r="965" spans="1:3" ht="15">
      <c r="A965" s="77" t="s">
        <v>257</v>
      </c>
      <c r="B965" s="76" t="s">
        <v>3604</v>
      </c>
      <c r="C965" s="80" t="s">
        <v>1134</v>
      </c>
    </row>
    <row r="966" spans="1:3" ht="15">
      <c r="A966" s="77" t="s">
        <v>257</v>
      </c>
      <c r="B966" s="76" t="s">
        <v>3605</v>
      </c>
      <c r="C966" s="80" t="s">
        <v>1134</v>
      </c>
    </row>
    <row r="967" spans="1:3" ht="15">
      <c r="A967" s="77" t="s">
        <v>257</v>
      </c>
      <c r="B967" s="76" t="s">
        <v>3606</v>
      </c>
      <c r="C967" s="80" t="s">
        <v>1134</v>
      </c>
    </row>
    <row r="968" spans="1:3" ht="15">
      <c r="A968" s="77" t="s">
        <v>257</v>
      </c>
      <c r="B968" s="76" t="s">
        <v>724</v>
      </c>
      <c r="C968" s="80" t="s">
        <v>1134</v>
      </c>
    </row>
    <row r="969" spans="1:3" ht="15">
      <c r="A969" s="77" t="s">
        <v>257</v>
      </c>
      <c r="B969" s="76" t="s">
        <v>3607</v>
      </c>
      <c r="C969" s="80" t="s">
        <v>1134</v>
      </c>
    </row>
    <row r="970" spans="1:3" ht="15">
      <c r="A970" s="77" t="s">
        <v>257</v>
      </c>
      <c r="B970" s="76" t="s">
        <v>3114</v>
      </c>
      <c r="C970" s="80" t="s">
        <v>1134</v>
      </c>
    </row>
    <row r="971" spans="1:3" ht="15">
      <c r="A971" s="77" t="s">
        <v>257</v>
      </c>
      <c r="B971" s="76" t="s">
        <v>3173</v>
      </c>
      <c r="C971" s="80" t="s">
        <v>1134</v>
      </c>
    </row>
    <row r="972" spans="1:3" ht="15">
      <c r="A972" s="77" t="s">
        <v>257</v>
      </c>
      <c r="B972" s="76" t="s">
        <v>3206</v>
      </c>
      <c r="C972" s="80" t="s">
        <v>1134</v>
      </c>
    </row>
    <row r="973" spans="1:3" ht="15">
      <c r="A973" s="77" t="s">
        <v>257</v>
      </c>
      <c r="B973" s="80" t="s">
        <v>3206</v>
      </c>
      <c r="C973" s="80" t="s">
        <v>1134</v>
      </c>
    </row>
    <row r="974" spans="1:3" ht="15">
      <c r="A974" s="77" t="s">
        <v>257</v>
      </c>
      <c r="B974" s="76" t="s">
        <v>3608</v>
      </c>
      <c r="C974" s="80" t="s">
        <v>1134</v>
      </c>
    </row>
    <row r="975" spans="1:3" ht="15">
      <c r="A975" s="77" t="s">
        <v>225</v>
      </c>
      <c r="B975" s="76" t="s">
        <v>3129</v>
      </c>
      <c r="C975" s="80" t="s">
        <v>1029</v>
      </c>
    </row>
    <row r="976" spans="1:3" ht="15">
      <c r="A976" s="77" t="s">
        <v>225</v>
      </c>
      <c r="B976" s="76">
        <v>0</v>
      </c>
      <c r="C976" s="80" t="s">
        <v>1029</v>
      </c>
    </row>
    <row r="977" spans="1:3" ht="15">
      <c r="A977" s="77" t="s">
        <v>225</v>
      </c>
      <c r="B977" s="76">
        <v>20</v>
      </c>
      <c r="C977" s="80" t="s">
        <v>1029</v>
      </c>
    </row>
    <row r="978" spans="1:3" ht="15">
      <c r="A978" s="77" t="s">
        <v>225</v>
      </c>
      <c r="B978" s="76" t="s">
        <v>3609</v>
      </c>
      <c r="C978" s="80" t="s">
        <v>1029</v>
      </c>
    </row>
    <row r="979" spans="1:3" ht="15">
      <c r="A979" s="77" t="s">
        <v>225</v>
      </c>
      <c r="B979" s="76" t="s">
        <v>3068</v>
      </c>
      <c r="C979" s="80" t="s">
        <v>1029</v>
      </c>
    </row>
    <row r="980" spans="1:3" ht="15">
      <c r="A980" s="77" t="s">
        <v>225</v>
      </c>
      <c r="B980" s="76" t="s">
        <v>3610</v>
      </c>
      <c r="C980" s="80" t="s">
        <v>1029</v>
      </c>
    </row>
    <row r="981" spans="1:3" ht="15">
      <c r="A981" s="77" t="s">
        <v>225</v>
      </c>
      <c r="B981" s="76" t="s">
        <v>3611</v>
      </c>
      <c r="C981" s="80" t="s">
        <v>1029</v>
      </c>
    </row>
    <row r="982" spans="1:3" ht="15">
      <c r="A982" s="77" t="s">
        <v>225</v>
      </c>
      <c r="B982" s="76" t="s">
        <v>3612</v>
      </c>
      <c r="C982" s="80" t="s">
        <v>1029</v>
      </c>
    </row>
    <row r="983" spans="1:3" ht="15">
      <c r="A983" s="77" t="s">
        <v>225</v>
      </c>
      <c r="B983" s="76" t="s">
        <v>3613</v>
      </c>
      <c r="C983" s="80" t="s">
        <v>1029</v>
      </c>
    </row>
    <row r="984" spans="1:3" ht="15">
      <c r="A984" s="77" t="s">
        <v>225</v>
      </c>
      <c r="B984" s="76" t="s">
        <v>3614</v>
      </c>
      <c r="C984" s="80" t="s">
        <v>1029</v>
      </c>
    </row>
    <row r="985" spans="1:3" ht="15">
      <c r="A985" s="77" t="s">
        <v>225</v>
      </c>
      <c r="B985" s="76" t="s">
        <v>228</v>
      </c>
      <c r="C985" s="80" t="s">
        <v>1029</v>
      </c>
    </row>
    <row r="986" spans="1:3" ht="15">
      <c r="A986" s="77" t="s">
        <v>225</v>
      </c>
      <c r="B986" s="76" t="s">
        <v>229</v>
      </c>
      <c r="C986" s="80" t="s">
        <v>1029</v>
      </c>
    </row>
    <row r="987" spans="1:3" ht="15">
      <c r="A987" s="77" t="s">
        <v>257</v>
      </c>
      <c r="B987" s="76" t="s">
        <v>228</v>
      </c>
      <c r="C987" s="80" t="s">
        <v>1135</v>
      </c>
    </row>
    <row r="988" spans="1:3" ht="15">
      <c r="A988" s="77" t="s">
        <v>257</v>
      </c>
      <c r="B988" s="76" t="s">
        <v>528</v>
      </c>
      <c r="C988" s="80" t="s">
        <v>1135</v>
      </c>
    </row>
    <row r="989" spans="1:3" ht="15">
      <c r="A989" s="77" t="s">
        <v>257</v>
      </c>
      <c r="B989" s="76" t="s">
        <v>529</v>
      </c>
      <c r="C989" s="80" t="s">
        <v>1135</v>
      </c>
    </row>
    <row r="990" spans="1:3" ht="15">
      <c r="A990" s="77" t="s">
        <v>257</v>
      </c>
      <c r="B990" s="76" t="s">
        <v>530</v>
      </c>
      <c r="C990" s="80" t="s">
        <v>1135</v>
      </c>
    </row>
    <row r="991" spans="1:3" ht="15">
      <c r="A991" s="77" t="s">
        <v>257</v>
      </c>
      <c r="B991" s="76" t="s">
        <v>532</v>
      </c>
      <c r="C991" s="80" t="s">
        <v>1135</v>
      </c>
    </row>
    <row r="992" spans="1:3" ht="15">
      <c r="A992" s="77" t="s">
        <v>257</v>
      </c>
      <c r="B992" s="76" t="s">
        <v>533</v>
      </c>
      <c r="C992" s="80" t="s">
        <v>1135</v>
      </c>
    </row>
    <row r="993" spans="1:3" ht="15">
      <c r="A993" s="77" t="s">
        <v>257</v>
      </c>
      <c r="B993" s="76" t="s">
        <v>534</v>
      </c>
      <c r="C993" s="80" t="s">
        <v>1135</v>
      </c>
    </row>
    <row r="994" spans="1:3" ht="15">
      <c r="A994" s="77" t="s">
        <v>257</v>
      </c>
      <c r="B994" s="76" t="s">
        <v>535</v>
      </c>
      <c r="C994" s="80" t="s">
        <v>1135</v>
      </c>
    </row>
    <row r="995" spans="1:3" ht="15">
      <c r="A995" s="77" t="s">
        <v>257</v>
      </c>
      <c r="B995" s="76" t="s">
        <v>537</v>
      </c>
      <c r="C995" s="80" t="s">
        <v>1135</v>
      </c>
    </row>
    <row r="996" spans="1:3" ht="15">
      <c r="A996" s="77" t="s">
        <v>257</v>
      </c>
      <c r="B996" s="76" t="s">
        <v>538</v>
      </c>
      <c r="C996" s="80" t="s">
        <v>1135</v>
      </c>
    </row>
    <row r="997" spans="1:3" ht="15">
      <c r="A997" s="77" t="s">
        <v>257</v>
      </c>
      <c r="B997" s="76" t="s">
        <v>3365</v>
      </c>
      <c r="C997" s="80" t="s">
        <v>1135</v>
      </c>
    </row>
    <row r="998" spans="1:3" ht="15">
      <c r="A998" s="77" t="s">
        <v>257</v>
      </c>
      <c r="B998" s="76" t="s">
        <v>3615</v>
      </c>
      <c r="C998" s="80" t="s">
        <v>1135</v>
      </c>
    </row>
    <row r="999" spans="1:3" ht="15">
      <c r="A999" s="77" t="s">
        <v>257</v>
      </c>
      <c r="B999" s="76" t="s">
        <v>3616</v>
      </c>
      <c r="C999" s="80" t="s">
        <v>1135</v>
      </c>
    </row>
    <row r="1000" spans="1:3" ht="15">
      <c r="A1000" s="77" t="s">
        <v>257</v>
      </c>
      <c r="B1000" s="76" t="s">
        <v>3617</v>
      </c>
      <c r="C1000" s="80" t="s">
        <v>1135</v>
      </c>
    </row>
    <row r="1001" spans="1:3" ht="15">
      <c r="A1001" s="77" t="s">
        <v>257</v>
      </c>
      <c r="B1001" s="76" t="s">
        <v>3618</v>
      </c>
      <c r="C1001" s="80" t="s">
        <v>1135</v>
      </c>
    </row>
    <row r="1002" spans="1:3" ht="15">
      <c r="A1002" s="77" t="s">
        <v>257</v>
      </c>
      <c r="B1002" s="76" t="s">
        <v>3619</v>
      </c>
      <c r="C1002" s="80" t="s">
        <v>1135</v>
      </c>
    </row>
    <row r="1003" spans="1:3" ht="15">
      <c r="A1003" s="77" t="s">
        <v>257</v>
      </c>
      <c r="B1003" s="76" t="s">
        <v>3128</v>
      </c>
      <c r="C1003" s="80" t="s">
        <v>1135</v>
      </c>
    </row>
    <row r="1004" spans="1:3" ht="15">
      <c r="A1004" s="77" t="s">
        <v>257</v>
      </c>
      <c r="B1004" s="76" t="s">
        <v>3620</v>
      </c>
      <c r="C1004" s="80" t="s">
        <v>1135</v>
      </c>
    </row>
    <row r="1005" spans="1:3" ht="15">
      <c r="A1005" s="77" t="s">
        <v>257</v>
      </c>
      <c r="B1005" s="76" t="s">
        <v>3621</v>
      </c>
      <c r="C1005" s="80" t="s">
        <v>1135</v>
      </c>
    </row>
    <row r="1006" spans="1:3" ht="15">
      <c r="A1006" s="77" t="s">
        <v>257</v>
      </c>
      <c r="B1006" s="76" t="s">
        <v>3622</v>
      </c>
      <c r="C1006" s="80" t="s">
        <v>1135</v>
      </c>
    </row>
    <row r="1007" spans="1:3" ht="15">
      <c r="A1007" s="77" t="s">
        <v>257</v>
      </c>
      <c r="B1007" s="76" t="s">
        <v>724</v>
      </c>
      <c r="C1007" s="80" t="s">
        <v>1135</v>
      </c>
    </row>
    <row r="1008" spans="1:3" ht="15">
      <c r="A1008" s="77" t="s">
        <v>244</v>
      </c>
      <c r="B1008" s="76" t="s">
        <v>3216</v>
      </c>
      <c r="C1008" s="80" t="s">
        <v>1098</v>
      </c>
    </row>
    <row r="1009" spans="1:3" ht="15">
      <c r="A1009" s="77" t="s">
        <v>244</v>
      </c>
      <c r="B1009" s="76" t="s">
        <v>3623</v>
      </c>
      <c r="C1009" s="80" t="s">
        <v>1098</v>
      </c>
    </row>
    <row r="1010" spans="1:3" ht="15">
      <c r="A1010" s="77" t="s">
        <v>244</v>
      </c>
      <c r="B1010" s="76" t="s">
        <v>3084</v>
      </c>
      <c r="C1010" s="80" t="s">
        <v>1098</v>
      </c>
    </row>
    <row r="1011" spans="1:3" ht="15">
      <c r="A1011" s="77" t="s">
        <v>244</v>
      </c>
      <c r="B1011" s="76" t="s">
        <v>228</v>
      </c>
      <c r="C1011" s="80" t="s">
        <v>1098</v>
      </c>
    </row>
    <row r="1012" spans="1:3" ht="15">
      <c r="A1012" s="77" t="s">
        <v>244</v>
      </c>
      <c r="B1012" s="76" t="s">
        <v>3098</v>
      </c>
      <c r="C1012" s="80" t="s">
        <v>1098</v>
      </c>
    </row>
    <row r="1013" spans="1:3" ht="15">
      <c r="A1013" s="77" t="s">
        <v>244</v>
      </c>
      <c r="B1013" s="76" t="s">
        <v>471</v>
      </c>
      <c r="C1013" s="80" t="s">
        <v>1098</v>
      </c>
    </row>
    <row r="1014" spans="1:3" ht="15">
      <c r="A1014" s="77" t="s">
        <v>258</v>
      </c>
      <c r="B1014" s="76" t="s">
        <v>526</v>
      </c>
      <c r="C1014" s="80" t="s">
        <v>1141</v>
      </c>
    </row>
    <row r="1015" spans="1:3" ht="15">
      <c r="A1015" s="77" t="s">
        <v>258</v>
      </c>
      <c r="B1015" s="76" t="s">
        <v>527</v>
      </c>
      <c r="C1015" s="80" t="s">
        <v>1141</v>
      </c>
    </row>
    <row r="1016" spans="1:3" ht="15">
      <c r="A1016" s="77" t="s">
        <v>258</v>
      </c>
      <c r="B1016" s="76" t="s">
        <v>228</v>
      </c>
      <c r="C1016" s="80" t="s">
        <v>1141</v>
      </c>
    </row>
    <row r="1017" spans="1:3" ht="15">
      <c r="A1017" s="77" t="s">
        <v>258</v>
      </c>
      <c r="B1017" s="76" t="s">
        <v>528</v>
      </c>
      <c r="C1017" s="80" t="s">
        <v>1141</v>
      </c>
    </row>
    <row r="1018" spans="1:3" ht="15">
      <c r="A1018" s="77" t="s">
        <v>258</v>
      </c>
      <c r="B1018" s="76" t="s">
        <v>529</v>
      </c>
      <c r="C1018" s="80" t="s">
        <v>1141</v>
      </c>
    </row>
    <row r="1019" spans="1:3" ht="15">
      <c r="A1019" s="77" t="s">
        <v>258</v>
      </c>
      <c r="B1019" s="76" t="s">
        <v>530</v>
      </c>
      <c r="C1019" s="80" t="s">
        <v>1141</v>
      </c>
    </row>
    <row r="1020" spans="1:3" ht="15">
      <c r="A1020" s="77" t="s">
        <v>258</v>
      </c>
      <c r="B1020" s="76" t="s">
        <v>531</v>
      </c>
      <c r="C1020" s="80" t="s">
        <v>1141</v>
      </c>
    </row>
    <row r="1021" spans="1:3" ht="15">
      <c r="A1021" s="77" t="s">
        <v>258</v>
      </c>
      <c r="B1021" s="76" t="s">
        <v>532</v>
      </c>
      <c r="C1021" s="80" t="s">
        <v>1141</v>
      </c>
    </row>
    <row r="1022" spans="1:3" ht="15">
      <c r="A1022" s="77" t="s">
        <v>258</v>
      </c>
      <c r="B1022" s="76" t="s">
        <v>533</v>
      </c>
      <c r="C1022" s="80" t="s">
        <v>1141</v>
      </c>
    </row>
    <row r="1023" spans="1:3" ht="15">
      <c r="A1023" s="77" t="s">
        <v>258</v>
      </c>
      <c r="B1023" s="76" t="s">
        <v>535</v>
      </c>
      <c r="C1023" s="80" t="s">
        <v>1141</v>
      </c>
    </row>
    <row r="1024" spans="1:3" ht="15">
      <c r="A1024" s="77" t="s">
        <v>258</v>
      </c>
      <c r="B1024" s="76" t="s">
        <v>536</v>
      </c>
      <c r="C1024" s="80" t="s">
        <v>1141</v>
      </c>
    </row>
    <row r="1025" spans="1:3" ht="15">
      <c r="A1025" s="77" t="s">
        <v>258</v>
      </c>
      <c r="B1025" s="76" t="s">
        <v>537</v>
      </c>
      <c r="C1025" s="80" t="s">
        <v>1141</v>
      </c>
    </row>
    <row r="1026" spans="1:3" ht="15">
      <c r="A1026" s="77" t="s">
        <v>258</v>
      </c>
      <c r="B1026" s="76" t="s">
        <v>538</v>
      </c>
      <c r="C1026" s="80" t="s">
        <v>1141</v>
      </c>
    </row>
    <row r="1027" spans="1:3" ht="15">
      <c r="A1027" s="77" t="s">
        <v>258</v>
      </c>
      <c r="B1027" s="76" t="s">
        <v>3624</v>
      </c>
      <c r="C1027" s="80" t="s">
        <v>1141</v>
      </c>
    </row>
    <row r="1028" spans="1:3" ht="15">
      <c r="A1028" s="77" t="s">
        <v>258</v>
      </c>
      <c r="B1028" s="76" t="s">
        <v>3625</v>
      </c>
      <c r="C1028" s="80" t="s">
        <v>1141</v>
      </c>
    </row>
    <row r="1029" spans="1:3" ht="15">
      <c r="A1029" s="77" t="s">
        <v>258</v>
      </c>
      <c r="B1029" s="76" t="s">
        <v>3626</v>
      </c>
      <c r="C1029" s="80" t="s">
        <v>1141</v>
      </c>
    </row>
    <row r="1030" spans="1:3" ht="15">
      <c r="A1030" s="77" t="s">
        <v>258</v>
      </c>
      <c r="B1030" s="76" t="s">
        <v>3627</v>
      </c>
      <c r="C1030" s="80" t="s">
        <v>1141</v>
      </c>
    </row>
    <row r="1031" spans="1:3" ht="15">
      <c r="A1031" s="77" t="s">
        <v>258</v>
      </c>
      <c r="B1031" s="76" t="s">
        <v>3628</v>
      </c>
      <c r="C1031" s="80" t="s">
        <v>1141</v>
      </c>
    </row>
    <row r="1032" spans="1:3" ht="15">
      <c r="A1032" s="77" t="s">
        <v>258</v>
      </c>
      <c r="B1032" s="76" t="s">
        <v>3629</v>
      </c>
      <c r="C1032" s="80" t="s">
        <v>1141</v>
      </c>
    </row>
    <row r="1033" spans="1:3" ht="15">
      <c r="A1033" s="77" t="s">
        <v>258</v>
      </c>
      <c r="B1033" s="76" t="s">
        <v>3630</v>
      </c>
      <c r="C1033" s="80" t="s">
        <v>1141</v>
      </c>
    </row>
    <row r="1034" spans="1:3" ht="15">
      <c r="A1034" s="77" t="s">
        <v>258</v>
      </c>
      <c r="B1034" s="76" t="s">
        <v>3123</v>
      </c>
      <c r="C1034" s="80" t="s">
        <v>1141</v>
      </c>
    </row>
    <row r="1035" spans="1:3" ht="15">
      <c r="A1035" s="77" t="s">
        <v>235</v>
      </c>
      <c r="B1035" s="76" t="s">
        <v>420</v>
      </c>
      <c r="C1035" s="80" t="s">
        <v>1067</v>
      </c>
    </row>
    <row r="1036" spans="1:3" ht="15">
      <c r="A1036" s="77" t="s">
        <v>235</v>
      </c>
      <c r="B1036" s="76" t="s">
        <v>3631</v>
      </c>
      <c r="C1036" s="80" t="s">
        <v>1067</v>
      </c>
    </row>
    <row r="1037" spans="1:3" ht="15">
      <c r="A1037" s="77" t="s">
        <v>235</v>
      </c>
      <c r="B1037" s="76" t="s">
        <v>3632</v>
      </c>
      <c r="C1037" s="80" t="s">
        <v>1067</v>
      </c>
    </row>
    <row r="1038" spans="1:3" ht="15">
      <c r="A1038" s="77" t="s">
        <v>235</v>
      </c>
      <c r="B1038" s="76" t="s">
        <v>3290</v>
      </c>
      <c r="C1038" s="80" t="s">
        <v>1067</v>
      </c>
    </row>
    <row r="1039" spans="1:3" ht="15">
      <c r="A1039" s="77" t="s">
        <v>235</v>
      </c>
      <c r="B1039" s="76" t="s">
        <v>699</v>
      </c>
      <c r="C1039" s="80" t="s">
        <v>1067</v>
      </c>
    </row>
    <row r="1040" spans="1:3" ht="15">
      <c r="A1040" s="77" t="s">
        <v>235</v>
      </c>
      <c r="B1040" s="76" t="s">
        <v>228</v>
      </c>
      <c r="C1040" s="80" t="s">
        <v>1067</v>
      </c>
    </row>
    <row r="1041" spans="1:3" ht="15">
      <c r="A1041" s="77" t="s">
        <v>235</v>
      </c>
      <c r="B1041" s="76" t="s">
        <v>421</v>
      </c>
      <c r="C1041" s="80" t="s">
        <v>1067</v>
      </c>
    </row>
    <row r="1042" spans="1:3" ht="15">
      <c r="A1042" s="77" t="s">
        <v>235</v>
      </c>
      <c r="B1042" s="76" t="s">
        <v>422</v>
      </c>
      <c r="C1042" s="80" t="s">
        <v>1067</v>
      </c>
    </row>
    <row r="1043" spans="1:3" ht="15">
      <c r="A1043" s="77" t="s">
        <v>235</v>
      </c>
      <c r="B1043" s="76" t="s">
        <v>3075</v>
      </c>
      <c r="C1043" s="80" t="s">
        <v>1067</v>
      </c>
    </row>
    <row r="1044" spans="1:3" ht="15">
      <c r="A1044" s="77" t="s">
        <v>235</v>
      </c>
      <c r="B1044" s="76" t="s">
        <v>3055</v>
      </c>
      <c r="C1044" s="80" t="s">
        <v>1067</v>
      </c>
    </row>
    <row r="1045" spans="1:3" ht="15">
      <c r="A1045" s="77" t="s">
        <v>235</v>
      </c>
      <c r="B1045" s="76" t="s">
        <v>3074</v>
      </c>
      <c r="C1045" s="80" t="s">
        <v>1067</v>
      </c>
    </row>
    <row r="1046" spans="1:3" ht="15">
      <c r="A1046" s="77" t="s">
        <v>235</v>
      </c>
      <c r="B1046" s="76" t="s">
        <v>278</v>
      </c>
      <c r="C1046" s="80" t="s">
        <v>1067</v>
      </c>
    </row>
    <row r="1047" spans="1:3" ht="15">
      <c r="A1047" s="77" t="s">
        <v>235</v>
      </c>
      <c r="B1047" s="76" t="s">
        <v>3099</v>
      </c>
      <c r="C1047" s="80" t="s">
        <v>1067</v>
      </c>
    </row>
    <row r="1048" spans="1:3" ht="15">
      <c r="A1048" s="77" t="s">
        <v>235</v>
      </c>
      <c r="B1048" s="76" t="s">
        <v>234</v>
      </c>
      <c r="C1048" s="80" t="s">
        <v>1067</v>
      </c>
    </row>
    <row r="1049" spans="1:3" ht="15">
      <c r="A1049" s="77" t="s">
        <v>235</v>
      </c>
      <c r="B1049" s="76" t="s">
        <v>3633</v>
      </c>
      <c r="C1049" s="80" t="s">
        <v>1067</v>
      </c>
    </row>
    <row r="1050" spans="1:3" ht="15">
      <c r="A1050" s="77" t="s">
        <v>235</v>
      </c>
      <c r="B1050" s="76" t="s">
        <v>3142</v>
      </c>
      <c r="C1050" s="80" t="s">
        <v>1067</v>
      </c>
    </row>
    <row r="1051" spans="1:3" ht="15">
      <c r="A1051" s="77" t="s">
        <v>235</v>
      </c>
      <c r="B1051" s="76" t="s">
        <v>3634</v>
      </c>
      <c r="C1051" s="80" t="s">
        <v>1067</v>
      </c>
    </row>
    <row r="1052" spans="1:3" ht="15">
      <c r="A1052" s="77" t="s">
        <v>235</v>
      </c>
      <c r="B1052" s="76" t="s">
        <v>3635</v>
      </c>
      <c r="C1052" s="80" t="s">
        <v>1067</v>
      </c>
    </row>
    <row r="1053" spans="1:3" ht="15">
      <c r="A1053" s="77" t="s">
        <v>235</v>
      </c>
      <c r="B1053" s="76" t="s">
        <v>693</v>
      </c>
      <c r="C1053" s="80" t="s">
        <v>1067</v>
      </c>
    </row>
    <row r="1054" spans="1:3" ht="15">
      <c r="A1054" s="77" t="s">
        <v>234</v>
      </c>
      <c r="B1054" s="76" t="s">
        <v>3636</v>
      </c>
      <c r="C1054" s="80" t="s">
        <v>1068</v>
      </c>
    </row>
    <row r="1055" spans="1:3" ht="15">
      <c r="A1055" s="77" t="s">
        <v>234</v>
      </c>
      <c r="B1055" s="76" t="s">
        <v>3637</v>
      </c>
      <c r="C1055" s="80" t="s">
        <v>1068</v>
      </c>
    </row>
    <row r="1056" spans="1:3" ht="15">
      <c r="A1056" s="77" t="s">
        <v>234</v>
      </c>
      <c r="B1056" s="76" t="s">
        <v>3114</v>
      </c>
      <c r="C1056" s="80" t="s">
        <v>1068</v>
      </c>
    </row>
    <row r="1057" spans="1:3" ht="15">
      <c r="A1057" s="77" t="s">
        <v>234</v>
      </c>
      <c r="B1057" s="76" t="s">
        <v>3217</v>
      </c>
      <c r="C1057" s="80" t="s">
        <v>1068</v>
      </c>
    </row>
    <row r="1058" spans="1:3" ht="15">
      <c r="A1058" s="77" t="s">
        <v>234</v>
      </c>
      <c r="B1058" s="76" t="s">
        <v>3638</v>
      </c>
      <c r="C1058" s="80" t="s">
        <v>1068</v>
      </c>
    </row>
    <row r="1059" spans="1:3" ht="15">
      <c r="A1059" s="77" t="s">
        <v>234</v>
      </c>
      <c r="B1059" s="76" t="s">
        <v>3639</v>
      </c>
      <c r="C1059" s="80" t="s">
        <v>1068</v>
      </c>
    </row>
    <row r="1060" spans="1:3" ht="15">
      <c r="A1060" s="77" t="s">
        <v>234</v>
      </c>
      <c r="B1060" s="76" t="s">
        <v>3099</v>
      </c>
      <c r="C1060" s="80" t="s">
        <v>1068</v>
      </c>
    </row>
    <row r="1061" spans="1:3" ht="15">
      <c r="A1061" s="77" t="s">
        <v>234</v>
      </c>
      <c r="B1061" s="76" t="s">
        <v>693</v>
      </c>
      <c r="C1061" s="80" t="s">
        <v>1068</v>
      </c>
    </row>
    <row r="1062" spans="1:3" ht="15">
      <c r="A1062" s="77" t="s">
        <v>234</v>
      </c>
      <c r="B1062" s="76" t="s">
        <v>3640</v>
      </c>
      <c r="C1062" s="80" t="s">
        <v>1068</v>
      </c>
    </row>
    <row r="1063" spans="1:3" ht="15">
      <c r="A1063" s="77" t="s">
        <v>234</v>
      </c>
      <c r="B1063" s="76" t="s">
        <v>3060</v>
      </c>
      <c r="C1063" s="80" t="s">
        <v>1068</v>
      </c>
    </row>
    <row r="1064" spans="1:3" ht="15">
      <c r="A1064" s="77" t="s">
        <v>234</v>
      </c>
      <c r="B1064" s="76" t="s">
        <v>3641</v>
      </c>
      <c r="C1064" s="80" t="s">
        <v>1068</v>
      </c>
    </row>
    <row r="1065" spans="1:3" ht="15">
      <c r="A1065" s="77" t="s">
        <v>255</v>
      </c>
      <c r="B1065" s="76" t="s">
        <v>3642</v>
      </c>
      <c r="C1065" s="80" t="s">
        <v>1126</v>
      </c>
    </row>
    <row r="1066" spans="1:3" ht="15">
      <c r="A1066" s="77" t="s">
        <v>255</v>
      </c>
      <c r="B1066" s="76" t="s">
        <v>3643</v>
      </c>
      <c r="C1066" s="80" t="s">
        <v>1126</v>
      </c>
    </row>
    <row r="1067" spans="1:3" ht="15">
      <c r="A1067" s="77" t="s">
        <v>255</v>
      </c>
      <c r="B1067" s="76" t="s">
        <v>3175</v>
      </c>
      <c r="C1067" s="80" t="s">
        <v>1126</v>
      </c>
    </row>
    <row r="1068" spans="1:3" ht="15">
      <c r="A1068" s="77" t="s">
        <v>255</v>
      </c>
      <c r="B1068" s="76" t="s">
        <v>3074</v>
      </c>
      <c r="C1068" s="80" t="s">
        <v>1126</v>
      </c>
    </row>
    <row r="1069" spans="1:3" ht="15">
      <c r="A1069" s="77" t="s">
        <v>255</v>
      </c>
      <c r="B1069" s="76" t="s">
        <v>3644</v>
      </c>
      <c r="C1069" s="80" t="s">
        <v>1126</v>
      </c>
    </row>
    <row r="1070" spans="1:3" ht="15">
      <c r="A1070" s="77" t="s">
        <v>255</v>
      </c>
      <c r="B1070" s="76" t="s">
        <v>3087</v>
      </c>
      <c r="C1070" s="80" t="s">
        <v>1126</v>
      </c>
    </row>
    <row r="1071" spans="1:3" ht="15">
      <c r="A1071" s="77" t="s">
        <v>255</v>
      </c>
      <c r="B1071" s="76" t="s">
        <v>724</v>
      </c>
      <c r="C1071" s="80" t="s">
        <v>1126</v>
      </c>
    </row>
    <row r="1072" spans="1:3" ht="15">
      <c r="A1072" s="77" t="s">
        <v>255</v>
      </c>
      <c r="B1072" s="76" t="s">
        <v>3645</v>
      </c>
      <c r="C1072" s="80" t="s">
        <v>1126</v>
      </c>
    </row>
    <row r="1073" spans="1:3" ht="15">
      <c r="A1073" s="77" t="s">
        <v>255</v>
      </c>
      <c r="B1073" s="76" t="s">
        <v>3181</v>
      </c>
      <c r="C1073" s="80" t="s">
        <v>1126</v>
      </c>
    </row>
    <row r="1074" spans="1:3" ht="15">
      <c r="A1074" s="77" t="s">
        <v>255</v>
      </c>
      <c r="B1074" s="76" t="s">
        <v>806</v>
      </c>
      <c r="C1074" s="80" t="s">
        <v>1126</v>
      </c>
    </row>
    <row r="1075" spans="1:3" ht="15">
      <c r="A1075" s="77" t="s">
        <v>229</v>
      </c>
      <c r="B1075" s="76" t="s">
        <v>3646</v>
      </c>
      <c r="C1075" s="80" t="s">
        <v>1054</v>
      </c>
    </row>
    <row r="1076" spans="1:3" ht="15">
      <c r="A1076" s="77" t="s">
        <v>229</v>
      </c>
      <c r="B1076" s="76" t="s">
        <v>3601</v>
      </c>
      <c r="C1076" s="80" t="s">
        <v>1054</v>
      </c>
    </row>
    <row r="1077" spans="1:3" ht="15">
      <c r="A1077" s="77" t="s">
        <v>229</v>
      </c>
      <c r="B1077" s="76" t="s">
        <v>3647</v>
      </c>
      <c r="C1077" s="80" t="s">
        <v>1054</v>
      </c>
    </row>
    <row r="1078" spans="1:3" ht="15">
      <c r="A1078" s="77" t="s">
        <v>229</v>
      </c>
      <c r="B1078" s="76" t="s">
        <v>3648</v>
      </c>
      <c r="C1078" s="80" t="s">
        <v>1054</v>
      </c>
    </row>
    <row r="1079" spans="1:3" ht="15">
      <c r="A1079" s="77" t="s">
        <v>229</v>
      </c>
      <c r="B1079" s="76" t="s">
        <v>3053</v>
      </c>
      <c r="C1079" s="80" t="s">
        <v>1054</v>
      </c>
    </row>
    <row r="1080" spans="1:3" ht="15">
      <c r="A1080" s="77" t="s">
        <v>229</v>
      </c>
      <c r="B1080" s="76" t="s">
        <v>3052</v>
      </c>
      <c r="C1080" s="80" t="s">
        <v>1054</v>
      </c>
    </row>
    <row r="1081" spans="1:3" ht="15">
      <c r="A1081" s="77" t="s">
        <v>229</v>
      </c>
      <c r="B1081" s="76" t="s">
        <v>369</v>
      </c>
      <c r="C1081" s="80" t="s">
        <v>1054</v>
      </c>
    </row>
    <row r="1082" spans="1:3" ht="15">
      <c r="A1082" s="77" t="s">
        <v>229</v>
      </c>
      <c r="B1082" s="76" t="s">
        <v>370</v>
      </c>
      <c r="C1082" s="80" t="s">
        <v>1054</v>
      </c>
    </row>
    <row r="1083" spans="1:3" ht="15">
      <c r="A1083" s="77" t="s">
        <v>229</v>
      </c>
      <c r="B1083" s="76" t="s">
        <v>371</v>
      </c>
      <c r="C1083" s="80" t="s">
        <v>1054</v>
      </c>
    </row>
    <row r="1084" spans="1:3" ht="15">
      <c r="A1084" s="77" t="s">
        <v>229</v>
      </c>
      <c r="B1084" s="76" t="s">
        <v>372</v>
      </c>
      <c r="C1084" s="80" t="s">
        <v>1054</v>
      </c>
    </row>
    <row r="1085" spans="1:3" ht="15">
      <c r="A1085" s="77" t="s">
        <v>229</v>
      </c>
      <c r="B1085" s="76" t="s">
        <v>373</v>
      </c>
      <c r="C1085" s="80" t="s">
        <v>1054</v>
      </c>
    </row>
    <row r="1086" spans="1:3" ht="15">
      <c r="A1086" s="77" t="s">
        <v>229</v>
      </c>
      <c r="B1086" s="76" t="s">
        <v>230</v>
      </c>
      <c r="C1086" s="80" t="s">
        <v>1054</v>
      </c>
    </row>
    <row r="1087" spans="1:3" ht="15">
      <c r="A1087" s="77" t="s">
        <v>229</v>
      </c>
      <c r="B1087" s="76" t="s">
        <v>374</v>
      </c>
      <c r="C1087" s="80" t="s">
        <v>1054</v>
      </c>
    </row>
    <row r="1088" spans="1:3" ht="15">
      <c r="A1088" s="77" t="s">
        <v>229</v>
      </c>
      <c r="B1088" s="76" t="s">
        <v>375</v>
      </c>
      <c r="C1088" s="80" t="s">
        <v>1054</v>
      </c>
    </row>
    <row r="1089" spans="1:3" ht="15">
      <c r="A1089" s="77" t="s">
        <v>229</v>
      </c>
      <c r="B1089" s="76" t="s">
        <v>228</v>
      </c>
      <c r="C1089" s="80" t="s">
        <v>1054</v>
      </c>
    </row>
    <row r="1090" spans="1:3" ht="15">
      <c r="A1090" s="77" t="s">
        <v>229</v>
      </c>
      <c r="B1090" s="76" t="s">
        <v>376</v>
      </c>
      <c r="C1090" s="80" t="s">
        <v>1054</v>
      </c>
    </row>
    <row r="1091" spans="1:3" ht="15">
      <c r="A1091" s="77" t="s">
        <v>244</v>
      </c>
      <c r="B1091" s="76" t="s">
        <v>3649</v>
      </c>
      <c r="C1091" s="80" t="s">
        <v>1089</v>
      </c>
    </row>
    <row r="1092" spans="1:3" ht="15">
      <c r="A1092" s="77" t="s">
        <v>244</v>
      </c>
      <c r="B1092" s="76" t="s">
        <v>3080</v>
      </c>
      <c r="C1092" s="80" t="s">
        <v>1089</v>
      </c>
    </row>
    <row r="1093" spans="1:3" ht="15">
      <c r="A1093" s="77" t="s">
        <v>244</v>
      </c>
      <c r="B1093" s="76" t="s">
        <v>3650</v>
      </c>
      <c r="C1093" s="80" t="s">
        <v>1089</v>
      </c>
    </row>
    <row r="1094" spans="1:3" ht="15">
      <c r="A1094" s="77" t="s">
        <v>244</v>
      </c>
      <c r="B1094" s="76" t="s">
        <v>228</v>
      </c>
      <c r="C1094" s="80" t="s">
        <v>1089</v>
      </c>
    </row>
    <row r="1095" spans="1:3" ht="15">
      <c r="A1095" s="77" t="s">
        <v>244</v>
      </c>
      <c r="B1095" s="76" t="s">
        <v>3087</v>
      </c>
      <c r="C1095" s="80" t="s">
        <v>1089</v>
      </c>
    </row>
    <row r="1096" spans="1:3" ht="15">
      <c r="A1096" s="77" t="s">
        <v>244</v>
      </c>
      <c r="B1096" s="76" t="s">
        <v>3651</v>
      </c>
      <c r="C1096" s="80" t="s">
        <v>1089</v>
      </c>
    </row>
    <row r="1097" spans="1:3" ht="15">
      <c r="A1097" s="77" t="s">
        <v>244</v>
      </c>
      <c r="B1097" s="76" t="s">
        <v>3652</v>
      </c>
      <c r="C1097" s="80" t="s">
        <v>1089</v>
      </c>
    </row>
    <row r="1098" spans="1:3" ht="15">
      <c r="A1098" s="77" t="s">
        <v>244</v>
      </c>
      <c r="B1098" s="76" t="s">
        <v>3100</v>
      </c>
      <c r="C1098" s="80" t="s">
        <v>1089</v>
      </c>
    </row>
    <row r="1099" spans="1:3" ht="15">
      <c r="A1099" s="77" t="s">
        <v>244</v>
      </c>
      <c r="B1099" s="76" t="s">
        <v>3165</v>
      </c>
      <c r="C1099" s="80" t="s">
        <v>1089</v>
      </c>
    </row>
    <row r="1100" spans="1:3" ht="15">
      <c r="A1100" s="77" t="s">
        <v>244</v>
      </c>
      <c r="B1100" s="76" t="s">
        <v>471</v>
      </c>
      <c r="C1100" s="80" t="s">
        <v>1089</v>
      </c>
    </row>
    <row r="1101" spans="1:3" ht="15">
      <c r="A1101" s="77" t="s">
        <v>244</v>
      </c>
      <c r="B1101" s="76" t="s">
        <v>3653</v>
      </c>
      <c r="C1101" s="80" t="s">
        <v>1089</v>
      </c>
    </row>
    <row r="1102" spans="1:3" ht="15">
      <c r="A1102" s="77" t="s">
        <v>244</v>
      </c>
      <c r="B1102" s="76" t="s">
        <v>3204</v>
      </c>
      <c r="C1102" s="80" t="s">
        <v>1089</v>
      </c>
    </row>
    <row r="1103" spans="1:3" ht="15">
      <c r="A1103" s="77" t="s">
        <v>229</v>
      </c>
      <c r="B1103" s="76" t="s">
        <v>3654</v>
      </c>
      <c r="C1103" s="80" t="s">
        <v>1080</v>
      </c>
    </row>
    <row r="1104" spans="1:3" ht="15">
      <c r="A1104" s="77" t="s">
        <v>229</v>
      </c>
      <c r="B1104" s="76" t="s">
        <v>3655</v>
      </c>
      <c r="C1104" s="80" t="s">
        <v>1080</v>
      </c>
    </row>
    <row r="1105" spans="1:3" ht="15">
      <c r="A1105" s="77" t="s">
        <v>229</v>
      </c>
      <c r="B1105" s="76" t="s">
        <v>702</v>
      </c>
      <c r="C1105" s="80" t="s">
        <v>1080</v>
      </c>
    </row>
    <row r="1106" spans="1:3" ht="15">
      <c r="A1106" s="77" t="s">
        <v>229</v>
      </c>
      <c r="B1106" s="76" t="s">
        <v>3218</v>
      </c>
      <c r="C1106" s="80" t="s">
        <v>1080</v>
      </c>
    </row>
    <row r="1107" spans="1:3" ht="15">
      <c r="A1107" s="77" t="s">
        <v>229</v>
      </c>
      <c r="B1107" s="76" t="s">
        <v>3113</v>
      </c>
      <c r="C1107" s="80" t="s">
        <v>1080</v>
      </c>
    </row>
    <row r="1108" spans="1:3" ht="15">
      <c r="A1108" s="77" t="s">
        <v>229</v>
      </c>
      <c r="B1108" s="76" t="s">
        <v>3656</v>
      </c>
      <c r="C1108" s="80" t="s">
        <v>1080</v>
      </c>
    </row>
    <row r="1109" spans="1:3" ht="15">
      <c r="A1109" s="77" t="s">
        <v>229</v>
      </c>
      <c r="B1109" s="76" t="s">
        <v>376</v>
      </c>
      <c r="C1109" s="80" t="s">
        <v>1080</v>
      </c>
    </row>
    <row r="1110" spans="1:3" ht="15">
      <c r="A1110" s="77" t="s">
        <v>229</v>
      </c>
      <c r="B1110" s="76" t="s">
        <v>3657</v>
      </c>
      <c r="C1110" s="80" t="s">
        <v>1080</v>
      </c>
    </row>
    <row r="1111" spans="1:3" ht="15">
      <c r="A1111" s="77" t="s">
        <v>229</v>
      </c>
      <c r="B1111" s="76" t="s">
        <v>3658</v>
      </c>
      <c r="C1111" s="80" t="s">
        <v>1080</v>
      </c>
    </row>
    <row r="1112" spans="1:3" ht="15">
      <c r="A1112" s="77" t="s">
        <v>229</v>
      </c>
      <c r="B1112" s="76" t="s">
        <v>3167</v>
      </c>
      <c r="C1112" s="80" t="s">
        <v>1080</v>
      </c>
    </row>
    <row r="1113" spans="1:3" ht="15">
      <c r="A1113" s="77" t="s">
        <v>229</v>
      </c>
      <c r="B1113" s="76" t="s">
        <v>3659</v>
      </c>
      <c r="C1113" s="80" t="s">
        <v>1080</v>
      </c>
    </row>
    <row r="1114" spans="1:3" ht="15">
      <c r="A1114" s="77" t="s">
        <v>229</v>
      </c>
      <c r="B1114" s="76" t="s">
        <v>471</v>
      </c>
      <c r="C1114" s="80" t="s">
        <v>1080</v>
      </c>
    </row>
    <row r="1115" spans="1:3" ht="15">
      <c r="A1115" s="77" t="s">
        <v>229</v>
      </c>
      <c r="B1115" s="76" t="s">
        <v>238</v>
      </c>
      <c r="C1115" s="80" t="s">
        <v>1080</v>
      </c>
    </row>
    <row r="1116" spans="1:3" ht="15">
      <c r="A1116" s="77" t="s">
        <v>229</v>
      </c>
      <c r="B1116" s="76" t="s">
        <v>228</v>
      </c>
      <c r="C1116" s="80" t="s">
        <v>1080</v>
      </c>
    </row>
    <row r="1117" spans="1:3" ht="15">
      <c r="A1117" s="77" t="s">
        <v>229</v>
      </c>
      <c r="B1117" s="76" t="s">
        <v>253</v>
      </c>
      <c r="C1117" s="80" t="s">
        <v>1080</v>
      </c>
    </row>
    <row r="1118" spans="1:3" ht="15">
      <c r="A1118" s="77" t="s">
        <v>227</v>
      </c>
      <c r="B1118" s="76" t="s">
        <v>274</v>
      </c>
      <c r="C1118" s="80" t="s">
        <v>1032</v>
      </c>
    </row>
    <row r="1119" spans="1:3" ht="15">
      <c r="A1119" s="77" t="s">
        <v>227</v>
      </c>
      <c r="B1119" s="76" t="s">
        <v>275</v>
      </c>
      <c r="C1119" s="80" t="s">
        <v>1032</v>
      </c>
    </row>
    <row r="1120" spans="1:3" ht="15">
      <c r="A1120" s="77" t="s">
        <v>227</v>
      </c>
      <c r="B1120" s="76" t="s">
        <v>276</v>
      </c>
      <c r="C1120" s="80" t="s">
        <v>1032</v>
      </c>
    </row>
    <row r="1121" spans="1:3" ht="15">
      <c r="A1121" s="77" t="s">
        <v>227</v>
      </c>
      <c r="B1121" s="76" t="s">
        <v>3660</v>
      </c>
      <c r="C1121" s="80" t="s">
        <v>1032</v>
      </c>
    </row>
    <row r="1122" spans="1:3" ht="15">
      <c r="A1122" s="77" t="s">
        <v>227</v>
      </c>
      <c r="B1122" s="76" t="s">
        <v>277</v>
      </c>
      <c r="C1122" s="80" t="s">
        <v>1032</v>
      </c>
    </row>
    <row r="1123" spans="1:3" ht="15">
      <c r="A1123" s="77" t="s">
        <v>227</v>
      </c>
      <c r="B1123" s="76" t="s">
        <v>285</v>
      </c>
      <c r="C1123" s="80" t="s">
        <v>1032</v>
      </c>
    </row>
    <row r="1124" spans="1:3" ht="15">
      <c r="A1124" s="77" t="s">
        <v>227</v>
      </c>
      <c r="B1124" s="76" t="s">
        <v>3661</v>
      </c>
      <c r="C1124" s="80" t="s">
        <v>1032</v>
      </c>
    </row>
    <row r="1125" spans="1:3" ht="15">
      <c r="A1125" s="77" t="s">
        <v>227</v>
      </c>
      <c r="B1125" s="76" t="s">
        <v>3662</v>
      </c>
      <c r="C1125" s="80" t="s">
        <v>1032</v>
      </c>
    </row>
    <row r="1126" spans="1:3" ht="15">
      <c r="A1126" s="77" t="s">
        <v>227</v>
      </c>
      <c r="B1126" s="76" t="s">
        <v>3663</v>
      </c>
      <c r="C1126" s="80" t="s">
        <v>1032</v>
      </c>
    </row>
    <row r="1127" spans="1:3" ht="15">
      <c r="A1127" s="77" t="s">
        <v>227</v>
      </c>
      <c r="B1127" s="76" t="s">
        <v>3664</v>
      </c>
      <c r="C1127" s="80" t="s">
        <v>1032</v>
      </c>
    </row>
    <row r="1128" spans="1:3" ht="15">
      <c r="A1128" s="77" t="s">
        <v>227</v>
      </c>
      <c r="B1128" s="76" t="s">
        <v>3665</v>
      </c>
      <c r="C1128" s="80" t="s">
        <v>1032</v>
      </c>
    </row>
    <row r="1129" spans="1:3" ht="15">
      <c r="A1129" s="77" t="s">
        <v>227</v>
      </c>
      <c r="B1129" s="76" t="s">
        <v>3666</v>
      </c>
      <c r="C1129" s="80" t="s">
        <v>1032</v>
      </c>
    </row>
    <row r="1130" spans="1:3" ht="15">
      <c r="A1130" s="77" t="s">
        <v>227</v>
      </c>
      <c r="B1130" s="76" t="s">
        <v>3667</v>
      </c>
      <c r="C1130" s="80" t="s">
        <v>1032</v>
      </c>
    </row>
    <row r="1131" spans="1:3" ht="15">
      <c r="A1131" s="77" t="s">
        <v>227</v>
      </c>
      <c r="B1131" s="76" t="s">
        <v>3668</v>
      </c>
      <c r="C1131" s="80" t="s">
        <v>1032</v>
      </c>
    </row>
    <row r="1132" spans="1:3" ht="15">
      <c r="A1132" s="77" t="s">
        <v>227</v>
      </c>
      <c r="B1132" s="76" t="s">
        <v>278</v>
      </c>
      <c r="C1132" s="80" t="s">
        <v>1032</v>
      </c>
    </row>
    <row r="1133" spans="1:3" ht="15">
      <c r="A1133" s="77" t="s">
        <v>227</v>
      </c>
      <c r="B1133" s="76" t="s">
        <v>3669</v>
      </c>
      <c r="C1133" s="80" t="s">
        <v>1032</v>
      </c>
    </row>
    <row r="1134" spans="1:3" ht="15">
      <c r="A1134" s="77" t="s">
        <v>227</v>
      </c>
      <c r="B1134" s="76" t="s">
        <v>3670</v>
      </c>
      <c r="C1134" s="80" t="s">
        <v>1032</v>
      </c>
    </row>
    <row r="1135" spans="1:3" ht="15">
      <c r="A1135" s="77" t="s">
        <v>227</v>
      </c>
      <c r="B1135" s="76" t="s">
        <v>3671</v>
      </c>
      <c r="C1135" s="80" t="s">
        <v>1032</v>
      </c>
    </row>
    <row r="1136" spans="1:3" ht="15">
      <c r="A1136" s="77" t="s">
        <v>227</v>
      </c>
      <c r="B1136" s="76" t="s">
        <v>3107</v>
      </c>
      <c r="C1136" s="80" t="s">
        <v>1032</v>
      </c>
    </row>
    <row r="1137" spans="1:3" ht="15">
      <c r="A1137" s="77" t="s">
        <v>227</v>
      </c>
      <c r="B1137" s="76" t="s">
        <v>279</v>
      </c>
      <c r="C1137" s="80" t="s">
        <v>1032</v>
      </c>
    </row>
    <row r="1138" spans="1:3" ht="15">
      <c r="A1138" s="77" t="s">
        <v>227</v>
      </c>
      <c r="B1138" s="76" t="s">
        <v>300</v>
      </c>
      <c r="C1138" s="80" t="s">
        <v>1032</v>
      </c>
    </row>
    <row r="1139" spans="1:3" ht="15">
      <c r="A1139" s="77" t="s">
        <v>244</v>
      </c>
      <c r="B1139" s="76" t="s">
        <v>3672</v>
      </c>
      <c r="C1139" s="80" t="s">
        <v>1103</v>
      </c>
    </row>
    <row r="1140" spans="1:3" ht="15">
      <c r="A1140" s="77" t="s">
        <v>244</v>
      </c>
      <c r="B1140" s="76" t="s">
        <v>3673</v>
      </c>
      <c r="C1140" s="80" t="s">
        <v>1103</v>
      </c>
    </row>
    <row r="1141" spans="1:3" ht="15">
      <c r="A1141" s="77" t="s">
        <v>244</v>
      </c>
      <c r="B1141" s="76" t="s">
        <v>3674</v>
      </c>
      <c r="C1141" s="80" t="s">
        <v>1103</v>
      </c>
    </row>
    <row r="1142" spans="1:3" ht="15">
      <c r="A1142" s="77" t="s">
        <v>244</v>
      </c>
      <c r="B1142" s="76" t="s">
        <v>3219</v>
      </c>
      <c r="C1142" s="80" t="s">
        <v>1103</v>
      </c>
    </row>
    <row r="1143" spans="1:3" ht="15">
      <c r="A1143" s="77" t="s">
        <v>244</v>
      </c>
      <c r="B1143" s="76" t="s">
        <v>3675</v>
      </c>
      <c r="C1143" s="80" t="s">
        <v>1103</v>
      </c>
    </row>
    <row r="1144" spans="1:3" ht="15">
      <c r="A1144" s="77" t="s">
        <v>244</v>
      </c>
      <c r="B1144" s="76" t="s">
        <v>3676</v>
      </c>
      <c r="C1144" s="80" t="s">
        <v>1103</v>
      </c>
    </row>
    <row r="1145" spans="1:3" ht="15">
      <c r="A1145" s="77" t="s">
        <v>244</v>
      </c>
      <c r="B1145" s="76" t="s">
        <v>3677</v>
      </c>
      <c r="C1145" s="80" t="s">
        <v>1103</v>
      </c>
    </row>
    <row r="1146" spans="1:3" ht="15">
      <c r="A1146" s="77" t="s">
        <v>244</v>
      </c>
      <c r="B1146" s="76" t="s">
        <v>3188</v>
      </c>
      <c r="C1146" s="80" t="s">
        <v>1103</v>
      </c>
    </row>
    <row r="1147" spans="1:3" ht="15">
      <c r="A1147" s="77" t="s">
        <v>244</v>
      </c>
      <c r="B1147" s="76" t="s">
        <v>3148</v>
      </c>
      <c r="C1147" s="80" t="s">
        <v>1103</v>
      </c>
    </row>
    <row r="1148" spans="1:3" ht="15">
      <c r="A1148" s="77" t="s">
        <v>244</v>
      </c>
      <c r="B1148" s="76" t="s">
        <v>3678</v>
      </c>
      <c r="C1148" s="80" t="s">
        <v>1103</v>
      </c>
    </row>
    <row r="1149" spans="1:3" ht="15">
      <c r="A1149" s="77" t="s">
        <v>244</v>
      </c>
      <c r="B1149" s="76" t="s">
        <v>3205</v>
      </c>
      <c r="C1149" s="80" t="s">
        <v>1103</v>
      </c>
    </row>
    <row r="1150" spans="1:3" ht="15">
      <c r="A1150" s="77" t="s">
        <v>244</v>
      </c>
      <c r="B1150" s="76" t="s">
        <v>3679</v>
      </c>
      <c r="C1150" s="80" t="s">
        <v>1103</v>
      </c>
    </row>
    <row r="1151" spans="1:3" ht="15">
      <c r="A1151" s="77" t="s">
        <v>244</v>
      </c>
      <c r="B1151" s="76" t="s">
        <v>3182</v>
      </c>
      <c r="C1151" s="80" t="s">
        <v>1103</v>
      </c>
    </row>
    <row r="1152" spans="1:3" ht="15">
      <c r="A1152" s="77" t="s">
        <v>244</v>
      </c>
      <c r="B1152" s="76" t="s">
        <v>3680</v>
      </c>
      <c r="C1152" s="80" t="s">
        <v>1103</v>
      </c>
    </row>
    <row r="1153" spans="1:3" ht="15">
      <c r="A1153" s="77" t="s">
        <v>244</v>
      </c>
      <c r="B1153" s="76" t="s">
        <v>228</v>
      </c>
      <c r="C1153" s="80" t="s">
        <v>1103</v>
      </c>
    </row>
    <row r="1154" spans="1:3" ht="15">
      <c r="A1154" s="77" t="s">
        <v>244</v>
      </c>
      <c r="B1154" s="76" t="s">
        <v>3681</v>
      </c>
      <c r="C1154" s="80" t="s">
        <v>1103</v>
      </c>
    </row>
    <row r="1155" spans="1:3" ht="15">
      <c r="A1155" s="77" t="s">
        <v>244</v>
      </c>
      <c r="B1155" s="76" t="s">
        <v>3682</v>
      </c>
      <c r="C1155" s="80" t="s">
        <v>1103</v>
      </c>
    </row>
    <row r="1156" spans="1:3" ht="15">
      <c r="A1156" s="77" t="s">
        <v>244</v>
      </c>
      <c r="B1156" s="76" t="s">
        <v>303</v>
      </c>
      <c r="C1156" s="80" t="s">
        <v>1103</v>
      </c>
    </row>
    <row r="1157" spans="1:3" ht="15">
      <c r="A1157" s="77" t="s">
        <v>244</v>
      </c>
      <c r="B1157" s="76" t="s">
        <v>3683</v>
      </c>
      <c r="C1157" s="80" t="s">
        <v>1103</v>
      </c>
    </row>
    <row r="1158" spans="1:3" ht="15">
      <c r="A1158" s="77" t="s">
        <v>244</v>
      </c>
      <c r="B1158" s="76" t="s">
        <v>278</v>
      </c>
      <c r="C1158" s="80" t="s">
        <v>1103</v>
      </c>
    </row>
    <row r="1159" spans="1:3" ht="15">
      <c r="A1159" s="77" t="s">
        <v>244</v>
      </c>
      <c r="B1159" s="76" t="s">
        <v>3214</v>
      </c>
      <c r="C1159" s="80" t="s">
        <v>1103</v>
      </c>
    </row>
    <row r="1160" spans="1:3" ht="15">
      <c r="A1160" s="77" t="s">
        <v>244</v>
      </c>
      <c r="B1160" s="76" t="s">
        <v>3111</v>
      </c>
      <c r="C1160" s="80" t="s">
        <v>1103</v>
      </c>
    </row>
    <row r="1161" spans="1:3" ht="15">
      <c r="A1161" s="77" t="s">
        <v>244</v>
      </c>
      <c r="B1161" s="76" t="s">
        <v>3132</v>
      </c>
      <c r="C1161" s="80" t="s">
        <v>1103</v>
      </c>
    </row>
    <row r="1162" spans="1:3" ht="15">
      <c r="A1162" s="77" t="s">
        <v>244</v>
      </c>
      <c r="B1162" s="76" t="s">
        <v>3684</v>
      </c>
      <c r="C1162" s="80" t="s">
        <v>1103</v>
      </c>
    </row>
    <row r="1163" spans="1:3" ht="15">
      <c r="A1163" s="77" t="s">
        <v>244</v>
      </c>
      <c r="B1163" s="76" t="s">
        <v>3126</v>
      </c>
      <c r="C1163" s="80" t="s">
        <v>1103</v>
      </c>
    </row>
    <row r="1164" spans="1:3" ht="15">
      <c r="A1164" s="77" t="s">
        <v>244</v>
      </c>
      <c r="B1164" s="76" t="s">
        <v>3685</v>
      </c>
      <c r="C1164" s="80" t="s">
        <v>1103</v>
      </c>
    </row>
    <row r="1165" spans="1:3" ht="15">
      <c r="A1165" s="77" t="s">
        <v>244</v>
      </c>
      <c r="B1165" s="76" t="s">
        <v>3054</v>
      </c>
      <c r="C1165" s="80" t="s">
        <v>1103</v>
      </c>
    </row>
    <row r="1166" spans="1:3" ht="15">
      <c r="A1166" s="77" t="s">
        <v>229</v>
      </c>
      <c r="B1166" s="76" t="s">
        <v>3686</v>
      </c>
      <c r="C1166" s="80" t="s">
        <v>1121</v>
      </c>
    </row>
    <row r="1167" spans="1:3" ht="15">
      <c r="A1167" s="77" t="s">
        <v>229</v>
      </c>
      <c r="B1167" s="76" t="s">
        <v>3687</v>
      </c>
      <c r="C1167" s="80" t="s">
        <v>1121</v>
      </c>
    </row>
    <row r="1168" spans="1:3" ht="15">
      <c r="A1168" s="77" t="s">
        <v>229</v>
      </c>
      <c r="B1168" s="76" t="s">
        <v>3113</v>
      </c>
      <c r="C1168" s="80" t="s">
        <v>1121</v>
      </c>
    </row>
    <row r="1169" spans="1:3" ht="15">
      <c r="A1169" s="77" t="s">
        <v>229</v>
      </c>
      <c r="B1169" s="76" t="s">
        <v>3688</v>
      </c>
      <c r="C1169" s="80" t="s">
        <v>1121</v>
      </c>
    </row>
    <row r="1170" spans="1:3" ht="15">
      <c r="A1170" s="77" t="s">
        <v>229</v>
      </c>
      <c r="B1170" s="76" t="s">
        <v>3190</v>
      </c>
      <c r="C1170" s="80" t="s">
        <v>1121</v>
      </c>
    </row>
    <row r="1171" spans="1:3" ht="15">
      <c r="A1171" s="77" t="s">
        <v>229</v>
      </c>
      <c r="B1171" s="76" t="s">
        <v>3689</v>
      </c>
      <c r="C1171" s="80" t="s">
        <v>1121</v>
      </c>
    </row>
    <row r="1172" spans="1:3" ht="15">
      <c r="A1172" s="77" t="s">
        <v>229</v>
      </c>
      <c r="B1172" s="76" t="s">
        <v>3068</v>
      </c>
      <c r="C1172" s="80" t="s">
        <v>1121</v>
      </c>
    </row>
    <row r="1173" spans="1:3" ht="15">
      <c r="A1173" s="77" t="s">
        <v>229</v>
      </c>
      <c r="B1173" s="76" t="s">
        <v>228</v>
      </c>
      <c r="C1173" s="80" t="s">
        <v>1121</v>
      </c>
    </row>
    <row r="1174" spans="1:3" ht="15">
      <c r="A1174" s="77" t="s">
        <v>229</v>
      </c>
      <c r="B1174" s="76" t="s">
        <v>3690</v>
      </c>
      <c r="C1174" s="80" t="s">
        <v>1121</v>
      </c>
    </row>
    <row r="1175" spans="1:3" ht="15">
      <c r="A1175" s="77" t="s">
        <v>229</v>
      </c>
      <c r="B1175" s="76" t="s">
        <v>3691</v>
      </c>
      <c r="C1175" s="80" t="s">
        <v>1121</v>
      </c>
    </row>
    <row r="1176" spans="1:3" ht="15">
      <c r="A1176" s="77" t="s">
        <v>229</v>
      </c>
      <c r="B1176" s="76" t="s">
        <v>3692</v>
      </c>
      <c r="C1176" s="80" t="s">
        <v>1121</v>
      </c>
    </row>
    <row r="1177" spans="1:3" ht="15">
      <c r="A1177" s="77" t="s">
        <v>229</v>
      </c>
      <c r="B1177" s="76" t="s">
        <v>3693</v>
      </c>
      <c r="C1177" s="80" t="s">
        <v>1121</v>
      </c>
    </row>
    <row r="1178" spans="1:3" ht="15">
      <c r="A1178" s="77" t="s">
        <v>229</v>
      </c>
      <c r="B1178" s="76" t="s">
        <v>3694</v>
      </c>
      <c r="C1178" s="80" t="s">
        <v>1121</v>
      </c>
    </row>
    <row r="1179" spans="1:3" ht="15">
      <c r="A1179" s="77" t="s">
        <v>229</v>
      </c>
      <c r="B1179" s="76" t="s">
        <v>702</v>
      </c>
      <c r="C1179" s="80" t="s">
        <v>1121</v>
      </c>
    </row>
    <row r="1180" spans="1:3" ht="15">
      <c r="A1180" s="77" t="s">
        <v>229</v>
      </c>
      <c r="B1180" s="76" t="s">
        <v>3695</v>
      </c>
      <c r="C1180" s="80" t="s">
        <v>1121</v>
      </c>
    </row>
    <row r="1181" spans="1:3" ht="15">
      <c r="A1181" s="77" t="s">
        <v>229</v>
      </c>
      <c r="B1181" s="76" t="s">
        <v>3696</v>
      </c>
      <c r="C1181" s="80" t="s">
        <v>1121</v>
      </c>
    </row>
    <row r="1182" spans="1:3" ht="15">
      <c r="A1182" s="77" t="s">
        <v>229</v>
      </c>
      <c r="B1182" s="76" t="s">
        <v>3697</v>
      </c>
      <c r="C1182" s="80" t="s">
        <v>1121</v>
      </c>
    </row>
    <row r="1183" spans="1:3" ht="15">
      <c r="A1183" s="77" t="s">
        <v>229</v>
      </c>
      <c r="B1183" s="76" t="s">
        <v>278</v>
      </c>
      <c r="C1183" s="80" t="s">
        <v>1121</v>
      </c>
    </row>
    <row r="1184" spans="1:3" ht="15">
      <c r="A1184" s="77" t="s">
        <v>229</v>
      </c>
      <c r="B1184" s="76" t="s">
        <v>3698</v>
      </c>
      <c r="C1184" s="80" t="s">
        <v>1121</v>
      </c>
    </row>
    <row r="1185" spans="1:3" ht="15">
      <c r="A1185" s="77" t="s">
        <v>229</v>
      </c>
      <c r="B1185" s="76" t="s">
        <v>3699</v>
      </c>
      <c r="C1185" s="80" t="s">
        <v>1121</v>
      </c>
    </row>
    <row r="1186" spans="1:3" ht="15">
      <c r="A1186" s="77" t="s">
        <v>229</v>
      </c>
      <c r="B1186" s="76" t="s">
        <v>3700</v>
      </c>
      <c r="C1186" s="80" t="s">
        <v>1051</v>
      </c>
    </row>
    <row r="1187" spans="1:3" ht="15">
      <c r="A1187" s="77" t="s">
        <v>229</v>
      </c>
      <c r="B1187" s="76" t="s">
        <v>3701</v>
      </c>
      <c r="C1187" s="80" t="s">
        <v>1051</v>
      </c>
    </row>
    <row r="1188" spans="1:3" ht="15">
      <c r="A1188" s="77" t="s">
        <v>229</v>
      </c>
      <c r="B1188" s="76" t="s">
        <v>3702</v>
      </c>
      <c r="C1188" s="80" t="s">
        <v>1051</v>
      </c>
    </row>
    <row r="1189" spans="1:3" ht="15">
      <c r="A1189" s="77" t="s">
        <v>229</v>
      </c>
      <c r="B1189" s="76" t="s">
        <v>3521</v>
      </c>
      <c r="C1189" s="80" t="s">
        <v>1051</v>
      </c>
    </row>
    <row r="1190" spans="1:3" ht="15">
      <c r="A1190" s="77" t="s">
        <v>229</v>
      </c>
      <c r="B1190" s="76" t="s">
        <v>3703</v>
      </c>
      <c r="C1190" s="80" t="s">
        <v>1051</v>
      </c>
    </row>
    <row r="1191" spans="1:3" ht="15">
      <c r="A1191" s="77" t="s">
        <v>229</v>
      </c>
      <c r="B1191" s="76" t="s">
        <v>3523</v>
      </c>
      <c r="C1191" s="80" t="s">
        <v>1051</v>
      </c>
    </row>
    <row r="1192" spans="1:3" ht="15">
      <c r="A1192" s="77" t="s">
        <v>229</v>
      </c>
      <c r="B1192" s="76" t="s">
        <v>3211</v>
      </c>
      <c r="C1192" s="80" t="s">
        <v>1051</v>
      </c>
    </row>
    <row r="1193" spans="1:3" ht="15">
      <c r="A1193" s="77" t="s">
        <v>229</v>
      </c>
      <c r="B1193" s="76" t="s">
        <v>3053</v>
      </c>
      <c r="C1193" s="80" t="s">
        <v>1051</v>
      </c>
    </row>
    <row r="1194" spans="1:3" ht="15">
      <c r="A1194" s="77" t="s">
        <v>229</v>
      </c>
      <c r="B1194" s="76" t="s">
        <v>3052</v>
      </c>
      <c r="C1194" s="80" t="s">
        <v>1051</v>
      </c>
    </row>
    <row r="1195" spans="1:3" ht="15">
      <c r="A1195" s="77" t="s">
        <v>229</v>
      </c>
      <c r="B1195" s="76" t="s">
        <v>414</v>
      </c>
      <c r="C1195" s="80" t="s">
        <v>1051</v>
      </c>
    </row>
    <row r="1196" spans="1:3" ht="15">
      <c r="A1196" s="77" t="s">
        <v>229</v>
      </c>
      <c r="B1196" s="76" t="s">
        <v>360</v>
      </c>
      <c r="C1196" s="80" t="s">
        <v>1051</v>
      </c>
    </row>
    <row r="1197" spans="1:3" ht="15">
      <c r="A1197" s="77" t="s">
        <v>229</v>
      </c>
      <c r="B1197" s="76" t="s">
        <v>361</v>
      </c>
      <c r="C1197" s="80" t="s">
        <v>1051</v>
      </c>
    </row>
    <row r="1198" spans="1:3" ht="15">
      <c r="A1198" s="77" t="s">
        <v>229</v>
      </c>
      <c r="B1198" s="76" t="s">
        <v>362</v>
      </c>
      <c r="C1198" s="80" t="s">
        <v>1051</v>
      </c>
    </row>
    <row r="1199" spans="1:3" ht="15">
      <c r="A1199" s="77" t="s">
        <v>229</v>
      </c>
      <c r="B1199" s="76" t="s">
        <v>363</v>
      </c>
      <c r="C1199" s="80" t="s">
        <v>1051</v>
      </c>
    </row>
    <row r="1200" spans="1:3" ht="15">
      <c r="A1200" s="77" t="s">
        <v>229</v>
      </c>
      <c r="B1200" s="76" t="s">
        <v>364</v>
      </c>
      <c r="C1200" s="80" t="s">
        <v>1051</v>
      </c>
    </row>
    <row r="1201" spans="1:3" ht="15">
      <c r="A1201" s="77" t="s">
        <v>229</v>
      </c>
      <c r="B1201" s="76" t="s">
        <v>365</v>
      </c>
      <c r="C1201" s="80" t="s">
        <v>1051</v>
      </c>
    </row>
    <row r="1202" spans="1:3" ht="15">
      <c r="A1202" s="77" t="s">
        <v>229</v>
      </c>
      <c r="B1202" s="76" t="s">
        <v>366</v>
      </c>
      <c r="C1202" s="80" t="s">
        <v>1051</v>
      </c>
    </row>
    <row r="1203" spans="1:3" ht="15">
      <c r="A1203" s="77" t="s">
        <v>229</v>
      </c>
      <c r="B1203" s="76" t="s">
        <v>367</v>
      </c>
      <c r="C1203" s="80" t="s">
        <v>1051</v>
      </c>
    </row>
    <row r="1204" spans="1:3" ht="15">
      <c r="A1204" s="77" t="s">
        <v>229</v>
      </c>
      <c r="B1204" s="76" t="s">
        <v>228</v>
      </c>
      <c r="C1204" s="80" t="s">
        <v>1051</v>
      </c>
    </row>
    <row r="1205" spans="1:3" ht="15">
      <c r="A1205" s="77" t="s">
        <v>229</v>
      </c>
      <c r="B1205" s="76" t="s">
        <v>368</v>
      </c>
      <c r="C1205" s="80" t="s">
        <v>1051</v>
      </c>
    </row>
    <row r="1206" spans="1:3" ht="15">
      <c r="A1206" s="77" t="s">
        <v>229</v>
      </c>
      <c r="B1206" s="76" t="s">
        <v>3704</v>
      </c>
      <c r="C1206" s="80" t="s">
        <v>1048</v>
      </c>
    </row>
    <row r="1207" spans="1:3" ht="15">
      <c r="A1207" s="77" t="s">
        <v>229</v>
      </c>
      <c r="B1207" s="76" t="s">
        <v>3705</v>
      </c>
      <c r="C1207" s="80" t="s">
        <v>1048</v>
      </c>
    </row>
    <row r="1208" spans="1:3" ht="15">
      <c r="A1208" s="77" t="s">
        <v>229</v>
      </c>
      <c r="B1208" s="76" t="s">
        <v>3706</v>
      </c>
      <c r="C1208" s="80" t="s">
        <v>1048</v>
      </c>
    </row>
    <row r="1209" spans="1:3" ht="15">
      <c r="A1209" s="77" t="s">
        <v>229</v>
      </c>
      <c r="B1209" s="76" t="s">
        <v>3053</v>
      </c>
      <c r="C1209" s="80" t="s">
        <v>1048</v>
      </c>
    </row>
    <row r="1210" spans="1:3" ht="15">
      <c r="A1210" s="77" t="s">
        <v>229</v>
      </c>
      <c r="B1210" s="76" t="s">
        <v>3052</v>
      </c>
      <c r="C1210" s="80" t="s">
        <v>1048</v>
      </c>
    </row>
    <row r="1211" spans="1:3" ht="15">
      <c r="A1211" s="77" t="s">
        <v>229</v>
      </c>
      <c r="B1211" s="76" t="s">
        <v>340</v>
      </c>
      <c r="C1211" s="80" t="s">
        <v>1048</v>
      </c>
    </row>
    <row r="1212" spans="1:3" ht="15">
      <c r="A1212" s="77" t="s">
        <v>229</v>
      </c>
      <c r="B1212" s="76" t="s">
        <v>341</v>
      </c>
      <c r="C1212" s="80" t="s">
        <v>1048</v>
      </c>
    </row>
    <row r="1213" spans="1:3" ht="15">
      <c r="A1213" s="77" t="s">
        <v>229</v>
      </c>
      <c r="B1213" s="76" t="s">
        <v>342</v>
      </c>
      <c r="C1213" s="80" t="s">
        <v>1048</v>
      </c>
    </row>
    <row r="1214" spans="1:3" ht="15">
      <c r="A1214" s="77" t="s">
        <v>229</v>
      </c>
      <c r="B1214" s="76" t="s">
        <v>343</v>
      </c>
      <c r="C1214" s="80" t="s">
        <v>1048</v>
      </c>
    </row>
    <row r="1215" spans="1:3" ht="15">
      <c r="A1215" s="77" t="s">
        <v>229</v>
      </c>
      <c r="B1215" s="76" t="s">
        <v>344</v>
      </c>
      <c r="C1215" s="80" t="s">
        <v>1048</v>
      </c>
    </row>
    <row r="1216" spans="1:3" ht="15">
      <c r="A1216" s="77" t="s">
        <v>229</v>
      </c>
      <c r="B1216" s="76" t="s">
        <v>364</v>
      </c>
      <c r="C1216" s="80" t="s">
        <v>1048</v>
      </c>
    </row>
    <row r="1217" spans="1:3" ht="15">
      <c r="A1217" s="77" t="s">
        <v>229</v>
      </c>
      <c r="B1217" s="76" t="s">
        <v>345</v>
      </c>
      <c r="C1217" s="80" t="s">
        <v>1048</v>
      </c>
    </row>
    <row r="1218" spans="1:3" ht="15">
      <c r="A1218" s="77" t="s">
        <v>229</v>
      </c>
      <c r="B1218" s="76" t="s">
        <v>362</v>
      </c>
      <c r="C1218" s="80" t="s">
        <v>1048</v>
      </c>
    </row>
    <row r="1219" spans="1:3" ht="15">
      <c r="A1219" s="77" t="s">
        <v>229</v>
      </c>
      <c r="B1219" s="76" t="s">
        <v>382</v>
      </c>
      <c r="C1219" s="80" t="s">
        <v>1048</v>
      </c>
    </row>
    <row r="1220" spans="1:3" ht="15">
      <c r="A1220" s="77" t="s">
        <v>229</v>
      </c>
      <c r="B1220" s="76" t="s">
        <v>346</v>
      </c>
      <c r="C1220" s="80" t="s">
        <v>1048</v>
      </c>
    </row>
    <row r="1221" spans="1:3" ht="15">
      <c r="A1221" s="77" t="s">
        <v>229</v>
      </c>
      <c r="B1221" s="76" t="s">
        <v>228</v>
      </c>
      <c r="C1221" s="80" t="s">
        <v>1048</v>
      </c>
    </row>
    <row r="1222" spans="1:3" ht="15">
      <c r="A1222" s="77" t="s">
        <v>229</v>
      </c>
      <c r="B1222" s="76" t="s">
        <v>3707</v>
      </c>
      <c r="C1222" s="80" t="s">
        <v>1048</v>
      </c>
    </row>
    <row r="1223" spans="1:3" ht="15">
      <c r="A1223" s="77" t="s">
        <v>229</v>
      </c>
      <c r="B1223" s="76" t="s">
        <v>3053</v>
      </c>
      <c r="C1223" s="80" t="s">
        <v>1049</v>
      </c>
    </row>
    <row r="1224" spans="1:3" ht="15">
      <c r="A1224" s="77" t="s">
        <v>229</v>
      </c>
      <c r="B1224" s="76" t="s">
        <v>3052</v>
      </c>
      <c r="C1224" s="80" t="s">
        <v>1049</v>
      </c>
    </row>
    <row r="1225" spans="1:3" ht="15">
      <c r="A1225" s="77" t="s">
        <v>229</v>
      </c>
      <c r="B1225" s="76" t="s">
        <v>347</v>
      </c>
      <c r="C1225" s="80" t="s">
        <v>1049</v>
      </c>
    </row>
    <row r="1226" spans="1:3" ht="15">
      <c r="A1226" s="77" t="s">
        <v>229</v>
      </c>
      <c r="B1226" s="76" t="s">
        <v>348</v>
      </c>
      <c r="C1226" s="80" t="s">
        <v>1049</v>
      </c>
    </row>
    <row r="1227" spans="1:3" ht="15">
      <c r="A1227" s="77" t="s">
        <v>229</v>
      </c>
      <c r="B1227" s="76" t="s">
        <v>349</v>
      </c>
      <c r="C1227" s="80" t="s">
        <v>1049</v>
      </c>
    </row>
    <row r="1228" spans="1:3" ht="15">
      <c r="A1228" s="77" t="s">
        <v>229</v>
      </c>
      <c r="B1228" s="76" t="s">
        <v>350</v>
      </c>
      <c r="C1228" s="80" t="s">
        <v>1049</v>
      </c>
    </row>
    <row r="1229" spans="1:3" ht="15">
      <c r="A1229" s="77" t="s">
        <v>229</v>
      </c>
      <c r="B1229" s="76" t="s">
        <v>351</v>
      </c>
      <c r="C1229" s="80" t="s">
        <v>1049</v>
      </c>
    </row>
    <row r="1230" spans="1:3" ht="15">
      <c r="A1230" s="77" t="s">
        <v>229</v>
      </c>
      <c r="B1230" s="76" t="s">
        <v>352</v>
      </c>
      <c r="C1230" s="80" t="s">
        <v>1049</v>
      </c>
    </row>
    <row r="1231" spans="1:3" ht="15">
      <c r="A1231" s="77" t="s">
        <v>229</v>
      </c>
      <c r="B1231" s="76" t="s">
        <v>353</v>
      </c>
      <c r="C1231" s="80" t="s">
        <v>1049</v>
      </c>
    </row>
    <row r="1232" spans="1:3" ht="15">
      <c r="A1232" s="77" t="s">
        <v>229</v>
      </c>
      <c r="B1232" s="76" t="s">
        <v>354</v>
      </c>
      <c r="C1232" s="80" t="s">
        <v>1049</v>
      </c>
    </row>
    <row r="1233" spans="1:3" ht="15">
      <c r="A1233" s="77" t="s">
        <v>229</v>
      </c>
      <c r="B1233" s="76" t="s">
        <v>355</v>
      </c>
      <c r="C1233" s="80" t="s">
        <v>1049</v>
      </c>
    </row>
    <row r="1234" spans="1:3" ht="15">
      <c r="A1234" s="77" t="s">
        <v>229</v>
      </c>
      <c r="B1234" s="76" t="s">
        <v>356</v>
      </c>
      <c r="C1234" s="80" t="s">
        <v>1049</v>
      </c>
    </row>
    <row r="1235" spans="1:3" ht="15">
      <c r="A1235" s="77" t="s">
        <v>229</v>
      </c>
      <c r="B1235" s="76" t="s">
        <v>228</v>
      </c>
      <c r="C1235" s="80" t="s">
        <v>1049</v>
      </c>
    </row>
    <row r="1236" spans="1:3" ht="15">
      <c r="A1236" s="77" t="s">
        <v>229</v>
      </c>
      <c r="B1236" s="76" t="s">
        <v>3708</v>
      </c>
      <c r="C1236" s="80" t="s">
        <v>1049</v>
      </c>
    </row>
    <row r="1237" spans="1:3" ht="15">
      <c r="A1237" s="77" t="s">
        <v>257</v>
      </c>
      <c r="B1237" s="76" t="s">
        <v>228</v>
      </c>
      <c r="C1237" s="80" t="s">
        <v>1140</v>
      </c>
    </row>
    <row r="1238" spans="1:3" ht="15">
      <c r="A1238" s="77" t="s">
        <v>257</v>
      </c>
      <c r="B1238" s="76" t="s">
        <v>529</v>
      </c>
      <c r="C1238" s="80" t="s">
        <v>1140</v>
      </c>
    </row>
    <row r="1239" spans="1:3" ht="15">
      <c r="A1239" s="77" t="s">
        <v>257</v>
      </c>
      <c r="B1239" s="76" t="s">
        <v>530</v>
      </c>
      <c r="C1239" s="80" t="s">
        <v>1140</v>
      </c>
    </row>
    <row r="1240" spans="1:3" ht="15">
      <c r="A1240" s="77" t="s">
        <v>257</v>
      </c>
      <c r="B1240" s="76" t="s">
        <v>531</v>
      </c>
      <c r="C1240" s="80" t="s">
        <v>1140</v>
      </c>
    </row>
    <row r="1241" spans="1:3" ht="15">
      <c r="A1241" s="77" t="s">
        <v>257</v>
      </c>
      <c r="B1241" s="76" t="s">
        <v>532</v>
      </c>
      <c r="C1241" s="80" t="s">
        <v>1140</v>
      </c>
    </row>
    <row r="1242" spans="1:3" ht="15">
      <c r="A1242" s="77" t="s">
        <v>257</v>
      </c>
      <c r="B1242" s="76" t="s">
        <v>533</v>
      </c>
      <c r="C1242" s="80" t="s">
        <v>1140</v>
      </c>
    </row>
    <row r="1243" spans="1:3" ht="15">
      <c r="A1243" s="77" t="s">
        <v>257</v>
      </c>
      <c r="B1243" s="76" t="s">
        <v>534</v>
      </c>
      <c r="C1243" s="80" t="s">
        <v>1140</v>
      </c>
    </row>
    <row r="1244" spans="1:3" ht="15">
      <c r="A1244" s="77" t="s">
        <v>257</v>
      </c>
      <c r="B1244" s="76" t="s">
        <v>535</v>
      </c>
      <c r="C1244" s="80" t="s">
        <v>1140</v>
      </c>
    </row>
    <row r="1245" spans="1:3" ht="15">
      <c r="A1245" s="77" t="s">
        <v>257</v>
      </c>
      <c r="B1245" s="76" t="s">
        <v>537</v>
      </c>
      <c r="C1245" s="80" t="s">
        <v>1140</v>
      </c>
    </row>
    <row r="1246" spans="1:3" ht="15">
      <c r="A1246" s="77" t="s">
        <v>257</v>
      </c>
      <c r="B1246" s="76" t="s">
        <v>538</v>
      </c>
      <c r="C1246" s="80" t="s">
        <v>1140</v>
      </c>
    </row>
    <row r="1247" spans="1:3" ht="15">
      <c r="A1247" s="77" t="s">
        <v>257</v>
      </c>
      <c r="B1247" s="76" t="s">
        <v>724</v>
      </c>
      <c r="C1247" s="80" t="s">
        <v>1140</v>
      </c>
    </row>
    <row r="1248" spans="1:3" ht="15">
      <c r="A1248" s="77" t="s">
        <v>257</v>
      </c>
      <c r="B1248" s="76" t="s">
        <v>3709</v>
      </c>
      <c r="C1248" s="80" t="s">
        <v>1140</v>
      </c>
    </row>
    <row r="1249" spans="1:3" ht="15">
      <c r="A1249" s="77" t="s">
        <v>257</v>
      </c>
      <c r="B1249" s="76" t="s">
        <v>3710</v>
      </c>
      <c r="C1249" s="80" t="s">
        <v>1140</v>
      </c>
    </row>
    <row r="1250" spans="1:3" ht="15">
      <c r="A1250" s="77" t="s">
        <v>257</v>
      </c>
      <c r="B1250" s="76" t="s">
        <v>3711</v>
      </c>
      <c r="C1250" s="80" t="s">
        <v>1140</v>
      </c>
    </row>
    <row r="1251" spans="1:3" ht="15">
      <c r="A1251" s="77" t="s">
        <v>257</v>
      </c>
      <c r="B1251" s="76">
        <v>8800</v>
      </c>
      <c r="C1251" s="80" t="s">
        <v>1140</v>
      </c>
    </row>
    <row r="1252" spans="1:3" ht="15">
      <c r="A1252" s="77" t="s">
        <v>257</v>
      </c>
      <c r="B1252" s="76" t="s">
        <v>3076</v>
      </c>
      <c r="C1252" s="80" t="s">
        <v>1140</v>
      </c>
    </row>
    <row r="1253" spans="1:3" ht="15">
      <c r="A1253" s="77" t="s">
        <v>257</v>
      </c>
      <c r="B1253" s="76" t="s">
        <v>3712</v>
      </c>
      <c r="C1253" s="80" t="s">
        <v>1140</v>
      </c>
    </row>
    <row r="1254" spans="1:3" ht="15">
      <c r="A1254" s="77" t="s">
        <v>257</v>
      </c>
      <c r="B1254" s="76" t="s">
        <v>3141</v>
      </c>
      <c r="C1254" s="80" t="s">
        <v>1140</v>
      </c>
    </row>
    <row r="1255" spans="1:3" ht="15">
      <c r="A1255" s="77" t="s">
        <v>257</v>
      </c>
      <c r="B1255" s="76" t="s">
        <v>3208</v>
      </c>
      <c r="C1255" s="80" t="s">
        <v>1140</v>
      </c>
    </row>
    <row r="1256" spans="1:3" ht="15">
      <c r="A1256" s="77" t="s">
        <v>257</v>
      </c>
      <c r="B1256" s="76">
        <v>26262</v>
      </c>
      <c r="C1256" s="80" t="s">
        <v>1140</v>
      </c>
    </row>
    <row r="1257" spans="1:3" ht="15">
      <c r="A1257" s="77" t="s">
        <v>257</v>
      </c>
      <c r="B1257" s="76" t="s">
        <v>3176</v>
      </c>
      <c r="C1257" s="80" t="s">
        <v>1140</v>
      </c>
    </row>
    <row r="1258" spans="1:3" ht="15">
      <c r="A1258" s="77" t="s">
        <v>257</v>
      </c>
      <c r="B1258" s="76" t="s">
        <v>3713</v>
      </c>
      <c r="C1258" s="80" t="s">
        <v>1140</v>
      </c>
    </row>
    <row r="1259" spans="1:3" ht="15">
      <c r="A1259" s="77" t="s">
        <v>245</v>
      </c>
      <c r="B1259" s="76" t="s">
        <v>3714</v>
      </c>
      <c r="C1259" s="80" t="s">
        <v>1091</v>
      </c>
    </row>
    <row r="1260" spans="1:3" ht="15">
      <c r="A1260" s="77" t="s">
        <v>245</v>
      </c>
      <c r="B1260" s="76" t="s">
        <v>3715</v>
      </c>
      <c r="C1260" s="80" t="s">
        <v>1091</v>
      </c>
    </row>
    <row r="1261" spans="1:3" ht="15">
      <c r="A1261" s="77" t="s">
        <v>245</v>
      </c>
      <c r="B1261" s="80" t="s">
        <v>3716</v>
      </c>
      <c r="C1261" s="80" t="s">
        <v>1091</v>
      </c>
    </row>
    <row r="1262" spans="1:3" ht="15">
      <c r="A1262" s="77" t="s">
        <v>245</v>
      </c>
      <c r="B1262" s="76" t="s">
        <v>3717</v>
      </c>
      <c r="C1262" s="80" t="s">
        <v>1091</v>
      </c>
    </row>
    <row r="1263" spans="1:3" ht="15">
      <c r="A1263" s="77" t="s">
        <v>245</v>
      </c>
      <c r="B1263" s="76" t="s">
        <v>3718</v>
      </c>
      <c r="C1263" s="80" t="s">
        <v>1091</v>
      </c>
    </row>
    <row r="1264" spans="1:3" ht="15">
      <c r="A1264" s="77" t="s">
        <v>245</v>
      </c>
      <c r="B1264" s="76" t="s">
        <v>3719</v>
      </c>
      <c r="C1264" s="80" t="s">
        <v>1091</v>
      </c>
    </row>
    <row r="1265" spans="1:3" ht="15">
      <c r="A1265" s="77" t="s">
        <v>257</v>
      </c>
      <c r="B1265" s="76" t="s">
        <v>228</v>
      </c>
      <c r="C1265" s="80" t="s">
        <v>1130</v>
      </c>
    </row>
    <row r="1266" spans="1:3" ht="15">
      <c r="A1266" s="77" t="s">
        <v>257</v>
      </c>
      <c r="B1266" s="76" t="s">
        <v>529</v>
      </c>
      <c r="C1266" s="80" t="s">
        <v>1130</v>
      </c>
    </row>
    <row r="1267" spans="1:3" ht="15">
      <c r="A1267" s="77" t="s">
        <v>257</v>
      </c>
      <c r="B1267" s="76" t="s">
        <v>534</v>
      </c>
      <c r="C1267" s="80" t="s">
        <v>1130</v>
      </c>
    </row>
    <row r="1268" spans="1:3" ht="15">
      <c r="A1268" s="77" t="s">
        <v>257</v>
      </c>
      <c r="B1268" s="76" t="s">
        <v>531</v>
      </c>
      <c r="C1268" s="80" t="s">
        <v>1130</v>
      </c>
    </row>
    <row r="1269" spans="1:3" ht="15">
      <c r="A1269" s="77" t="s">
        <v>257</v>
      </c>
      <c r="B1269" s="76" t="s">
        <v>532</v>
      </c>
      <c r="C1269" s="80" t="s">
        <v>1130</v>
      </c>
    </row>
    <row r="1270" spans="1:3" ht="15">
      <c r="A1270" s="77" t="s">
        <v>257</v>
      </c>
      <c r="B1270" s="76" t="s">
        <v>533</v>
      </c>
      <c r="C1270" s="80" t="s">
        <v>1130</v>
      </c>
    </row>
    <row r="1271" spans="1:3" ht="15">
      <c r="A1271" s="77" t="s">
        <v>257</v>
      </c>
      <c r="B1271" s="76" t="s">
        <v>535</v>
      </c>
      <c r="C1271" s="80" t="s">
        <v>1130</v>
      </c>
    </row>
    <row r="1272" spans="1:3" ht="15">
      <c r="A1272" s="77" t="s">
        <v>257</v>
      </c>
      <c r="B1272" s="76" t="s">
        <v>538</v>
      </c>
      <c r="C1272" s="80" t="s">
        <v>1130</v>
      </c>
    </row>
    <row r="1273" spans="1:3" ht="15">
      <c r="A1273" s="77" t="s">
        <v>257</v>
      </c>
      <c r="B1273" s="76" t="s">
        <v>3365</v>
      </c>
      <c r="C1273" s="80" t="s">
        <v>1130</v>
      </c>
    </row>
    <row r="1274" spans="1:3" ht="15">
      <c r="A1274" s="77" t="s">
        <v>257</v>
      </c>
      <c r="B1274" s="76" t="s">
        <v>3615</v>
      </c>
      <c r="C1274" s="80" t="s">
        <v>1130</v>
      </c>
    </row>
    <row r="1275" spans="1:3" ht="15">
      <c r="A1275" s="77" t="s">
        <v>257</v>
      </c>
      <c r="B1275" s="76" t="s">
        <v>3601</v>
      </c>
      <c r="C1275" s="80" t="s">
        <v>1130</v>
      </c>
    </row>
    <row r="1276" spans="1:3" ht="15">
      <c r="A1276" s="77" t="s">
        <v>257</v>
      </c>
      <c r="B1276" s="76" t="s">
        <v>3720</v>
      </c>
      <c r="C1276" s="80" t="s">
        <v>1130</v>
      </c>
    </row>
    <row r="1277" spans="1:3" ht="15">
      <c r="A1277" s="77" t="s">
        <v>257</v>
      </c>
      <c r="B1277" s="76" t="s">
        <v>3721</v>
      </c>
      <c r="C1277" s="80" t="s">
        <v>1130</v>
      </c>
    </row>
    <row r="1278" spans="1:3" ht="15">
      <c r="A1278" s="77" t="s">
        <v>257</v>
      </c>
      <c r="B1278" s="76" t="s">
        <v>3722</v>
      </c>
      <c r="C1278" s="80" t="s">
        <v>1130</v>
      </c>
    </row>
    <row r="1279" spans="1:3" ht="15">
      <c r="A1279" s="77" t="s">
        <v>257</v>
      </c>
      <c r="B1279" s="76" t="s">
        <v>3091</v>
      </c>
      <c r="C1279" s="80" t="s">
        <v>1130</v>
      </c>
    </row>
    <row r="1280" spans="1:3" ht="15">
      <c r="A1280" s="77" t="s">
        <v>257</v>
      </c>
      <c r="B1280" s="76" t="s">
        <v>3081</v>
      </c>
      <c r="C1280" s="80" t="s">
        <v>1130</v>
      </c>
    </row>
    <row r="1281" spans="1:3" ht="15">
      <c r="A1281" s="77" t="s">
        <v>257</v>
      </c>
      <c r="B1281" s="76" t="s">
        <v>3723</v>
      </c>
      <c r="C1281" s="80" t="s">
        <v>1130</v>
      </c>
    </row>
    <row r="1282" spans="1:3" ht="15">
      <c r="A1282" s="77" t="s">
        <v>227</v>
      </c>
      <c r="B1282" s="76" t="s">
        <v>286</v>
      </c>
      <c r="C1282" s="80" t="s">
        <v>1037</v>
      </c>
    </row>
    <row r="1283" spans="1:3" ht="15">
      <c r="A1283" s="77" t="s">
        <v>227</v>
      </c>
      <c r="B1283" s="76" t="s">
        <v>287</v>
      </c>
      <c r="C1283" s="80" t="s">
        <v>1037</v>
      </c>
    </row>
    <row r="1284" spans="1:3" ht="15">
      <c r="A1284" s="77" t="s">
        <v>227</v>
      </c>
      <c r="B1284" s="76" t="s">
        <v>288</v>
      </c>
      <c r="C1284" s="80" t="s">
        <v>1037</v>
      </c>
    </row>
    <row r="1285" spans="1:3" ht="15">
      <c r="A1285" s="77" t="s">
        <v>227</v>
      </c>
      <c r="B1285" s="76" t="s">
        <v>289</v>
      </c>
      <c r="C1285" s="80" t="s">
        <v>1037</v>
      </c>
    </row>
    <row r="1286" spans="1:3" ht="15">
      <c r="A1286" s="77" t="s">
        <v>227</v>
      </c>
      <c r="B1286" s="76" t="s">
        <v>290</v>
      </c>
      <c r="C1286" s="80" t="s">
        <v>1037</v>
      </c>
    </row>
    <row r="1287" spans="1:3" ht="15">
      <c r="A1287" s="77" t="s">
        <v>227</v>
      </c>
      <c r="B1287" s="76" t="s">
        <v>291</v>
      </c>
      <c r="C1287" s="80" t="s">
        <v>1037</v>
      </c>
    </row>
    <row r="1288" spans="1:3" ht="15">
      <c r="A1288" s="77" t="s">
        <v>227</v>
      </c>
      <c r="B1288" s="76" t="s">
        <v>292</v>
      </c>
      <c r="C1288" s="80" t="s">
        <v>1037</v>
      </c>
    </row>
    <row r="1289" spans="1:3" ht="15">
      <c r="A1289" s="77" t="s">
        <v>227</v>
      </c>
      <c r="B1289" s="76" t="s">
        <v>293</v>
      </c>
      <c r="C1289" s="80" t="s">
        <v>1037</v>
      </c>
    </row>
    <row r="1290" spans="1:3" ht="15">
      <c r="A1290" s="77" t="s">
        <v>227</v>
      </c>
      <c r="B1290" s="76" t="s">
        <v>294</v>
      </c>
      <c r="C1290" s="80" t="s">
        <v>1037</v>
      </c>
    </row>
    <row r="1291" spans="1:3" ht="15">
      <c r="A1291" s="77" t="s">
        <v>227</v>
      </c>
      <c r="B1291" s="76" t="s">
        <v>3067</v>
      </c>
      <c r="C1291" s="80" t="s">
        <v>1037</v>
      </c>
    </row>
    <row r="1292" spans="1:3" ht="15">
      <c r="A1292" s="77" t="s">
        <v>227</v>
      </c>
      <c r="B1292" s="76" t="s">
        <v>295</v>
      </c>
      <c r="C1292" s="80" t="s">
        <v>1037</v>
      </c>
    </row>
    <row r="1293" spans="1:3" ht="15">
      <c r="A1293" s="77" t="s">
        <v>227</v>
      </c>
      <c r="B1293" s="76" t="s">
        <v>296</v>
      </c>
      <c r="C1293" s="80" t="s">
        <v>1037</v>
      </c>
    </row>
    <row r="1294" spans="1:3" ht="15">
      <c r="A1294" s="77" t="s">
        <v>227</v>
      </c>
      <c r="B1294" s="76" t="s">
        <v>297</v>
      </c>
      <c r="C1294" s="80" t="s">
        <v>1037</v>
      </c>
    </row>
    <row r="1295" spans="1:3" ht="15">
      <c r="A1295" s="77" t="s">
        <v>227</v>
      </c>
      <c r="B1295" s="76" t="s">
        <v>298</v>
      </c>
      <c r="C1295" s="80" t="s">
        <v>1037</v>
      </c>
    </row>
    <row r="1296" spans="1:3" ht="15">
      <c r="A1296" s="77" t="s">
        <v>227</v>
      </c>
      <c r="B1296" s="76" t="s">
        <v>299</v>
      </c>
      <c r="C1296" s="80" t="s">
        <v>1037</v>
      </c>
    </row>
    <row r="1297" spans="1:3" ht="15">
      <c r="A1297" s="77" t="s">
        <v>227</v>
      </c>
      <c r="B1297" s="76" t="s">
        <v>228</v>
      </c>
      <c r="C1297" s="80" t="s">
        <v>1037</v>
      </c>
    </row>
    <row r="1298" spans="1:3" ht="15">
      <c r="A1298" s="77" t="s">
        <v>227</v>
      </c>
      <c r="B1298" s="76" t="s">
        <v>300</v>
      </c>
      <c r="C1298" s="80" t="s">
        <v>1037</v>
      </c>
    </row>
    <row r="1299" spans="1:3" ht="15">
      <c r="A1299" s="77" t="s">
        <v>227</v>
      </c>
      <c r="B1299" s="76" t="s">
        <v>301</v>
      </c>
      <c r="C1299" s="80" t="s">
        <v>1037</v>
      </c>
    </row>
    <row r="1300" spans="1:3" ht="15">
      <c r="A1300" s="77" t="s">
        <v>227</v>
      </c>
      <c r="B1300" s="76" t="s">
        <v>255</v>
      </c>
      <c r="C1300" s="80" t="s">
        <v>1037</v>
      </c>
    </row>
    <row r="1301" spans="1:3" ht="15">
      <c r="A1301" s="77" t="s">
        <v>227</v>
      </c>
      <c r="B1301" s="76" t="s">
        <v>302</v>
      </c>
      <c r="C1301" s="80" t="s">
        <v>1037</v>
      </c>
    </row>
    <row r="1302" spans="1:3" ht="15">
      <c r="A1302" s="77" t="s">
        <v>229</v>
      </c>
      <c r="B1302" s="76" t="s">
        <v>3523</v>
      </c>
      <c r="C1302" s="80" t="s">
        <v>1047</v>
      </c>
    </row>
    <row r="1303" spans="1:3" ht="15">
      <c r="A1303" s="77" t="s">
        <v>229</v>
      </c>
      <c r="B1303" s="76" t="s">
        <v>3524</v>
      </c>
      <c r="C1303" s="80" t="s">
        <v>1047</v>
      </c>
    </row>
    <row r="1304" spans="1:3" ht="15">
      <c r="A1304" s="77" t="s">
        <v>229</v>
      </c>
      <c r="B1304" s="76" t="s">
        <v>3521</v>
      </c>
      <c r="C1304" s="80" t="s">
        <v>1047</v>
      </c>
    </row>
    <row r="1305" spans="1:3" ht="15">
      <c r="A1305" s="77" t="s">
        <v>229</v>
      </c>
      <c r="B1305" s="76" t="s">
        <v>368</v>
      </c>
      <c r="C1305" s="80" t="s">
        <v>1047</v>
      </c>
    </row>
    <row r="1306" spans="1:3" ht="15">
      <c r="A1306" s="77" t="s">
        <v>229</v>
      </c>
      <c r="B1306" s="76" t="s">
        <v>3053</v>
      </c>
      <c r="C1306" s="80" t="s">
        <v>1047</v>
      </c>
    </row>
    <row r="1307" spans="1:3" ht="15">
      <c r="A1307" s="77" t="s">
        <v>229</v>
      </c>
      <c r="B1307" s="76" t="s">
        <v>3052</v>
      </c>
      <c r="C1307" s="80" t="s">
        <v>1047</v>
      </c>
    </row>
    <row r="1308" spans="1:3" ht="15">
      <c r="A1308" s="77" t="s">
        <v>229</v>
      </c>
      <c r="B1308" s="76" t="s">
        <v>366</v>
      </c>
      <c r="C1308" s="80" t="s">
        <v>1047</v>
      </c>
    </row>
    <row r="1309" spans="1:3" ht="15">
      <c r="A1309" s="77" t="s">
        <v>229</v>
      </c>
      <c r="B1309" s="76" t="s">
        <v>334</v>
      </c>
      <c r="C1309" s="80" t="s">
        <v>1047</v>
      </c>
    </row>
    <row r="1310" spans="1:3" ht="15">
      <c r="A1310" s="77" t="s">
        <v>229</v>
      </c>
      <c r="B1310" s="76" t="s">
        <v>377</v>
      </c>
      <c r="C1310" s="80" t="s">
        <v>1047</v>
      </c>
    </row>
    <row r="1311" spans="1:3" ht="15">
      <c r="A1311" s="77" t="s">
        <v>229</v>
      </c>
      <c r="B1311" s="76" t="s">
        <v>335</v>
      </c>
      <c r="C1311" s="80" t="s">
        <v>1047</v>
      </c>
    </row>
    <row r="1312" spans="1:3" ht="15">
      <c r="A1312" s="77" t="s">
        <v>229</v>
      </c>
      <c r="B1312" s="76" t="s">
        <v>336</v>
      </c>
      <c r="C1312" s="80" t="s">
        <v>1047</v>
      </c>
    </row>
    <row r="1313" spans="1:3" ht="15">
      <c r="A1313" s="77" t="s">
        <v>229</v>
      </c>
      <c r="B1313" s="76" t="s">
        <v>378</v>
      </c>
      <c r="C1313" s="80" t="s">
        <v>1047</v>
      </c>
    </row>
    <row r="1314" spans="1:3" ht="15">
      <c r="A1314" s="77" t="s">
        <v>229</v>
      </c>
      <c r="B1314" s="76" t="s">
        <v>337</v>
      </c>
      <c r="C1314" s="80" t="s">
        <v>1047</v>
      </c>
    </row>
    <row r="1315" spans="1:3" ht="15">
      <c r="A1315" s="77" t="s">
        <v>229</v>
      </c>
      <c r="B1315" s="76" t="s">
        <v>338</v>
      </c>
      <c r="C1315" s="80" t="s">
        <v>1047</v>
      </c>
    </row>
    <row r="1316" spans="1:3" ht="15">
      <c r="A1316" s="77" t="s">
        <v>229</v>
      </c>
      <c r="B1316" s="76" t="s">
        <v>339</v>
      </c>
      <c r="C1316" s="80" t="s">
        <v>1047</v>
      </c>
    </row>
    <row r="1317" spans="1:3" ht="15">
      <c r="A1317" s="77" t="s">
        <v>229</v>
      </c>
      <c r="B1317" s="76" t="s">
        <v>379</v>
      </c>
      <c r="C1317" s="80" t="s">
        <v>1047</v>
      </c>
    </row>
    <row r="1318" spans="1:3" ht="15">
      <c r="A1318" s="77" t="s">
        <v>229</v>
      </c>
      <c r="B1318" s="76" t="s">
        <v>228</v>
      </c>
      <c r="C1318" s="80" t="s">
        <v>1047</v>
      </c>
    </row>
    <row r="1319" spans="1:3" ht="15">
      <c r="A1319" s="77" t="s">
        <v>229</v>
      </c>
      <c r="B1319" s="76" t="s">
        <v>3211</v>
      </c>
      <c r="C1319" s="80" t="s">
        <v>1047</v>
      </c>
    </row>
    <row r="1320" spans="1:3" ht="15">
      <c r="A1320" s="77" t="s">
        <v>228</v>
      </c>
      <c r="B1320" s="76" t="s">
        <v>3724</v>
      </c>
      <c r="C1320" s="80" t="s">
        <v>1147</v>
      </c>
    </row>
    <row r="1321" spans="1:3" ht="15">
      <c r="A1321" s="77" t="s">
        <v>228</v>
      </c>
      <c r="B1321" s="76" t="s">
        <v>3055</v>
      </c>
      <c r="C1321" s="80" t="s">
        <v>1147</v>
      </c>
    </row>
    <row r="1322" spans="1:3" ht="15">
      <c r="A1322" s="77" t="s">
        <v>228</v>
      </c>
      <c r="B1322" s="76" t="s">
        <v>3725</v>
      </c>
      <c r="C1322" s="80" t="s">
        <v>1147</v>
      </c>
    </row>
    <row r="1323" spans="1:3" ht="15">
      <c r="A1323" s="77" t="s">
        <v>228</v>
      </c>
      <c r="B1323" s="76" t="s">
        <v>3073</v>
      </c>
      <c r="C1323" s="80" t="s">
        <v>1147</v>
      </c>
    </row>
    <row r="1324" spans="1:3" ht="15">
      <c r="A1324" s="77" t="s">
        <v>248</v>
      </c>
      <c r="B1324" s="76" t="s">
        <v>3726</v>
      </c>
      <c r="C1324" s="80" t="s">
        <v>1111</v>
      </c>
    </row>
    <row r="1325" spans="1:3" ht="15">
      <c r="A1325" s="77" t="s">
        <v>248</v>
      </c>
      <c r="B1325" s="76" t="s">
        <v>3727</v>
      </c>
      <c r="C1325" s="80" t="s">
        <v>1111</v>
      </c>
    </row>
    <row r="1326" spans="1:3" ht="15">
      <c r="A1326" s="77" t="s">
        <v>248</v>
      </c>
      <c r="B1326" s="76" t="s">
        <v>3728</v>
      </c>
      <c r="C1326" s="80" t="s">
        <v>1111</v>
      </c>
    </row>
    <row r="1327" spans="1:3" ht="15">
      <c r="A1327" s="77" t="s">
        <v>248</v>
      </c>
      <c r="B1327" s="76" t="s">
        <v>3729</v>
      </c>
      <c r="C1327" s="80" t="s">
        <v>1111</v>
      </c>
    </row>
    <row r="1328" spans="1:3" ht="15">
      <c r="A1328" s="77" t="s">
        <v>248</v>
      </c>
      <c r="B1328" s="76" t="s">
        <v>3053</v>
      </c>
      <c r="C1328" s="80" t="s">
        <v>1111</v>
      </c>
    </row>
    <row r="1329" spans="1:3" ht="15">
      <c r="A1329" s="77" t="s">
        <v>248</v>
      </c>
      <c r="B1329" s="76" t="s">
        <v>3052</v>
      </c>
      <c r="C1329" s="80" t="s">
        <v>1111</v>
      </c>
    </row>
    <row r="1330" spans="1:3" ht="15">
      <c r="A1330" s="77" t="s">
        <v>248</v>
      </c>
      <c r="B1330" s="76" t="s">
        <v>510</v>
      </c>
      <c r="C1330" s="80" t="s">
        <v>1111</v>
      </c>
    </row>
    <row r="1331" spans="1:3" ht="15">
      <c r="A1331" s="77" t="s">
        <v>248</v>
      </c>
      <c r="B1331" s="76" t="s">
        <v>511</v>
      </c>
      <c r="C1331" s="80" t="s">
        <v>1111</v>
      </c>
    </row>
    <row r="1332" spans="1:3" ht="15">
      <c r="A1332" s="77" t="s">
        <v>248</v>
      </c>
      <c r="B1332" s="76" t="s">
        <v>512</v>
      </c>
      <c r="C1332" s="80" t="s">
        <v>1111</v>
      </c>
    </row>
    <row r="1333" spans="1:3" ht="15">
      <c r="A1333" s="77" t="s">
        <v>248</v>
      </c>
      <c r="B1333" s="76" t="s">
        <v>513</v>
      </c>
      <c r="C1333" s="80" t="s">
        <v>1111</v>
      </c>
    </row>
    <row r="1334" spans="1:3" ht="15">
      <c r="A1334" s="77" t="s">
        <v>248</v>
      </c>
      <c r="B1334" s="76" t="s">
        <v>514</v>
      </c>
      <c r="C1334" s="80" t="s">
        <v>1111</v>
      </c>
    </row>
    <row r="1335" spans="1:3" ht="15">
      <c r="A1335" s="77" t="s">
        <v>248</v>
      </c>
      <c r="B1335" s="76" t="s">
        <v>515</v>
      </c>
      <c r="C1335" s="80" t="s">
        <v>1111</v>
      </c>
    </row>
    <row r="1336" spans="1:3" ht="15">
      <c r="A1336" s="77" t="s">
        <v>248</v>
      </c>
      <c r="B1336" s="76" t="s">
        <v>516</v>
      </c>
      <c r="C1336" s="80" t="s">
        <v>1111</v>
      </c>
    </row>
    <row r="1337" spans="1:3" ht="15">
      <c r="A1337" s="77" t="s">
        <v>248</v>
      </c>
      <c r="B1337" s="76" t="s">
        <v>517</v>
      </c>
      <c r="C1337" s="80" t="s">
        <v>1111</v>
      </c>
    </row>
    <row r="1338" spans="1:3" ht="15">
      <c r="A1338" s="77" t="s">
        <v>248</v>
      </c>
      <c r="B1338" s="76" t="s">
        <v>518</v>
      </c>
      <c r="C1338" s="80" t="s">
        <v>1111</v>
      </c>
    </row>
    <row r="1339" spans="1:3" ht="15">
      <c r="A1339" s="77" t="s">
        <v>248</v>
      </c>
      <c r="B1339" s="76" t="s">
        <v>519</v>
      </c>
      <c r="C1339" s="80" t="s">
        <v>1111</v>
      </c>
    </row>
    <row r="1340" spans="1:3" ht="15">
      <c r="A1340" s="77" t="s">
        <v>248</v>
      </c>
      <c r="B1340" s="76" t="s">
        <v>228</v>
      </c>
      <c r="C1340" s="80" t="s">
        <v>1111</v>
      </c>
    </row>
    <row r="1341" spans="1:3" ht="15">
      <c r="A1341" s="77" t="s">
        <v>248</v>
      </c>
      <c r="B1341" s="76" t="s">
        <v>3730</v>
      </c>
      <c r="C1341" s="80" t="s">
        <v>1111</v>
      </c>
    </row>
    <row r="1342" spans="1:3" ht="15">
      <c r="A1342" s="77" t="s">
        <v>248</v>
      </c>
      <c r="B1342" s="76" t="s">
        <v>3731</v>
      </c>
      <c r="C1342" s="80" t="s">
        <v>1111</v>
      </c>
    </row>
    <row r="1343" spans="1:3" ht="15">
      <c r="A1343" s="77" t="s">
        <v>244</v>
      </c>
      <c r="B1343" s="76" t="s">
        <v>3732</v>
      </c>
      <c r="C1343" s="80" t="s">
        <v>1110</v>
      </c>
    </row>
    <row r="1344" spans="1:3" ht="15">
      <c r="A1344" s="77" t="s">
        <v>244</v>
      </c>
      <c r="B1344" s="76" t="s">
        <v>3733</v>
      </c>
      <c r="C1344" s="80" t="s">
        <v>1110</v>
      </c>
    </row>
    <row r="1345" spans="1:3" ht="15">
      <c r="A1345" s="77" t="s">
        <v>244</v>
      </c>
      <c r="B1345" s="76" t="s">
        <v>3205</v>
      </c>
      <c r="C1345" s="80" t="s">
        <v>1110</v>
      </c>
    </row>
    <row r="1346" spans="1:3" ht="15">
      <c r="A1346" s="77" t="s">
        <v>244</v>
      </c>
      <c r="B1346" s="76" t="s">
        <v>3734</v>
      </c>
      <c r="C1346" s="80" t="s">
        <v>1110</v>
      </c>
    </row>
    <row r="1347" spans="1:3" ht="15">
      <c r="A1347" s="77" t="s">
        <v>244</v>
      </c>
      <c r="B1347" s="76" t="s">
        <v>3735</v>
      </c>
      <c r="C1347" s="80" t="s">
        <v>1110</v>
      </c>
    </row>
    <row r="1348" spans="1:3" ht="15">
      <c r="A1348" s="77" t="s">
        <v>244</v>
      </c>
      <c r="B1348" s="76" t="s">
        <v>3736</v>
      </c>
      <c r="C1348" s="80" t="s">
        <v>1110</v>
      </c>
    </row>
    <row r="1349" spans="1:3" ht="15">
      <c r="A1349" s="77" t="s">
        <v>244</v>
      </c>
      <c r="B1349" s="76" t="s">
        <v>3737</v>
      </c>
      <c r="C1349" s="80" t="s">
        <v>1110</v>
      </c>
    </row>
    <row r="1350" spans="1:3" ht="15">
      <c r="A1350" s="77" t="s">
        <v>244</v>
      </c>
      <c r="B1350" s="76" t="s">
        <v>228</v>
      </c>
      <c r="C1350" s="80" t="s">
        <v>1110</v>
      </c>
    </row>
    <row r="1351" spans="1:3" ht="15">
      <c r="A1351" s="77" t="s">
        <v>244</v>
      </c>
      <c r="B1351" s="76" t="s">
        <v>3094</v>
      </c>
      <c r="C1351" s="80" t="s">
        <v>1110</v>
      </c>
    </row>
    <row r="1352" spans="1:3" ht="15">
      <c r="A1352" s="77" t="s">
        <v>244</v>
      </c>
      <c r="B1352" s="76" t="s">
        <v>3102</v>
      </c>
      <c r="C1352" s="80" t="s">
        <v>1110</v>
      </c>
    </row>
    <row r="1353" spans="1:3" ht="15">
      <c r="A1353" s="77" t="s">
        <v>244</v>
      </c>
      <c r="B1353" s="76" t="s">
        <v>3738</v>
      </c>
      <c r="C1353" s="80" t="s">
        <v>1110</v>
      </c>
    </row>
    <row r="1354" spans="1:3" ht="15">
      <c r="A1354" s="77" t="s">
        <v>244</v>
      </c>
      <c r="B1354" s="76" t="s">
        <v>3124</v>
      </c>
      <c r="C1354" s="80" t="s">
        <v>1110</v>
      </c>
    </row>
    <row r="1355" spans="1:3" ht="15">
      <c r="A1355" s="77" t="s">
        <v>257</v>
      </c>
      <c r="B1355" s="76" t="s">
        <v>228</v>
      </c>
      <c r="C1355" s="80" t="s">
        <v>1136</v>
      </c>
    </row>
    <row r="1356" spans="1:3" ht="15">
      <c r="A1356" s="77" t="s">
        <v>257</v>
      </c>
      <c r="B1356" s="76" t="s">
        <v>528</v>
      </c>
      <c r="C1356" s="80" t="s">
        <v>1136</v>
      </c>
    </row>
    <row r="1357" spans="1:3" ht="15">
      <c r="A1357" s="77" t="s">
        <v>257</v>
      </c>
      <c r="B1357" s="76" t="s">
        <v>529</v>
      </c>
      <c r="C1357" s="80" t="s">
        <v>1136</v>
      </c>
    </row>
    <row r="1358" spans="1:3" ht="15">
      <c r="A1358" s="77" t="s">
        <v>257</v>
      </c>
      <c r="B1358" s="76" t="s">
        <v>530</v>
      </c>
      <c r="C1358" s="80" t="s">
        <v>1136</v>
      </c>
    </row>
    <row r="1359" spans="1:3" ht="15">
      <c r="A1359" s="77" t="s">
        <v>257</v>
      </c>
      <c r="B1359" s="76" t="s">
        <v>531</v>
      </c>
      <c r="C1359" s="80" t="s">
        <v>1136</v>
      </c>
    </row>
    <row r="1360" spans="1:3" ht="15">
      <c r="A1360" s="77" t="s">
        <v>257</v>
      </c>
      <c r="B1360" s="76" t="s">
        <v>532</v>
      </c>
      <c r="C1360" s="80" t="s">
        <v>1136</v>
      </c>
    </row>
    <row r="1361" spans="1:3" ht="15">
      <c r="A1361" s="77" t="s">
        <v>257</v>
      </c>
      <c r="B1361" s="76" t="s">
        <v>533</v>
      </c>
      <c r="C1361" s="80" t="s">
        <v>1136</v>
      </c>
    </row>
    <row r="1362" spans="1:3" ht="15">
      <c r="A1362" s="77" t="s">
        <v>257</v>
      </c>
      <c r="B1362" s="76" t="s">
        <v>535</v>
      </c>
      <c r="C1362" s="80" t="s">
        <v>1136</v>
      </c>
    </row>
    <row r="1363" spans="1:3" ht="15">
      <c r="A1363" s="77" t="s">
        <v>257</v>
      </c>
      <c r="B1363" s="76" t="s">
        <v>537</v>
      </c>
      <c r="C1363" s="80" t="s">
        <v>1136</v>
      </c>
    </row>
    <row r="1364" spans="1:3" ht="15">
      <c r="A1364" s="77" t="s">
        <v>257</v>
      </c>
      <c r="B1364" s="76" t="s">
        <v>538</v>
      </c>
      <c r="C1364" s="80" t="s">
        <v>1136</v>
      </c>
    </row>
    <row r="1365" spans="1:3" ht="15">
      <c r="A1365" s="77" t="s">
        <v>257</v>
      </c>
      <c r="B1365" s="76" t="s">
        <v>3739</v>
      </c>
      <c r="C1365" s="80" t="s">
        <v>1136</v>
      </c>
    </row>
    <row r="1366" spans="1:3" ht="15">
      <c r="A1366" s="77" t="s">
        <v>257</v>
      </c>
      <c r="B1366" s="76" t="s">
        <v>3740</v>
      </c>
      <c r="C1366" s="80" t="s">
        <v>1136</v>
      </c>
    </row>
    <row r="1367" spans="1:3" ht="15">
      <c r="A1367" s="77" t="s">
        <v>257</v>
      </c>
      <c r="B1367" s="76" t="s">
        <v>3601</v>
      </c>
      <c r="C1367" s="80" t="s">
        <v>1136</v>
      </c>
    </row>
    <row r="1368" spans="1:3" ht="15">
      <c r="A1368" s="77" t="s">
        <v>257</v>
      </c>
      <c r="B1368" s="76" t="s">
        <v>3602</v>
      </c>
      <c r="C1368" s="80" t="s">
        <v>1136</v>
      </c>
    </row>
    <row r="1369" spans="1:3" ht="15">
      <c r="A1369" s="77" t="s">
        <v>257</v>
      </c>
      <c r="B1369" s="76" t="s">
        <v>3741</v>
      </c>
      <c r="C1369" s="80" t="s">
        <v>1136</v>
      </c>
    </row>
    <row r="1370" spans="1:3" ht="15">
      <c r="A1370" s="77" t="s">
        <v>257</v>
      </c>
      <c r="B1370" s="76" t="s">
        <v>3742</v>
      </c>
      <c r="C1370" s="80" t="s">
        <v>1136</v>
      </c>
    </row>
    <row r="1371" spans="1:3" ht="15">
      <c r="A1371" s="77" t="s">
        <v>257</v>
      </c>
      <c r="B1371" s="76" t="s">
        <v>3743</v>
      </c>
      <c r="C1371" s="80" t="s">
        <v>1136</v>
      </c>
    </row>
    <row r="1372" spans="1:3" ht="15">
      <c r="A1372" s="77" t="s">
        <v>257</v>
      </c>
      <c r="B1372" s="76" t="s">
        <v>3744</v>
      </c>
      <c r="C1372" s="80" t="s">
        <v>1136</v>
      </c>
    </row>
    <row r="1373" spans="1:3" ht="15">
      <c r="A1373" s="77" t="s">
        <v>257</v>
      </c>
      <c r="B1373" s="76" t="s">
        <v>3745</v>
      </c>
      <c r="C1373" s="80" t="s">
        <v>1136</v>
      </c>
    </row>
    <row r="1374" spans="1:3" ht="15">
      <c r="A1374" s="77" t="s">
        <v>257</v>
      </c>
      <c r="B1374" s="76" t="s">
        <v>3746</v>
      </c>
      <c r="C1374" s="80" t="s">
        <v>1136</v>
      </c>
    </row>
    <row r="1375" spans="1:3" ht="15">
      <c r="A1375" s="77" t="s">
        <v>257</v>
      </c>
      <c r="B1375" s="76" t="s">
        <v>3174</v>
      </c>
      <c r="C1375" s="80" t="s">
        <v>1136</v>
      </c>
    </row>
    <row r="1376" spans="1:3" ht="15">
      <c r="A1376" s="77" t="s">
        <v>257</v>
      </c>
      <c r="B1376" s="76" t="s">
        <v>3747</v>
      </c>
      <c r="C1376" s="80" t="s">
        <v>1136</v>
      </c>
    </row>
    <row r="1377" spans="1:3" ht="15">
      <c r="A1377" s="77" t="s">
        <v>257</v>
      </c>
      <c r="B1377" s="76" t="s">
        <v>3105</v>
      </c>
      <c r="C1377" s="80" t="s">
        <v>1136</v>
      </c>
    </row>
    <row r="1378" spans="1:3" ht="15">
      <c r="A1378" s="77" t="s">
        <v>257</v>
      </c>
      <c r="B1378" s="76" t="s">
        <v>3081</v>
      </c>
      <c r="C1378" s="80" t="s">
        <v>1136</v>
      </c>
    </row>
    <row r="1379" spans="1:3" ht="15">
      <c r="A1379" s="77" t="s">
        <v>227</v>
      </c>
      <c r="B1379" s="76" t="s">
        <v>3748</v>
      </c>
      <c r="C1379" s="80" t="s">
        <v>1039</v>
      </c>
    </row>
    <row r="1380" spans="1:3" ht="15">
      <c r="A1380" s="77" t="s">
        <v>227</v>
      </c>
      <c r="B1380" s="76" t="s">
        <v>3749</v>
      </c>
      <c r="C1380" s="80" t="s">
        <v>1039</v>
      </c>
    </row>
    <row r="1381" spans="1:3" ht="15">
      <c r="A1381" s="77" t="s">
        <v>227</v>
      </c>
      <c r="B1381" s="76" t="s">
        <v>3750</v>
      </c>
      <c r="C1381" s="80" t="s">
        <v>1039</v>
      </c>
    </row>
    <row r="1382" spans="1:3" ht="15">
      <c r="A1382" s="77" t="s">
        <v>227</v>
      </c>
      <c r="B1382" s="76">
        <v>37</v>
      </c>
      <c r="C1382" s="80" t="s">
        <v>1039</v>
      </c>
    </row>
    <row r="1383" spans="1:3" ht="15">
      <c r="A1383" s="77" t="s">
        <v>227</v>
      </c>
      <c r="B1383" s="76" t="s">
        <v>3751</v>
      </c>
      <c r="C1383" s="80" t="s">
        <v>1039</v>
      </c>
    </row>
    <row r="1384" spans="1:3" ht="15">
      <c r="A1384" s="77" t="s">
        <v>227</v>
      </c>
      <c r="B1384" s="76" t="s">
        <v>3752</v>
      </c>
      <c r="C1384" s="80" t="s">
        <v>1039</v>
      </c>
    </row>
    <row r="1385" spans="1:3" ht="15">
      <c r="A1385" s="77" t="s">
        <v>227</v>
      </c>
      <c r="B1385" s="76" t="s">
        <v>3753</v>
      </c>
      <c r="C1385" s="80" t="s">
        <v>1039</v>
      </c>
    </row>
    <row r="1386" spans="1:3" ht="15">
      <c r="A1386" s="77" t="s">
        <v>227</v>
      </c>
      <c r="B1386" s="76" t="s">
        <v>3754</v>
      </c>
      <c r="C1386" s="80" t="s">
        <v>1039</v>
      </c>
    </row>
    <row r="1387" spans="1:3" ht="15">
      <c r="A1387" s="77" t="s">
        <v>227</v>
      </c>
      <c r="B1387" s="76" t="s">
        <v>3755</v>
      </c>
      <c r="C1387" s="80" t="s">
        <v>1039</v>
      </c>
    </row>
    <row r="1388" spans="1:3" ht="15">
      <c r="A1388" s="77" t="s">
        <v>227</v>
      </c>
      <c r="B1388" s="76" t="s">
        <v>3756</v>
      </c>
      <c r="C1388" s="80" t="s">
        <v>1039</v>
      </c>
    </row>
    <row r="1389" spans="1:3" ht="15">
      <c r="A1389" s="77" t="s">
        <v>227</v>
      </c>
      <c r="B1389" s="76" t="s">
        <v>3066</v>
      </c>
      <c r="C1389" s="80" t="s">
        <v>1039</v>
      </c>
    </row>
    <row r="1390" spans="1:3" ht="15">
      <c r="A1390" s="77" t="s">
        <v>227</v>
      </c>
      <c r="B1390" s="76" t="s">
        <v>3757</v>
      </c>
      <c r="C1390" s="80" t="s">
        <v>1039</v>
      </c>
    </row>
    <row r="1391" spans="1:3" ht="15">
      <c r="A1391" s="77" t="s">
        <v>227</v>
      </c>
      <c r="B1391" s="76" t="s">
        <v>3758</v>
      </c>
      <c r="C1391" s="80" t="s">
        <v>1039</v>
      </c>
    </row>
    <row r="1392" spans="1:3" ht="15">
      <c r="A1392" s="77" t="s">
        <v>227</v>
      </c>
      <c r="B1392" s="76" t="s">
        <v>3759</v>
      </c>
      <c r="C1392" s="80" t="s">
        <v>1039</v>
      </c>
    </row>
    <row r="1393" spans="1:3" ht="15">
      <c r="A1393" s="77" t="s">
        <v>227</v>
      </c>
      <c r="B1393" s="76" t="s">
        <v>3760</v>
      </c>
      <c r="C1393" s="80" t="s">
        <v>1039</v>
      </c>
    </row>
    <row r="1394" spans="1:3" ht="15">
      <c r="A1394" s="77" t="s">
        <v>227</v>
      </c>
      <c r="B1394" s="76" t="s">
        <v>3761</v>
      </c>
      <c r="C1394" s="80" t="s">
        <v>1039</v>
      </c>
    </row>
    <row r="1395" spans="1:3" ht="15">
      <c r="A1395" s="77" t="s">
        <v>227</v>
      </c>
      <c r="B1395" s="76" t="s">
        <v>3762</v>
      </c>
      <c r="C1395" s="80" t="s">
        <v>1039</v>
      </c>
    </row>
    <row r="1396" spans="1:3" ht="15">
      <c r="A1396" s="77" t="s">
        <v>241</v>
      </c>
      <c r="B1396" s="76" t="s">
        <v>3763</v>
      </c>
      <c r="C1396" s="80" t="s">
        <v>1086</v>
      </c>
    </row>
    <row r="1397" spans="1:3" ht="15">
      <c r="A1397" s="77" t="s">
        <v>241</v>
      </c>
      <c r="B1397" s="76" t="s">
        <v>492</v>
      </c>
      <c r="C1397" s="80" t="s">
        <v>1086</v>
      </c>
    </row>
    <row r="1398" spans="1:3" ht="15">
      <c r="A1398" s="77" t="s">
        <v>241</v>
      </c>
      <c r="B1398" s="76" t="s">
        <v>261</v>
      </c>
      <c r="C1398" s="80" t="s">
        <v>1086</v>
      </c>
    </row>
    <row r="1399" spans="1:3" ht="15">
      <c r="A1399" s="77" t="s">
        <v>241</v>
      </c>
      <c r="B1399" s="76" t="s">
        <v>262</v>
      </c>
      <c r="C1399" s="80" t="s">
        <v>1086</v>
      </c>
    </row>
    <row r="1400" spans="1:3" ht="15">
      <c r="A1400" s="77" t="s">
        <v>241</v>
      </c>
      <c r="B1400" s="76" t="s">
        <v>493</v>
      </c>
      <c r="C1400" s="80" t="s">
        <v>1086</v>
      </c>
    </row>
    <row r="1401" spans="1:3" ht="15">
      <c r="A1401" s="77" t="s">
        <v>241</v>
      </c>
      <c r="B1401" s="76" t="s">
        <v>494</v>
      </c>
      <c r="C1401" s="80" t="s">
        <v>1086</v>
      </c>
    </row>
    <row r="1402" spans="1:3" ht="15">
      <c r="A1402" s="77" t="s">
        <v>241</v>
      </c>
      <c r="B1402" s="76" t="s">
        <v>228</v>
      </c>
      <c r="C1402" s="80" t="s">
        <v>1086</v>
      </c>
    </row>
    <row r="1403" spans="1:3" ht="15">
      <c r="A1403" s="77" t="s">
        <v>241</v>
      </c>
      <c r="B1403" s="76" t="s">
        <v>495</v>
      </c>
      <c r="C1403" s="80" t="s">
        <v>1086</v>
      </c>
    </row>
    <row r="1404" spans="1:3" ht="15">
      <c r="A1404" s="77" t="s">
        <v>241</v>
      </c>
      <c r="B1404" s="76" t="s">
        <v>496</v>
      </c>
      <c r="C1404" s="80" t="s">
        <v>1086</v>
      </c>
    </row>
    <row r="1405" spans="1:3" ht="15">
      <c r="A1405" s="77" t="s">
        <v>241</v>
      </c>
      <c r="B1405" s="76" t="s">
        <v>497</v>
      </c>
      <c r="C1405" s="80" t="s">
        <v>1086</v>
      </c>
    </row>
    <row r="1406" spans="1:3" ht="15">
      <c r="A1406" s="77" t="s">
        <v>241</v>
      </c>
      <c r="B1406" s="76" t="s">
        <v>498</v>
      </c>
      <c r="C1406" s="80" t="s">
        <v>1086</v>
      </c>
    </row>
    <row r="1407" spans="1:3" ht="15">
      <c r="A1407" s="77" t="s">
        <v>241</v>
      </c>
      <c r="B1407" s="76" t="s">
        <v>499</v>
      </c>
      <c r="C1407" s="80" t="s">
        <v>1086</v>
      </c>
    </row>
    <row r="1408" spans="1:3" ht="15">
      <c r="A1408" s="77" t="s">
        <v>241</v>
      </c>
      <c r="B1408" s="76" t="s">
        <v>500</v>
      </c>
      <c r="C1408" s="80" t="s">
        <v>1086</v>
      </c>
    </row>
    <row r="1409" spans="1:3" ht="15">
      <c r="A1409" s="77" t="s">
        <v>241</v>
      </c>
      <c r="B1409" s="76" t="s">
        <v>501</v>
      </c>
      <c r="C1409" s="80" t="s">
        <v>1086</v>
      </c>
    </row>
    <row r="1410" spans="1:3" ht="15">
      <c r="A1410" s="77" t="s">
        <v>241</v>
      </c>
      <c r="B1410" s="76" t="s">
        <v>259</v>
      </c>
      <c r="C1410" s="80" t="s">
        <v>1086</v>
      </c>
    </row>
    <row r="1411" spans="1:3" ht="15">
      <c r="A1411" s="77" t="s">
        <v>241</v>
      </c>
      <c r="B1411" s="76" t="s">
        <v>260</v>
      </c>
      <c r="C1411" s="80" t="s">
        <v>1086</v>
      </c>
    </row>
    <row r="1412" spans="1:3" ht="15">
      <c r="A1412" s="77" t="s">
        <v>229</v>
      </c>
      <c r="B1412" s="76" t="s">
        <v>3764</v>
      </c>
      <c r="C1412" s="80" t="s">
        <v>1057</v>
      </c>
    </row>
    <row r="1413" spans="1:3" ht="15">
      <c r="A1413" s="77" t="s">
        <v>229</v>
      </c>
      <c r="B1413" s="76" t="s">
        <v>3765</v>
      </c>
      <c r="C1413" s="80" t="s">
        <v>1057</v>
      </c>
    </row>
    <row r="1414" spans="1:3" ht="15">
      <c r="A1414" s="77" t="s">
        <v>229</v>
      </c>
      <c r="B1414" s="76" t="s">
        <v>3766</v>
      </c>
      <c r="C1414" s="80" t="s">
        <v>1057</v>
      </c>
    </row>
    <row r="1415" spans="1:3" ht="15">
      <c r="A1415" s="77" t="s">
        <v>229</v>
      </c>
      <c r="B1415" s="76" t="s">
        <v>3053</v>
      </c>
      <c r="C1415" s="80" t="s">
        <v>1057</v>
      </c>
    </row>
    <row r="1416" spans="1:3" ht="15">
      <c r="A1416" s="77" t="s">
        <v>229</v>
      </c>
      <c r="B1416" s="76" t="s">
        <v>3052</v>
      </c>
      <c r="C1416" s="80" t="s">
        <v>1057</v>
      </c>
    </row>
    <row r="1417" spans="1:3" ht="15">
      <c r="A1417" s="77" t="s">
        <v>229</v>
      </c>
      <c r="B1417" s="76" t="s">
        <v>414</v>
      </c>
      <c r="C1417" s="80" t="s">
        <v>1057</v>
      </c>
    </row>
    <row r="1418" spans="1:3" ht="15">
      <c r="A1418" s="77" t="s">
        <v>229</v>
      </c>
      <c r="B1418" s="76" t="s">
        <v>385</v>
      </c>
      <c r="C1418" s="80" t="s">
        <v>1057</v>
      </c>
    </row>
    <row r="1419" spans="1:3" ht="15">
      <c r="A1419" s="77" t="s">
        <v>229</v>
      </c>
      <c r="B1419" s="76" t="s">
        <v>386</v>
      </c>
      <c r="C1419" s="80" t="s">
        <v>1057</v>
      </c>
    </row>
    <row r="1420" spans="1:3" ht="15">
      <c r="A1420" s="77" t="s">
        <v>229</v>
      </c>
      <c r="B1420" s="76" t="s">
        <v>387</v>
      </c>
      <c r="C1420" s="80" t="s">
        <v>1057</v>
      </c>
    </row>
    <row r="1421" spans="1:3" ht="15">
      <c r="A1421" s="77" t="s">
        <v>229</v>
      </c>
      <c r="B1421" s="76" t="s">
        <v>388</v>
      </c>
      <c r="C1421" s="80" t="s">
        <v>1057</v>
      </c>
    </row>
    <row r="1422" spans="1:3" ht="15">
      <c r="A1422" s="77" t="s">
        <v>229</v>
      </c>
      <c r="B1422" s="76" t="s">
        <v>389</v>
      </c>
      <c r="C1422" s="80" t="s">
        <v>1057</v>
      </c>
    </row>
    <row r="1423" spans="1:3" ht="15">
      <c r="A1423" s="77" t="s">
        <v>229</v>
      </c>
      <c r="B1423" s="76" t="s">
        <v>390</v>
      </c>
      <c r="C1423" s="80" t="s">
        <v>1057</v>
      </c>
    </row>
    <row r="1424" spans="1:3" ht="15">
      <c r="A1424" s="77" t="s">
        <v>229</v>
      </c>
      <c r="B1424" s="76" t="s">
        <v>391</v>
      </c>
      <c r="C1424" s="80" t="s">
        <v>1057</v>
      </c>
    </row>
    <row r="1425" spans="1:3" ht="15">
      <c r="A1425" s="77" t="s">
        <v>229</v>
      </c>
      <c r="B1425" s="76" t="s">
        <v>392</v>
      </c>
      <c r="C1425" s="80" t="s">
        <v>1057</v>
      </c>
    </row>
    <row r="1426" spans="1:3" ht="15">
      <c r="A1426" s="77" t="s">
        <v>229</v>
      </c>
      <c r="B1426" s="76" t="s">
        <v>393</v>
      </c>
      <c r="C1426" s="80" t="s">
        <v>1057</v>
      </c>
    </row>
    <row r="1427" spans="1:3" ht="15">
      <c r="A1427" s="77" t="s">
        <v>229</v>
      </c>
      <c r="B1427" s="76" t="s">
        <v>228</v>
      </c>
      <c r="C1427" s="80" t="s">
        <v>1057</v>
      </c>
    </row>
    <row r="1428" spans="1:3" ht="15">
      <c r="A1428" s="77" t="s">
        <v>229</v>
      </c>
      <c r="B1428" s="76" t="s">
        <v>3767</v>
      </c>
      <c r="C1428" s="80" t="s">
        <v>1057</v>
      </c>
    </row>
    <row r="1429" spans="1:3" ht="15">
      <c r="A1429" s="77" t="s">
        <v>229</v>
      </c>
      <c r="B1429" s="76" t="s">
        <v>3768</v>
      </c>
      <c r="C1429" s="80" t="s">
        <v>1057</v>
      </c>
    </row>
    <row r="1430" spans="1:3" ht="15">
      <c r="A1430" s="77" t="s">
        <v>244</v>
      </c>
      <c r="B1430" s="76" t="s">
        <v>3769</v>
      </c>
      <c r="C1430" s="80" t="s">
        <v>1105</v>
      </c>
    </row>
    <row r="1431" spans="1:3" ht="15">
      <c r="A1431" s="77" t="s">
        <v>244</v>
      </c>
      <c r="B1431" s="76" t="s">
        <v>3770</v>
      </c>
      <c r="C1431" s="80" t="s">
        <v>1105</v>
      </c>
    </row>
    <row r="1432" spans="1:3" ht="15">
      <c r="A1432" s="77" t="s">
        <v>244</v>
      </c>
      <c r="B1432" s="76" t="s">
        <v>3094</v>
      </c>
      <c r="C1432" s="80" t="s">
        <v>1105</v>
      </c>
    </row>
    <row r="1433" spans="1:3" ht="15">
      <c r="A1433" s="77" t="s">
        <v>244</v>
      </c>
      <c r="B1433" s="76" t="s">
        <v>3771</v>
      </c>
      <c r="C1433" s="80" t="s">
        <v>1105</v>
      </c>
    </row>
    <row r="1434" spans="1:3" ht="15">
      <c r="A1434" s="77" t="s">
        <v>244</v>
      </c>
      <c r="B1434" s="76" t="s">
        <v>3055</v>
      </c>
      <c r="C1434" s="80" t="s">
        <v>1105</v>
      </c>
    </row>
    <row r="1435" spans="1:3" ht="15">
      <c r="A1435" s="77" t="s">
        <v>244</v>
      </c>
      <c r="B1435" s="76" t="s">
        <v>228</v>
      </c>
      <c r="C1435" s="80" t="s">
        <v>1105</v>
      </c>
    </row>
    <row r="1436" spans="1:3" ht="15">
      <c r="A1436" s="77" t="s">
        <v>244</v>
      </c>
      <c r="B1436" s="76" t="s">
        <v>3142</v>
      </c>
      <c r="C1436" s="80" t="s">
        <v>1105</v>
      </c>
    </row>
    <row r="1437" spans="1:3" ht="15">
      <c r="A1437" s="77" t="s">
        <v>244</v>
      </c>
      <c r="B1437" s="76" t="s">
        <v>3106</v>
      </c>
      <c r="C1437" s="80" t="s">
        <v>1105</v>
      </c>
    </row>
    <row r="1438" spans="1:3" ht="15">
      <c r="A1438" s="77" t="s">
        <v>244</v>
      </c>
      <c r="B1438" s="76" t="s">
        <v>3772</v>
      </c>
      <c r="C1438" s="80" t="s">
        <v>1105</v>
      </c>
    </row>
    <row r="1439" spans="1:3" ht="15">
      <c r="A1439" s="77" t="s">
        <v>244</v>
      </c>
      <c r="B1439" s="76" t="s">
        <v>3773</v>
      </c>
      <c r="C1439" s="80" t="s">
        <v>1105</v>
      </c>
    </row>
    <row r="1440" spans="1:3" ht="15">
      <c r="A1440" s="77" t="s">
        <v>244</v>
      </c>
      <c r="B1440" s="76" t="s">
        <v>3774</v>
      </c>
      <c r="C1440" s="80" t="s">
        <v>1105</v>
      </c>
    </row>
    <row r="1441" spans="1:3" ht="15">
      <c r="A1441" s="77" t="s">
        <v>229</v>
      </c>
      <c r="B1441" s="76" t="s">
        <v>471</v>
      </c>
      <c r="C1441" s="80" t="s">
        <v>1078</v>
      </c>
    </row>
    <row r="1442" spans="1:3" ht="15">
      <c r="A1442" s="77" t="s">
        <v>229</v>
      </c>
      <c r="B1442" s="76" t="s">
        <v>3775</v>
      </c>
      <c r="C1442" s="80" t="s">
        <v>1078</v>
      </c>
    </row>
    <row r="1443" spans="1:3" ht="15">
      <c r="A1443" s="77" t="s">
        <v>229</v>
      </c>
      <c r="B1443" s="76" t="s">
        <v>3776</v>
      </c>
      <c r="C1443" s="80" t="s">
        <v>1078</v>
      </c>
    </row>
    <row r="1444" spans="1:3" ht="15">
      <c r="A1444" s="77" t="s">
        <v>229</v>
      </c>
      <c r="B1444" s="76" t="s">
        <v>3777</v>
      </c>
      <c r="C1444" s="80" t="s">
        <v>1078</v>
      </c>
    </row>
    <row r="1445" spans="1:3" ht="15">
      <c r="A1445" s="77" t="s">
        <v>229</v>
      </c>
      <c r="B1445" s="76" t="s">
        <v>3778</v>
      </c>
      <c r="C1445" s="80" t="s">
        <v>1078</v>
      </c>
    </row>
    <row r="1446" spans="1:3" ht="15">
      <c r="A1446" s="77" t="s">
        <v>229</v>
      </c>
      <c r="B1446" s="76" t="s">
        <v>3779</v>
      </c>
      <c r="C1446" s="80" t="s">
        <v>1078</v>
      </c>
    </row>
    <row r="1447" spans="1:3" ht="15">
      <c r="A1447" s="77" t="s">
        <v>229</v>
      </c>
      <c r="B1447" s="76" t="s">
        <v>3207</v>
      </c>
      <c r="C1447" s="80" t="s">
        <v>1078</v>
      </c>
    </row>
    <row r="1448" spans="1:3" ht="15">
      <c r="A1448" s="77" t="s">
        <v>229</v>
      </c>
      <c r="B1448" s="76" t="s">
        <v>3780</v>
      </c>
      <c r="C1448" s="80" t="s">
        <v>1078</v>
      </c>
    </row>
    <row r="1449" spans="1:3" ht="15">
      <c r="A1449" s="77" t="s">
        <v>229</v>
      </c>
      <c r="B1449" s="76" t="s">
        <v>3572</v>
      </c>
      <c r="C1449" s="80" t="s">
        <v>1078</v>
      </c>
    </row>
    <row r="1450" spans="1:3" ht="15">
      <c r="A1450" s="77" t="s">
        <v>229</v>
      </c>
      <c r="B1450" s="76" t="s">
        <v>3781</v>
      </c>
      <c r="C1450" s="80" t="s">
        <v>1078</v>
      </c>
    </row>
    <row r="1451" spans="1:3" ht="15">
      <c r="A1451" s="77" t="s">
        <v>229</v>
      </c>
      <c r="B1451" s="76" t="s">
        <v>3782</v>
      </c>
      <c r="C1451" s="80" t="s">
        <v>1078</v>
      </c>
    </row>
    <row r="1452" spans="1:3" ht="15">
      <c r="A1452" s="77" t="s">
        <v>229</v>
      </c>
      <c r="B1452" s="76" t="s">
        <v>3783</v>
      </c>
      <c r="C1452" s="80" t="s">
        <v>1078</v>
      </c>
    </row>
    <row r="1453" spans="1:3" ht="15">
      <c r="A1453" s="77" t="s">
        <v>229</v>
      </c>
      <c r="B1453" s="76" t="s">
        <v>238</v>
      </c>
      <c r="C1453" s="80" t="s">
        <v>1078</v>
      </c>
    </row>
    <row r="1454" spans="1:3" ht="15">
      <c r="A1454" s="77" t="s">
        <v>229</v>
      </c>
      <c r="B1454" s="76" t="s">
        <v>228</v>
      </c>
      <c r="C1454" s="80" t="s">
        <v>1078</v>
      </c>
    </row>
    <row r="1455" spans="1:3" ht="15">
      <c r="A1455" s="77" t="s">
        <v>229</v>
      </c>
      <c r="B1455" s="76" t="s">
        <v>3784</v>
      </c>
      <c r="C1455" s="80" t="s">
        <v>1078</v>
      </c>
    </row>
    <row r="1456" spans="1:3" ht="15">
      <c r="A1456" s="77" t="s">
        <v>229</v>
      </c>
      <c r="B1456" s="76" t="s">
        <v>3785</v>
      </c>
      <c r="C1456" s="80" t="s">
        <v>1078</v>
      </c>
    </row>
    <row r="1457" spans="1:3" ht="15">
      <c r="A1457" s="77" t="s">
        <v>229</v>
      </c>
      <c r="B1457" s="76" t="s">
        <v>3786</v>
      </c>
      <c r="C1457" s="80" t="s">
        <v>1078</v>
      </c>
    </row>
    <row r="1458" spans="1:3" ht="15">
      <c r="A1458" s="77" t="s">
        <v>229</v>
      </c>
      <c r="B1458" s="76" t="s">
        <v>229</v>
      </c>
      <c r="C1458" s="80" t="s">
        <v>1078</v>
      </c>
    </row>
    <row r="1459" spans="1:3" ht="15">
      <c r="A1459" s="77" t="s">
        <v>229</v>
      </c>
      <c r="B1459" s="76" t="s">
        <v>3196</v>
      </c>
      <c r="C1459" s="80" t="s">
        <v>1078</v>
      </c>
    </row>
    <row r="1460" spans="1:3" ht="15">
      <c r="A1460" s="77" t="s">
        <v>229</v>
      </c>
      <c r="B1460" s="76" t="s">
        <v>3787</v>
      </c>
      <c r="C1460" s="80" t="s">
        <v>1078</v>
      </c>
    </row>
    <row r="1461" spans="1:3" ht="15">
      <c r="A1461" s="77" t="s">
        <v>229</v>
      </c>
      <c r="B1461" s="76" t="s">
        <v>3788</v>
      </c>
      <c r="C1461" s="80" t="s">
        <v>1078</v>
      </c>
    </row>
    <row r="1462" spans="1:3" ht="15">
      <c r="A1462" s="77" t="s">
        <v>229</v>
      </c>
      <c r="B1462" s="76" t="s">
        <v>3789</v>
      </c>
      <c r="C1462" s="80" t="s">
        <v>1078</v>
      </c>
    </row>
    <row r="1463" spans="1:3" ht="15">
      <c r="A1463" s="77" t="s">
        <v>229</v>
      </c>
      <c r="B1463" s="76" t="s">
        <v>3790</v>
      </c>
      <c r="C1463" s="80" t="s">
        <v>1078</v>
      </c>
    </row>
    <row r="1464" spans="1:3" ht="15">
      <c r="A1464" s="77" t="s">
        <v>229</v>
      </c>
      <c r="B1464" s="76" t="s">
        <v>3791</v>
      </c>
      <c r="C1464" s="80" t="s">
        <v>1078</v>
      </c>
    </row>
    <row r="1465" spans="1:3" ht="15">
      <c r="A1465" s="77" t="s">
        <v>229</v>
      </c>
      <c r="B1465" s="76" t="s">
        <v>3792</v>
      </c>
      <c r="C1465" s="80" t="s">
        <v>1078</v>
      </c>
    </row>
    <row r="1466" spans="1:3" ht="15">
      <c r="A1466" s="77" t="s">
        <v>229</v>
      </c>
      <c r="B1466" s="76" t="s">
        <v>3793</v>
      </c>
      <c r="C1466" s="80" t="s">
        <v>1078</v>
      </c>
    </row>
    <row r="1467" spans="1:3" ht="15">
      <c r="A1467" s="77" t="s">
        <v>229</v>
      </c>
      <c r="B1467" s="76" t="s">
        <v>3794</v>
      </c>
      <c r="C1467" s="80" t="s">
        <v>1078</v>
      </c>
    </row>
    <row r="1468" spans="1:3" ht="15">
      <c r="A1468" s="77" t="s">
        <v>229</v>
      </c>
      <c r="B1468" s="76" t="s">
        <v>3795</v>
      </c>
      <c r="C1468" s="80" t="s">
        <v>1078</v>
      </c>
    </row>
    <row r="1469" spans="1:3" ht="15">
      <c r="A1469" s="77" t="s">
        <v>229</v>
      </c>
      <c r="B1469" s="76" t="s">
        <v>3796</v>
      </c>
      <c r="C1469" s="80" t="s">
        <v>1078</v>
      </c>
    </row>
    <row r="1470" spans="1:3" ht="15">
      <c r="A1470" s="77" t="s">
        <v>229</v>
      </c>
      <c r="B1470" s="76" t="s">
        <v>3797</v>
      </c>
      <c r="C1470" s="80" t="s">
        <v>1078</v>
      </c>
    </row>
    <row r="1471" spans="1:3" ht="15">
      <c r="A1471" s="77" t="s">
        <v>229</v>
      </c>
      <c r="B1471" s="76" t="s">
        <v>3798</v>
      </c>
      <c r="C1471" s="80" t="s">
        <v>1078</v>
      </c>
    </row>
    <row r="1472" spans="1:3" ht="15">
      <c r="A1472" s="77" t="s">
        <v>229</v>
      </c>
      <c r="B1472" s="76" t="s">
        <v>253</v>
      </c>
      <c r="C1472" s="80" t="s">
        <v>1078</v>
      </c>
    </row>
    <row r="1473" spans="1:3" ht="15">
      <c r="A1473" s="77" t="s">
        <v>227</v>
      </c>
      <c r="B1473" s="76" t="s">
        <v>280</v>
      </c>
      <c r="C1473" s="80" t="s">
        <v>1033</v>
      </c>
    </row>
    <row r="1474" spans="1:3" ht="15">
      <c r="A1474" s="77" t="s">
        <v>227</v>
      </c>
      <c r="B1474" s="76" t="s">
        <v>3799</v>
      </c>
      <c r="C1474" s="80" t="s">
        <v>1033</v>
      </c>
    </row>
    <row r="1475" spans="1:3" ht="15">
      <c r="A1475" s="77" t="s">
        <v>227</v>
      </c>
      <c r="B1475" s="76" t="s">
        <v>3800</v>
      </c>
      <c r="C1475" s="80" t="s">
        <v>1033</v>
      </c>
    </row>
    <row r="1476" spans="1:3" ht="15">
      <c r="A1476" s="77" t="s">
        <v>227</v>
      </c>
      <c r="B1476" s="76" t="s">
        <v>3801</v>
      </c>
      <c r="C1476" s="80" t="s">
        <v>1033</v>
      </c>
    </row>
    <row r="1477" spans="1:3" ht="15">
      <c r="A1477" s="77" t="s">
        <v>227</v>
      </c>
      <c r="B1477" s="76" t="s">
        <v>3802</v>
      </c>
      <c r="C1477" s="80" t="s">
        <v>1033</v>
      </c>
    </row>
    <row r="1478" spans="1:3" ht="15">
      <c r="A1478" s="77" t="s">
        <v>227</v>
      </c>
      <c r="B1478" s="76" t="s">
        <v>3107</v>
      </c>
      <c r="C1478" s="80" t="s">
        <v>1033</v>
      </c>
    </row>
    <row r="1479" spans="1:3" ht="15">
      <c r="A1479" s="77" t="s">
        <v>227</v>
      </c>
      <c r="B1479" s="76" t="s">
        <v>281</v>
      </c>
      <c r="C1479" s="80" t="s">
        <v>1033</v>
      </c>
    </row>
    <row r="1480" spans="1:3" ht="15">
      <c r="A1480" s="77" t="s">
        <v>227</v>
      </c>
      <c r="B1480" s="76" t="s">
        <v>282</v>
      </c>
      <c r="C1480" s="80" t="s">
        <v>1033</v>
      </c>
    </row>
    <row r="1481" spans="1:3" ht="15">
      <c r="A1481" s="77" t="s">
        <v>227</v>
      </c>
      <c r="B1481" s="76" t="s">
        <v>283</v>
      </c>
      <c r="C1481" s="80" t="s">
        <v>1033</v>
      </c>
    </row>
    <row r="1482" spans="1:3" ht="15">
      <c r="A1482" s="77" t="s">
        <v>227</v>
      </c>
      <c r="B1482" s="76" t="s">
        <v>284</v>
      </c>
      <c r="C1482" s="80" t="s">
        <v>1033</v>
      </c>
    </row>
    <row r="1483" spans="1:3" ht="15">
      <c r="A1483" s="77" t="s">
        <v>227</v>
      </c>
      <c r="B1483" s="76" t="s">
        <v>285</v>
      </c>
      <c r="C1483" s="80" t="s">
        <v>1033</v>
      </c>
    </row>
    <row r="1484" spans="1:3" ht="15">
      <c r="A1484" s="77" t="s">
        <v>227</v>
      </c>
      <c r="B1484" s="76" t="s">
        <v>286</v>
      </c>
      <c r="C1484" s="80" t="s">
        <v>1033</v>
      </c>
    </row>
    <row r="1485" spans="1:3" ht="15">
      <c r="A1485" s="77" t="s">
        <v>227</v>
      </c>
      <c r="B1485" s="76" t="s">
        <v>287</v>
      </c>
      <c r="C1485" s="80" t="s">
        <v>1033</v>
      </c>
    </row>
    <row r="1486" spans="1:3" ht="15">
      <c r="A1486" s="77" t="s">
        <v>227</v>
      </c>
      <c r="B1486" s="76" t="s">
        <v>288</v>
      </c>
      <c r="C1486" s="80" t="s">
        <v>1033</v>
      </c>
    </row>
    <row r="1487" spans="1:3" ht="15">
      <c r="A1487" s="77" t="s">
        <v>227</v>
      </c>
      <c r="B1487" s="76" t="s">
        <v>289</v>
      </c>
      <c r="C1487" s="80" t="s">
        <v>1033</v>
      </c>
    </row>
    <row r="1488" spans="1:3" ht="15">
      <c r="A1488" s="77" t="s">
        <v>227</v>
      </c>
      <c r="B1488" s="76" t="s">
        <v>290</v>
      </c>
      <c r="C1488" s="80" t="s">
        <v>1033</v>
      </c>
    </row>
    <row r="1489" spans="1:3" ht="15">
      <c r="A1489" s="77" t="s">
        <v>227</v>
      </c>
      <c r="B1489" s="76" t="s">
        <v>291</v>
      </c>
      <c r="C1489" s="80" t="s">
        <v>1033</v>
      </c>
    </row>
    <row r="1490" spans="1:3" ht="15">
      <c r="A1490" s="77" t="s">
        <v>227</v>
      </c>
      <c r="B1490" s="76" t="s">
        <v>292</v>
      </c>
      <c r="C1490" s="80" t="s">
        <v>1033</v>
      </c>
    </row>
    <row r="1491" spans="1:3" ht="15">
      <c r="A1491" s="77" t="s">
        <v>227</v>
      </c>
      <c r="B1491" s="76" t="s">
        <v>293</v>
      </c>
      <c r="C1491" s="80" t="s">
        <v>1033</v>
      </c>
    </row>
    <row r="1492" spans="1:3" ht="15">
      <c r="A1492" s="77" t="s">
        <v>227</v>
      </c>
      <c r="B1492" s="76" t="s">
        <v>294</v>
      </c>
      <c r="C1492" s="80" t="s">
        <v>1033</v>
      </c>
    </row>
    <row r="1493" spans="1:3" ht="15">
      <c r="A1493" s="77" t="s">
        <v>227</v>
      </c>
      <c r="B1493" s="76" t="s">
        <v>3067</v>
      </c>
      <c r="C1493" s="80" t="s">
        <v>1033</v>
      </c>
    </row>
    <row r="1494" spans="1:3" ht="15">
      <c r="A1494" s="77" t="s">
        <v>227</v>
      </c>
      <c r="B1494" s="76" t="s">
        <v>295</v>
      </c>
      <c r="C1494" s="80" t="s">
        <v>1033</v>
      </c>
    </row>
    <row r="1495" spans="1:3" ht="15">
      <c r="A1495" s="77" t="s">
        <v>227</v>
      </c>
      <c r="B1495" s="76" t="s">
        <v>296</v>
      </c>
      <c r="C1495" s="80" t="s">
        <v>1033</v>
      </c>
    </row>
    <row r="1496" spans="1:3" ht="15">
      <c r="A1496" s="77" t="s">
        <v>227</v>
      </c>
      <c r="B1496" s="76" t="s">
        <v>297</v>
      </c>
      <c r="C1496" s="80" t="s">
        <v>1033</v>
      </c>
    </row>
    <row r="1497" spans="1:3" ht="15">
      <c r="A1497" s="77" t="s">
        <v>227</v>
      </c>
      <c r="B1497" s="76" t="s">
        <v>298</v>
      </c>
      <c r="C1497" s="80" t="s">
        <v>1033</v>
      </c>
    </row>
    <row r="1498" spans="1:3" ht="15">
      <c r="A1498" s="77" t="s">
        <v>227</v>
      </c>
      <c r="B1498" s="76" t="s">
        <v>299</v>
      </c>
      <c r="C1498" s="80" t="s">
        <v>1033</v>
      </c>
    </row>
    <row r="1499" spans="1:3" ht="15">
      <c r="A1499" s="77" t="s">
        <v>227</v>
      </c>
      <c r="B1499" s="76" t="s">
        <v>228</v>
      </c>
      <c r="C1499" s="80" t="s">
        <v>1033</v>
      </c>
    </row>
    <row r="1500" spans="1:3" ht="15">
      <c r="A1500" s="77" t="s">
        <v>227</v>
      </c>
      <c r="B1500" s="76" t="s">
        <v>300</v>
      </c>
      <c r="C1500" s="80" t="s">
        <v>1033</v>
      </c>
    </row>
    <row r="1501" spans="1:3" ht="15">
      <c r="A1501" s="77" t="s">
        <v>227</v>
      </c>
      <c r="B1501" s="76" t="s">
        <v>301</v>
      </c>
      <c r="C1501" s="80" t="s">
        <v>1033</v>
      </c>
    </row>
    <row r="1502" spans="1:3" ht="15">
      <c r="A1502" s="77" t="s">
        <v>227</v>
      </c>
      <c r="B1502" s="76" t="s">
        <v>255</v>
      </c>
      <c r="C1502" s="80" t="s">
        <v>1033</v>
      </c>
    </row>
    <row r="1503" spans="1:3" ht="15">
      <c r="A1503" s="77" t="s">
        <v>227</v>
      </c>
      <c r="B1503" s="76" t="s">
        <v>302</v>
      </c>
      <c r="C1503" s="80" t="s">
        <v>1033</v>
      </c>
    </row>
    <row r="1504" spans="1:3" ht="15">
      <c r="A1504" s="77" t="s">
        <v>231</v>
      </c>
      <c r="B1504" s="76" t="s">
        <v>3803</v>
      </c>
      <c r="C1504" s="80" t="s">
        <v>1061</v>
      </c>
    </row>
    <row r="1505" spans="1:3" ht="15">
      <c r="A1505" s="77" t="s">
        <v>231</v>
      </c>
      <c r="B1505" s="76" t="s">
        <v>3804</v>
      </c>
      <c r="C1505" s="80" t="s">
        <v>1061</v>
      </c>
    </row>
    <row r="1506" spans="1:3" ht="15">
      <c r="A1506" s="77" t="s">
        <v>231</v>
      </c>
      <c r="B1506" s="76" t="s">
        <v>3805</v>
      </c>
      <c r="C1506" s="80" t="s">
        <v>1061</v>
      </c>
    </row>
    <row r="1507" spans="1:3" ht="15">
      <c r="A1507" s="77" t="s">
        <v>231</v>
      </c>
      <c r="B1507" s="76" t="s">
        <v>3806</v>
      </c>
      <c r="C1507" s="80" t="s">
        <v>1061</v>
      </c>
    </row>
    <row r="1508" spans="1:3" ht="15">
      <c r="A1508" s="77" t="s">
        <v>231</v>
      </c>
      <c r="B1508" s="76" t="s">
        <v>3807</v>
      </c>
      <c r="C1508" s="80" t="s">
        <v>1061</v>
      </c>
    </row>
    <row r="1509" spans="1:3" ht="15">
      <c r="A1509" s="77" t="s">
        <v>231</v>
      </c>
      <c r="B1509" s="76" t="s">
        <v>3199</v>
      </c>
      <c r="C1509" s="80" t="s">
        <v>1061</v>
      </c>
    </row>
    <row r="1510" spans="1:3" ht="15">
      <c r="A1510" s="77" t="s">
        <v>231</v>
      </c>
      <c r="B1510" s="76" t="s">
        <v>3808</v>
      </c>
      <c r="C1510" s="80" t="s">
        <v>1061</v>
      </c>
    </row>
    <row r="1511" spans="1:3" ht="15">
      <c r="A1511" s="77" t="s">
        <v>231</v>
      </c>
      <c r="B1511" s="76" t="s">
        <v>3809</v>
      </c>
      <c r="C1511" s="80" t="s">
        <v>1061</v>
      </c>
    </row>
    <row r="1512" spans="1:3" ht="15">
      <c r="A1512" s="77" t="s">
        <v>231</v>
      </c>
      <c r="B1512" s="76" t="s">
        <v>3810</v>
      </c>
      <c r="C1512" s="80" t="s">
        <v>1061</v>
      </c>
    </row>
    <row r="1513" spans="1:3" ht="15">
      <c r="A1513" s="77" t="s">
        <v>231</v>
      </c>
      <c r="B1513" s="76" t="s">
        <v>228</v>
      </c>
      <c r="C1513" s="80" t="s">
        <v>1061</v>
      </c>
    </row>
    <row r="1514" spans="1:3" ht="15">
      <c r="A1514" s="77" t="s">
        <v>231</v>
      </c>
      <c r="B1514" s="76" t="s">
        <v>3811</v>
      </c>
      <c r="C1514" s="80" t="s">
        <v>1061</v>
      </c>
    </row>
    <row r="1515" spans="1:3" ht="15">
      <c r="A1515" s="77" t="s">
        <v>231</v>
      </c>
      <c r="B1515" s="76" t="s">
        <v>3812</v>
      </c>
      <c r="C1515" s="80" t="s">
        <v>1061</v>
      </c>
    </row>
    <row r="1516" spans="1:3" ht="15">
      <c r="A1516" s="77" t="s">
        <v>231</v>
      </c>
      <c r="B1516" s="76" t="s">
        <v>3172</v>
      </c>
      <c r="C1516" s="80" t="s">
        <v>1061</v>
      </c>
    </row>
    <row r="1517" spans="1:3" ht="15">
      <c r="A1517" s="77" t="s">
        <v>231</v>
      </c>
      <c r="B1517" s="76" t="s">
        <v>3133</v>
      </c>
      <c r="C1517" s="80" t="s">
        <v>1061</v>
      </c>
    </row>
    <row r="1518" spans="1:3" ht="15">
      <c r="A1518" s="77" t="s">
        <v>231</v>
      </c>
      <c r="B1518" s="76" t="s">
        <v>3813</v>
      </c>
      <c r="C1518" s="80" t="s">
        <v>1061</v>
      </c>
    </row>
    <row r="1519" spans="1:3" ht="15">
      <c r="A1519" s="77" t="s">
        <v>231</v>
      </c>
      <c r="B1519" s="76" t="s">
        <v>3632</v>
      </c>
      <c r="C1519" s="80" t="s">
        <v>1061</v>
      </c>
    </row>
    <row r="1520" spans="1:3" ht="15">
      <c r="A1520" s="77" t="s">
        <v>231</v>
      </c>
      <c r="B1520" s="76" t="s">
        <v>3814</v>
      </c>
      <c r="C1520" s="80" t="s">
        <v>1061</v>
      </c>
    </row>
    <row r="1521" spans="1:3" ht="15">
      <c r="A1521" s="77" t="s">
        <v>231</v>
      </c>
      <c r="B1521" s="76" t="s">
        <v>3815</v>
      </c>
      <c r="C1521" s="80" t="s">
        <v>1061</v>
      </c>
    </row>
    <row r="1522" spans="1:3" ht="15">
      <c r="A1522" s="77" t="s">
        <v>231</v>
      </c>
      <c r="B1522" s="76" t="s">
        <v>3088</v>
      </c>
      <c r="C1522" s="80" t="s">
        <v>1061</v>
      </c>
    </row>
    <row r="1523" spans="1:3" ht="15">
      <c r="A1523" s="77" t="s">
        <v>231</v>
      </c>
      <c r="B1523" s="76" t="s">
        <v>3816</v>
      </c>
      <c r="C1523" s="80" t="s">
        <v>1061</v>
      </c>
    </row>
    <row r="1524" spans="1:3" ht="15">
      <c r="A1524" s="77" t="s">
        <v>231</v>
      </c>
      <c r="B1524" s="76" t="s">
        <v>3817</v>
      </c>
      <c r="C1524" s="80" t="s">
        <v>1061</v>
      </c>
    </row>
    <row r="1525" spans="1:3" ht="15">
      <c r="A1525" s="77" t="s">
        <v>231</v>
      </c>
      <c r="B1525" s="76" t="s">
        <v>3187</v>
      </c>
      <c r="C1525" s="80" t="s">
        <v>1061</v>
      </c>
    </row>
    <row r="1526" spans="1:3" ht="15">
      <c r="A1526" s="77" t="s">
        <v>251</v>
      </c>
      <c r="B1526" s="76" t="s">
        <v>3818</v>
      </c>
      <c r="C1526" s="80" t="s">
        <v>1114</v>
      </c>
    </row>
    <row r="1527" spans="1:3" ht="15">
      <c r="A1527" s="77" t="s">
        <v>251</v>
      </c>
      <c r="B1527" s="76" t="s">
        <v>3819</v>
      </c>
      <c r="C1527" s="80" t="s">
        <v>1114</v>
      </c>
    </row>
    <row r="1528" spans="1:3" ht="15">
      <c r="A1528" s="77" t="s">
        <v>251</v>
      </c>
      <c r="B1528" s="76" t="s">
        <v>228</v>
      </c>
      <c r="C1528" s="80" t="s">
        <v>1114</v>
      </c>
    </row>
    <row r="1529" spans="1:3" ht="15">
      <c r="A1529" s="77" t="s">
        <v>251</v>
      </c>
      <c r="B1529" s="76" t="s">
        <v>3820</v>
      </c>
      <c r="C1529" s="80" t="s">
        <v>1114</v>
      </c>
    </row>
    <row r="1530" spans="1:3" ht="15">
      <c r="A1530" s="77" t="s">
        <v>251</v>
      </c>
      <c r="B1530" s="76" t="s">
        <v>3821</v>
      </c>
      <c r="C1530" s="80" t="s">
        <v>1114</v>
      </c>
    </row>
    <row r="1531" spans="1:3" ht="15">
      <c r="A1531" s="77" t="s">
        <v>251</v>
      </c>
      <c r="B1531" s="76" t="s">
        <v>3822</v>
      </c>
      <c r="C1531" s="80" t="s">
        <v>1114</v>
      </c>
    </row>
    <row r="1532" spans="1:3" ht="15">
      <c r="A1532" s="77" t="s">
        <v>251</v>
      </c>
      <c r="B1532" s="76" t="s">
        <v>3153</v>
      </c>
      <c r="C1532" s="80" t="s">
        <v>1114</v>
      </c>
    </row>
    <row r="1533" spans="1:3" ht="15">
      <c r="A1533" s="77" t="s">
        <v>251</v>
      </c>
      <c r="B1533" s="76" t="s">
        <v>522</v>
      </c>
      <c r="C1533" s="80" t="s">
        <v>1114</v>
      </c>
    </row>
    <row r="1534" spans="1:3" ht="15">
      <c r="A1534" s="77" t="s">
        <v>251</v>
      </c>
      <c r="B1534" s="76" t="s">
        <v>523</v>
      </c>
      <c r="C1534" s="80" t="s">
        <v>1114</v>
      </c>
    </row>
    <row r="1535" spans="1:3" ht="15">
      <c r="A1535" s="77" t="s">
        <v>251</v>
      </c>
      <c r="B1535" s="76" t="s">
        <v>524</v>
      </c>
      <c r="C1535" s="80" t="s">
        <v>1114</v>
      </c>
    </row>
    <row r="1536" spans="1:3" ht="15">
      <c r="A1536" s="77" t="s">
        <v>251</v>
      </c>
      <c r="B1536" s="76" t="s">
        <v>525</v>
      </c>
      <c r="C1536" s="80" t="s">
        <v>1114</v>
      </c>
    </row>
    <row r="1537" spans="1:3" ht="15">
      <c r="A1537" s="77" t="s">
        <v>256</v>
      </c>
      <c r="B1537" s="76" t="s">
        <v>3823</v>
      </c>
      <c r="C1537" s="80" t="s">
        <v>1127</v>
      </c>
    </row>
    <row r="1538" spans="1:3" ht="15">
      <c r="A1538" s="77" t="s">
        <v>256</v>
      </c>
      <c r="B1538" s="76" t="s">
        <v>3824</v>
      </c>
      <c r="C1538" s="80" t="s">
        <v>1127</v>
      </c>
    </row>
    <row r="1539" spans="1:3" ht="15">
      <c r="A1539" s="77" t="s">
        <v>256</v>
      </c>
      <c r="B1539" s="76" t="s">
        <v>3825</v>
      </c>
      <c r="C1539" s="80" t="s">
        <v>1127</v>
      </c>
    </row>
    <row r="1540" spans="1:3" ht="15">
      <c r="A1540" s="77" t="s">
        <v>256</v>
      </c>
      <c r="B1540" s="76" t="s">
        <v>3826</v>
      </c>
      <c r="C1540" s="80" t="s">
        <v>1127</v>
      </c>
    </row>
    <row r="1541" spans="1:3" ht="15">
      <c r="A1541" s="77" t="s">
        <v>256</v>
      </c>
      <c r="B1541" s="76" t="s">
        <v>278</v>
      </c>
      <c r="C1541" s="80" t="s">
        <v>1127</v>
      </c>
    </row>
    <row r="1542" spans="1:3" ht="15">
      <c r="A1542" s="77" t="s">
        <v>256</v>
      </c>
      <c r="B1542" s="76" t="s">
        <v>3076</v>
      </c>
      <c r="C1542" s="80" t="s">
        <v>1127</v>
      </c>
    </row>
    <row r="1543" spans="1:3" ht="15">
      <c r="A1543" s="77" t="s">
        <v>256</v>
      </c>
      <c r="B1543" s="76" t="s">
        <v>3827</v>
      </c>
      <c r="C1543" s="80" t="s">
        <v>1127</v>
      </c>
    </row>
    <row r="1544" spans="1:3" ht="15">
      <c r="A1544" s="77" t="s">
        <v>256</v>
      </c>
      <c r="B1544" s="76" t="s">
        <v>3828</v>
      </c>
      <c r="C1544" s="80" t="s">
        <v>1127</v>
      </c>
    </row>
    <row r="1545" spans="1:3" ht="15">
      <c r="A1545" s="77" t="s">
        <v>256</v>
      </c>
      <c r="B1545" s="76" t="s">
        <v>3829</v>
      </c>
      <c r="C1545" s="80" t="s">
        <v>1127</v>
      </c>
    </row>
    <row r="1546" spans="1:3" ht="15">
      <c r="A1546" s="77" t="s">
        <v>256</v>
      </c>
      <c r="B1546" s="76" t="s">
        <v>3830</v>
      </c>
      <c r="C1546" s="80" t="s">
        <v>1127</v>
      </c>
    </row>
    <row r="1547" spans="1:3" ht="15">
      <c r="A1547" s="77" t="s">
        <v>256</v>
      </c>
      <c r="B1547" s="76" t="s">
        <v>3831</v>
      </c>
      <c r="C1547" s="80" t="s">
        <v>1127</v>
      </c>
    </row>
    <row r="1548" spans="1:3" ht="15">
      <c r="A1548" s="77" t="s">
        <v>256</v>
      </c>
      <c r="B1548" s="76" t="s">
        <v>3832</v>
      </c>
      <c r="C1548" s="80" t="s">
        <v>1127</v>
      </c>
    </row>
    <row r="1549" spans="1:3" ht="15">
      <c r="A1549" s="77" t="s">
        <v>256</v>
      </c>
      <c r="B1549" s="76" t="s">
        <v>3833</v>
      </c>
      <c r="C1549" s="80" t="s">
        <v>1127</v>
      </c>
    </row>
    <row r="1550" spans="1:3" ht="15">
      <c r="A1550" s="77" t="s">
        <v>256</v>
      </c>
      <c r="B1550" s="76" t="s">
        <v>3834</v>
      </c>
      <c r="C1550" s="80" t="s">
        <v>1127</v>
      </c>
    </row>
    <row r="1551" spans="1:3" ht="15">
      <c r="A1551" s="77" t="s">
        <v>256</v>
      </c>
      <c r="B1551" s="76" t="s">
        <v>3835</v>
      </c>
      <c r="C1551" s="80" t="s">
        <v>1127</v>
      </c>
    </row>
    <row r="1552" spans="1:3" ht="15">
      <c r="A1552" s="77" t="s">
        <v>256</v>
      </c>
      <c r="B1552" s="76" t="s">
        <v>3836</v>
      </c>
      <c r="C1552" s="80" t="s">
        <v>1127</v>
      </c>
    </row>
    <row r="1553" spans="1:3" ht="15">
      <c r="A1553" s="77" t="s">
        <v>256</v>
      </c>
      <c r="B1553" s="76" t="s">
        <v>3837</v>
      </c>
      <c r="C1553" s="80" t="s">
        <v>1127</v>
      </c>
    </row>
    <row r="1554" spans="1:3" ht="15">
      <c r="A1554" s="77" t="s">
        <v>256</v>
      </c>
      <c r="B1554" s="76" t="s">
        <v>3213</v>
      </c>
      <c r="C1554" s="80" t="s">
        <v>1127</v>
      </c>
    </row>
    <row r="1555" spans="1:3" ht="15">
      <c r="A1555" s="77" t="s">
        <v>256</v>
      </c>
      <c r="B1555" s="76" t="s">
        <v>3838</v>
      </c>
      <c r="C1555" s="80" t="s">
        <v>1127</v>
      </c>
    </row>
    <row r="1556" spans="1:3" ht="15">
      <c r="A1556" s="77" t="s">
        <v>256</v>
      </c>
      <c r="B1556" s="76" t="s">
        <v>228</v>
      </c>
      <c r="C1556" s="80" t="s">
        <v>1127</v>
      </c>
    </row>
    <row r="1557" spans="1:3" ht="15">
      <c r="A1557" s="77" t="s">
        <v>256</v>
      </c>
      <c r="B1557" s="76" t="s">
        <v>3155</v>
      </c>
      <c r="C1557" s="80" t="s">
        <v>1127</v>
      </c>
    </row>
    <row r="1558" spans="1:3" ht="15">
      <c r="A1558" s="77" t="s">
        <v>256</v>
      </c>
      <c r="B1558" s="76" t="s">
        <v>3146</v>
      </c>
      <c r="C1558" s="80" t="s">
        <v>1127</v>
      </c>
    </row>
    <row r="1559" spans="1:3" ht="15">
      <c r="A1559" s="77" t="s">
        <v>256</v>
      </c>
      <c r="B1559" s="76" t="s">
        <v>3064</v>
      </c>
      <c r="C1559" s="80" t="s">
        <v>1127</v>
      </c>
    </row>
    <row r="1560" spans="1:3" ht="15">
      <c r="A1560" s="77" t="s">
        <v>256</v>
      </c>
      <c r="B1560" s="76" t="s">
        <v>3164</v>
      </c>
      <c r="C1560" s="80" t="s">
        <v>1127</v>
      </c>
    </row>
    <row r="1561" spans="1:3" ht="15">
      <c r="A1561" s="77" t="s">
        <v>256</v>
      </c>
      <c r="B1561" s="76" t="s">
        <v>3072</v>
      </c>
      <c r="C1561" s="80" t="s">
        <v>1127</v>
      </c>
    </row>
    <row r="1562" spans="1:3" ht="15">
      <c r="A1562" s="77" t="s">
        <v>256</v>
      </c>
      <c r="B1562" s="76" t="s">
        <v>3075</v>
      </c>
      <c r="C1562" s="80" t="s">
        <v>1127</v>
      </c>
    </row>
    <row r="1563" spans="1:3" ht="15">
      <c r="A1563" s="77" t="s">
        <v>257</v>
      </c>
      <c r="B1563" s="76" t="s">
        <v>228</v>
      </c>
      <c r="C1563" s="80" t="s">
        <v>1137</v>
      </c>
    </row>
    <row r="1564" spans="1:3" ht="15">
      <c r="A1564" s="77" t="s">
        <v>257</v>
      </c>
      <c r="B1564" s="76" t="s">
        <v>528</v>
      </c>
      <c r="C1564" s="80" t="s">
        <v>1137</v>
      </c>
    </row>
    <row r="1565" spans="1:3" ht="15">
      <c r="A1565" s="77" t="s">
        <v>257</v>
      </c>
      <c r="B1565" s="76" t="s">
        <v>529</v>
      </c>
      <c r="C1565" s="80" t="s">
        <v>1137</v>
      </c>
    </row>
    <row r="1566" spans="1:3" ht="15">
      <c r="A1566" s="77" t="s">
        <v>257</v>
      </c>
      <c r="B1566" s="76" t="s">
        <v>530</v>
      </c>
      <c r="C1566" s="80" t="s">
        <v>1137</v>
      </c>
    </row>
    <row r="1567" spans="1:3" ht="15">
      <c r="A1567" s="77" t="s">
        <v>257</v>
      </c>
      <c r="B1567" s="76" t="s">
        <v>532</v>
      </c>
      <c r="C1567" s="80" t="s">
        <v>1137</v>
      </c>
    </row>
    <row r="1568" spans="1:3" ht="15">
      <c r="A1568" s="77" t="s">
        <v>257</v>
      </c>
      <c r="B1568" s="76" t="s">
        <v>533</v>
      </c>
      <c r="C1568" s="80" t="s">
        <v>1137</v>
      </c>
    </row>
    <row r="1569" spans="1:3" ht="15">
      <c r="A1569" s="77" t="s">
        <v>257</v>
      </c>
      <c r="B1569" s="76" t="s">
        <v>534</v>
      </c>
      <c r="C1569" s="80" t="s">
        <v>1137</v>
      </c>
    </row>
    <row r="1570" spans="1:3" ht="15">
      <c r="A1570" s="77" t="s">
        <v>257</v>
      </c>
      <c r="B1570" s="76" t="s">
        <v>535</v>
      </c>
      <c r="C1570" s="80" t="s">
        <v>1137</v>
      </c>
    </row>
    <row r="1571" spans="1:3" ht="15">
      <c r="A1571" s="77" t="s">
        <v>257</v>
      </c>
      <c r="B1571" s="76" t="s">
        <v>537</v>
      </c>
      <c r="C1571" s="80" t="s">
        <v>1137</v>
      </c>
    </row>
    <row r="1572" spans="1:3" ht="15">
      <c r="A1572" s="77" t="s">
        <v>257</v>
      </c>
      <c r="B1572" s="76" t="s">
        <v>538</v>
      </c>
      <c r="C1572" s="80" t="s">
        <v>1137</v>
      </c>
    </row>
    <row r="1573" spans="1:3" ht="15">
      <c r="A1573" s="77" t="s">
        <v>257</v>
      </c>
      <c r="B1573" s="76" t="s">
        <v>3839</v>
      </c>
      <c r="C1573" s="80" t="s">
        <v>1137</v>
      </c>
    </row>
    <row r="1574" spans="1:3" ht="15">
      <c r="A1574" s="77" t="s">
        <v>257</v>
      </c>
      <c r="B1574" s="76" t="s">
        <v>3840</v>
      </c>
      <c r="C1574" s="80" t="s">
        <v>1137</v>
      </c>
    </row>
    <row r="1575" spans="1:3" ht="15">
      <c r="A1575" s="77" t="s">
        <v>257</v>
      </c>
      <c r="B1575" s="76" t="s">
        <v>3328</v>
      </c>
      <c r="C1575" s="80" t="s">
        <v>1137</v>
      </c>
    </row>
    <row r="1576" spans="1:3" ht="15">
      <c r="A1576" s="77" t="s">
        <v>257</v>
      </c>
      <c r="B1576" s="76" t="s">
        <v>3841</v>
      </c>
      <c r="C1576" s="80" t="s">
        <v>1137</v>
      </c>
    </row>
    <row r="1577" spans="1:3" ht="15">
      <c r="A1577" s="77" t="s">
        <v>257</v>
      </c>
      <c r="B1577" s="76" t="s">
        <v>3172</v>
      </c>
      <c r="C1577" s="80" t="s">
        <v>1137</v>
      </c>
    </row>
    <row r="1578" spans="1:3" ht="15">
      <c r="A1578" s="77" t="s">
        <v>257</v>
      </c>
      <c r="B1578" s="76" t="s">
        <v>724</v>
      </c>
      <c r="C1578" s="80" t="s">
        <v>1137</v>
      </c>
    </row>
    <row r="1579" spans="1:3" ht="15">
      <c r="A1579" s="77" t="s">
        <v>257</v>
      </c>
      <c r="B1579" s="76" t="s">
        <v>3842</v>
      </c>
      <c r="C1579" s="80" t="s">
        <v>1137</v>
      </c>
    </row>
    <row r="1580" spans="1:3" ht="15">
      <c r="A1580" s="77" t="s">
        <v>257</v>
      </c>
      <c r="B1580" s="76" t="s">
        <v>3843</v>
      </c>
      <c r="C1580" s="80" t="s">
        <v>1137</v>
      </c>
    </row>
    <row r="1581" spans="1:3" ht="15">
      <c r="A1581" s="77" t="s">
        <v>257</v>
      </c>
      <c r="B1581" s="76" t="s">
        <v>3844</v>
      </c>
      <c r="C1581" s="80" t="s">
        <v>1137</v>
      </c>
    </row>
    <row r="1582" spans="1:3" ht="15">
      <c r="A1582" s="77" t="s">
        <v>232</v>
      </c>
      <c r="B1582" s="76" t="s">
        <v>3104</v>
      </c>
      <c r="C1582" s="80" t="s">
        <v>1062</v>
      </c>
    </row>
    <row r="1583" spans="1:3" ht="15">
      <c r="A1583" s="77" t="s">
        <v>232</v>
      </c>
      <c r="B1583" s="76" t="s">
        <v>3073</v>
      </c>
      <c r="C1583" s="80" t="s">
        <v>1062</v>
      </c>
    </row>
    <row r="1584" spans="1:3" ht="15">
      <c r="A1584" s="77" t="s">
        <v>232</v>
      </c>
      <c r="B1584" s="76" t="s">
        <v>228</v>
      </c>
      <c r="C1584" s="80" t="s">
        <v>1062</v>
      </c>
    </row>
    <row r="1585" spans="1:3" ht="15">
      <c r="A1585" s="77" t="s">
        <v>232</v>
      </c>
      <c r="B1585" s="76" t="s">
        <v>3075</v>
      </c>
      <c r="C1585" s="80" t="s">
        <v>1062</v>
      </c>
    </row>
    <row r="1586" spans="1:3" ht="15">
      <c r="A1586" s="77" t="s">
        <v>238</v>
      </c>
      <c r="B1586" s="76" t="s">
        <v>3291</v>
      </c>
      <c r="C1586" s="80" t="s">
        <v>1076</v>
      </c>
    </row>
    <row r="1587" spans="1:3" ht="15">
      <c r="A1587" s="77" t="s">
        <v>238</v>
      </c>
      <c r="B1587" s="76" t="s">
        <v>3845</v>
      </c>
      <c r="C1587" s="80" t="s">
        <v>1076</v>
      </c>
    </row>
    <row r="1588" spans="1:3" ht="15">
      <c r="A1588" s="77" t="s">
        <v>238</v>
      </c>
      <c r="B1588" s="76" t="s">
        <v>3289</v>
      </c>
      <c r="C1588" s="80" t="s">
        <v>1076</v>
      </c>
    </row>
    <row r="1589" spans="1:3" ht="15">
      <c r="A1589" s="77" t="s">
        <v>238</v>
      </c>
      <c r="B1589" s="76" t="s">
        <v>3846</v>
      </c>
      <c r="C1589" s="80" t="s">
        <v>1076</v>
      </c>
    </row>
    <row r="1590" spans="1:3" ht="15">
      <c r="A1590" s="77" t="s">
        <v>238</v>
      </c>
      <c r="B1590" s="76" t="s">
        <v>3290</v>
      </c>
      <c r="C1590" s="80" t="s">
        <v>1076</v>
      </c>
    </row>
    <row r="1591" spans="1:3" ht="15">
      <c r="A1591" s="77" t="s">
        <v>238</v>
      </c>
      <c r="B1591" s="76" t="s">
        <v>3469</v>
      </c>
      <c r="C1591" s="80" t="s">
        <v>1076</v>
      </c>
    </row>
    <row r="1592" spans="1:3" ht="15">
      <c r="A1592" s="77" t="s">
        <v>238</v>
      </c>
      <c r="B1592" s="76" t="s">
        <v>3053</v>
      </c>
      <c r="C1592" s="80" t="s">
        <v>1076</v>
      </c>
    </row>
    <row r="1593" spans="1:3" ht="15">
      <c r="A1593" s="77" t="s">
        <v>238</v>
      </c>
      <c r="B1593" s="76" t="s">
        <v>3052</v>
      </c>
      <c r="C1593" s="80" t="s">
        <v>1076</v>
      </c>
    </row>
    <row r="1594" spans="1:3" ht="15">
      <c r="A1594" s="77" t="s">
        <v>238</v>
      </c>
      <c r="B1594" s="76" t="s">
        <v>463</v>
      </c>
      <c r="C1594" s="80" t="s">
        <v>1076</v>
      </c>
    </row>
    <row r="1595" spans="1:3" ht="15">
      <c r="A1595" s="77" t="s">
        <v>238</v>
      </c>
      <c r="B1595" s="76" t="s">
        <v>464</v>
      </c>
      <c r="C1595" s="80" t="s">
        <v>1076</v>
      </c>
    </row>
    <row r="1596" spans="1:3" ht="15">
      <c r="A1596" s="77" t="s">
        <v>238</v>
      </c>
      <c r="B1596" s="76" t="s">
        <v>465</v>
      </c>
      <c r="C1596" s="80" t="s">
        <v>1076</v>
      </c>
    </row>
    <row r="1597" spans="1:3" ht="15">
      <c r="A1597" s="77" t="s">
        <v>238</v>
      </c>
      <c r="B1597" s="76" t="s">
        <v>466</v>
      </c>
      <c r="C1597" s="80" t="s">
        <v>1076</v>
      </c>
    </row>
    <row r="1598" spans="1:3" ht="15">
      <c r="A1598" s="77" t="s">
        <v>238</v>
      </c>
      <c r="B1598" s="76" t="s">
        <v>467</v>
      </c>
      <c r="C1598" s="80" t="s">
        <v>1076</v>
      </c>
    </row>
    <row r="1599" spans="1:3" ht="15">
      <c r="A1599" s="77" t="s">
        <v>238</v>
      </c>
      <c r="B1599" s="76" t="s">
        <v>468</v>
      </c>
      <c r="C1599" s="80" t="s">
        <v>1076</v>
      </c>
    </row>
    <row r="1600" spans="1:3" ht="15">
      <c r="A1600" s="77" t="s">
        <v>238</v>
      </c>
      <c r="B1600" s="76" t="s">
        <v>259</v>
      </c>
      <c r="C1600" s="80" t="s">
        <v>1076</v>
      </c>
    </row>
    <row r="1601" spans="1:3" ht="15">
      <c r="A1601" s="77" t="s">
        <v>238</v>
      </c>
      <c r="B1601" s="76" t="s">
        <v>469</v>
      </c>
      <c r="C1601" s="80" t="s">
        <v>1076</v>
      </c>
    </row>
    <row r="1602" spans="1:3" ht="15">
      <c r="A1602" s="77" t="s">
        <v>238</v>
      </c>
      <c r="B1602" s="76" t="s">
        <v>470</v>
      </c>
      <c r="C1602" s="80" t="s">
        <v>1076</v>
      </c>
    </row>
    <row r="1603" spans="1:3" ht="15">
      <c r="A1603" s="77" t="s">
        <v>238</v>
      </c>
      <c r="B1603" s="76" t="s">
        <v>235</v>
      </c>
      <c r="C1603" s="80" t="s">
        <v>1076</v>
      </c>
    </row>
    <row r="1604" spans="1:3" ht="15">
      <c r="A1604" s="77" t="s">
        <v>238</v>
      </c>
      <c r="B1604" s="76" t="s">
        <v>228</v>
      </c>
      <c r="C1604" s="80" t="s">
        <v>1076</v>
      </c>
    </row>
    <row r="1605" spans="1:3" ht="15">
      <c r="A1605" s="77" t="s">
        <v>238</v>
      </c>
      <c r="B1605" s="76" t="s">
        <v>699</v>
      </c>
      <c r="C1605" s="80" t="s">
        <v>1076</v>
      </c>
    </row>
    <row r="1606" spans="1:3" ht="15">
      <c r="A1606" s="77" t="s">
        <v>243</v>
      </c>
      <c r="B1606" s="76" t="s">
        <v>3847</v>
      </c>
      <c r="C1606" s="80" t="s">
        <v>1088</v>
      </c>
    </row>
    <row r="1607" spans="1:3" ht="15">
      <c r="A1607" s="77" t="s">
        <v>243</v>
      </c>
      <c r="B1607" s="76" t="s">
        <v>3848</v>
      </c>
      <c r="C1607" s="80" t="s">
        <v>1088</v>
      </c>
    </row>
    <row r="1608" spans="1:3" ht="15">
      <c r="A1608" s="77" t="s">
        <v>243</v>
      </c>
      <c r="B1608" s="76" t="s">
        <v>3849</v>
      </c>
      <c r="C1608" s="80" t="s">
        <v>1088</v>
      </c>
    </row>
    <row r="1609" spans="1:3" ht="15">
      <c r="A1609" s="77" t="s">
        <v>243</v>
      </c>
      <c r="B1609" s="76" t="s">
        <v>3850</v>
      </c>
      <c r="C1609" s="80" t="s">
        <v>1088</v>
      </c>
    </row>
    <row r="1610" spans="1:3" ht="15">
      <c r="A1610" s="77" t="s">
        <v>243</v>
      </c>
      <c r="B1610" s="76" t="s">
        <v>3851</v>
      </c>
      <c r="C1610" s="80" t="s">
        <v>1088</v>
      </c>
    </row>
    <row r="1611" spans="1:3" ht="15">
      <c r="A1611" s="77" t="s">
        <v>243</v>
      </c>
      <c r="B1611" s="76" t="s">
        <v>3852</v>
      </c>
      <c r="C1611" s="80" t="s">
        <v>1088</v>
      </c>
    </row>
    <row r="1612" spans="1:3" ht="15">
      <c r="A1612" s="77" t="s">
        <v>243</v>
      </c>
      <c r="B1612" s="76" t="s">
        <v>3121</v>
      </c>
      <c r="C1612" s="80" t="s">
        <v>1088</v>
      </c>
    </row>
    <row r="1613" spans="1:3" ht="15">
      <c r="A1613" s="77" t="s">
        <v>243</v>
      </c>
      <c r="B1613" s="76" t="s">
        <v>3184</v>
      </c>
      <c r="C1613" s="80" t="s">
        <v>1088</v>
      </c>
    </row>
    <row r="1614" spans="1:3" ht="15">
      <c r="A1614" s="77" t="s">
        <v>243</v>
      </c>
      <c r="B1614" s="76" t="s">
        <v>3853</v>
      </c>
      <c r="C1614" s="80" t="s">
        <v>1088</v>
      </c>
    </row>
    <row r="1615" spans="1:3" ht="15">
      <c r="A1615" s="77" t="s">
        <v>243</v>
      </c>
      <c r="B1615" s="76" t="s">
        <v>3854</v>
      </c>
      <c r="C1615" s="80" t="s">
        <v>1088</v>
      </c>
    </row>
    <row r="1616" spans="1:3" ht="15">
      <c r="A1616" s="77" t="s">
        <v>243</v>
      </c>
      <c r="B1616" s="76" t="s">
        <v>3855</v>
      </c>
      <c r="C1616" s="80" t="s">
        <v>1088</v>
      </c>
    </row>
    <row r="1617" spans="1:3" ht="15">
      <c r="A1617" s="77" t="s">
        <v>243</v>
      </c>
      <c r="B1617" s="76" t="s">
        <v>3856</v>
      </c>
      <c r="C1617" s="80" t="s">
        <v>1088</v>
      </c>
    </row>
    <row r="1618" spans="1:3" ht="15">
      <c r="A1618" s="77" t="s">
        <v>243</v>
      </c>
      <c r="B1618" s="76" t="s">
        <v>3857</v>
      </c>
      <c r="C1618" s="80" t="s">
        <v>1088</v>
      </c>
    </row>
    <row r="1619" spans="1:3" ht="15">
      <c r="A1619" s="77" t="s">
        <v>243</v>
      </c>
      <c r="B1619" s="76" t="s">
        <v>3858</v>
      </c>
      <c r="C1619" s="80" t="s">
        <v>1088</v>
      </c>
    </row>
    <row r="1620" spans="1:3" ht="15">
      <c r="A1620" s="77" t="s">
        <v>243</v>
      </c>
      <c r="B1620" s="76" t="s">
        <v>3859</v>
      </c>
      <c r="C1620" s="80" t="s">
        <v>1088</v>
      </c>
    </row>
    <row r="1621" spans="1:3" ht="15">
      <c r="A1621" s="77" t="s">
        <v>243</v>
      </c>
      <c r="B1621" s="76" t="s">
        <v>3124</v>
      </c>
      <c r="C1621" s="80" t="s">
        <v>1088</v>
      </c>
    </row>
    <row r="1622" spans="1:3" ht="15">
      <c r="A1622" s="77" t="s">
        <v>243</v>
      </c>
      <c r="B1622" s="76" t="s">
        <v>3158</v>
      </c>
      <c r="C1622" s="80" t="s">
        <v>1088</v>
      </c>
    </row>
    <row r="1623" spans="1:3" ht="15">
      <c r="A1623" s="77" t="s">
        <v>243</v>
      </c>
      <c r="B1623" s="76" t="s">
        <v>3216</v>
      </c>
      <c r="C1623" s="80" t="s">
        <v>1088</v>
      </c>
    </row>
    <row r="1624" spans="1:3" ht="15">
      <c r="A1624" s="77" t="s">
        <v>243</v>
      </c>
      <c r="B1624" s="76" t="s">
        <v>3860</v>
      </c>
      <c r="C1624" s="80" t="s">
        <v>1088</v>
      </c>
    </row>
    <row r="1625" spans="1:3" ht="15">
      <c r="A1625" s="77" t="s">
        <v>243</v>
      </c>
      <c r="B1625" s="76" t="s">
        <v>3072</v>
      </c>
      <c r="C1625" s="80" t="s">
        <v>1088</v>
      </c>
    </row>
    <row r="1626" spans="1:3" ht="15">
      <c r="A1626" s="77" t="s">
        <v>243</v>
      </c>
      <c r="B1626" s="76" t="s">
        <v>3206</v>
      </c>
      <c r="C1626" s="80" t="s">
        <v>1088</v>
      </c>
    </row>
    <row r="1627" spans="1:3" ht="15">
      <c r="A1627" s="77" t="s">
        <v>243</v>
      </c>
      <c r="B1627" s="76" t="s">
        <v>3861</v>
      </c>
      <c r="C1627" s="80" t="s">
        <v>1088</v>
      </c>
    </row>
    <row r="1628" spans="1:3" ht="15">
      <c r="A1628" s="77" t="s">
        <v>243</v>
      </c>
      <c r="B1628" s="76" t="s">
        <v>3150</v>
      </c>
      <c r="C1628" s="80" t="s">
        <v>1088</v>
      </c>
    </row>
    <row r="1629" spans="1:3" ht="15">
      <c r="A1629" s="77" t="s">
        <v>243</v>
      </c>
      <c r="B1629" s="76" t="s">
        <v>3862</v>
      </c>
      <c r="C1629" s="80" t="s">
        <v>1088</v>
      </c>
    </row>
    <row r="1630" spans="1:3" ht="15">
      <c r="A1630" s="77" t="s">
        <v>243</v>
      </c>
      <c r="B1630" s="76" t="s">
        <v>3863</v>
      </c>
      <c r="C1630" s="80" t="s">
        <v>1088</v>
      </c>
    </row>
    <row r="1631" spans="1:3" ht="15">
      <c r="A1631" s="77" t="s">
        <v>227</v>
      </c>
      <c r="B1631" s="76" t="s">
        <v>3119</v>
      </c>
      <c r="C1631" s="80" t="s">
        <v>1034</v>
      </c>
    </row>
    <row r="1632" spans="1:3" ht="15">
      <c r="A1632" s="77" t="s">
        <v>227</v>
      </c>
      <c r="B1632" s="76" t="s">
        <v>3864</v>
      </c>
      <c r="C1632" s="80" t="s">
        <v>1034</v>
      </c>
    </row>
    <row r="1633" spans="1:3" ht="15">
      <c r="A1633" s="77" t="s">
        <v>227</v>
      </c>
      <c r="B1633" s="76" t="s">
        <v>281</v>
      </c>
      <c r="C1633" s="80" t="s">
        <v>1034</v>
      </c>
    </row>
    <row r="1634" spans="1:3" ht="15">
      <c r="A1634" s="77" t="s">
        <v>227</v>
      </c>
      <c r="B1634" s="76" t="s">
        <v>282</v>
      </c>
      <c r="C1634" s="80" t="s">
        <v>1034</v>
      </c>
    </row>
    <row r="1635" spans="1:3" ht="15">
      <c r="A1635" s="77" t="s">
        <v>227</v>
      </c>
      <c r="B1635" s="76" t="s">
        <v>283</v>
      </c>
      <c r="C1635" s="80" t="s">
        <v>1034</v>
      </c>
    </row>
    <row r="1636" spans="1:3" ht="15">
      <c r="A1636" s="77" t="s">
        <v>227</v>
      </c>
      <c r="B1636" s="76" t="s">
        <v>284</v>
      </c>
      <c r="C1636" s="80" t="s">
        <v>1034</v>
      </c>
    </row>
    <row r="1637" spans="1:3" ht="15">
      <c r="A1637" s="77" t="s">
        <v>227</v>
      </c>
      <c r="B1637" s="76" t="s">
        <v>285</v>
      </c>
      <c r="C1637" s="80" t="s">
        <v>1034</v>
      </c>
    </row>
    <row r="1638" spans="1:3" ht="15">
      <c r="A1638" s="77" t="s">
        <v>227</v>
      </c>
      <c r="B1638" s="76" t="s">
        <v>3865</v>
      </c>
      <c r="C1638" s="80" t="s">
        <v>1034</v>
      </c>
    </row>
    <row r="1639" spans="1:3" ht="15">
      <c r="A1639" s="77" t="s">
        <v>227</v>
      </c>
      <c r="B1639" s="76" t="s">
        <v>3259</v>
      </c>
      <c r="C1639" s="80" t="s">
        <v>1034</v>
      </c>
    </row>
    <row r="1640" spans="1:3" ht="15">
      <c r="A1640" s="77" t="s">
        <v>227</v>
      </c>
      <c r="B1640" s="76" t="s">
        <v>3866</v>
      </c>
      <c r="C1640" s="80" t="s">
        <v>1034</v>
      </c>
    </row>
    <row r="1641" spans="1:3" ht="15">
      <c r="A1641" s="77" t="s">
        <v>227</v>
      </c>
      <c r="B1641" s="76" t="s">
        <v>3867</v>
      </c>
      <c r="C1641" s="80" t="s">
        <v>1034</v>
      </c>
    </row>
    <row r="1642" spans="1:3" ht="15">
      <c r="A1642" s="77" t="s">
        <v>227</v>
      </c>
      <c r="B1642" s="76" t="s">
        <v>3868</v>
      </c>
      <c r="C1642" s="80" t="s">
        <v>1034</v>
      </c>
    </row>
    <row r="1643" spans="1:3" ht="15">
      <c r="A1643" s="77" t="s">
        <v>227</v>
      </c>
      <c r="B1643" s="76" t="s">
        <v>3869</v>
      </c>
      <c r="C1643" s="80" t="s">
        <v>1034</v>
      </c>
    </row>
    <row r="1644" spans="1:3" ht="15">
      <c r="A1644" s="77" t="s">
        <v>227</v>
      </c>
      <c r="B1644" s="76" t="s">
        <v>3870</v>
      </c>
      <c r="C1644" s="80" t="s">
        <v>1034</v>
      </c>
    </row>
    <row r="1645" spans="1:3" ht="15">
      <c r="A1645" s="77" t="s">
        <v>227</v>
      </c>
      <c r="B1645" s="76" t="s">
        <v>3871</v>
      </c>
      <c r="C1645" s="80" t="s">
        <v>1034</v>
      </c>
    </row>
    <row r="1646" spans="1:3" ht="15">
      <c r="A1646" s="77" t="s">
        <v>227</v>
      </c>
      <c r="B1646" s="76" t="s">
        <v>3255</v>
      </c>
      <c r="C1646" s="80" t="s">
        <v>1034</v>
      </c>
    </row>
    <row r="1647" spans="1:3" ht="15">
      <c r="A1647" s="77" t="s">
        <v>227</v>
      </c>
      <c r="B1647" s="76" t="s">
        <v>3665</v>
      </c>
      <c r="C1647" s="80" t="s">
        <v>1034</v>
      </c>
    </row>
    <row r="1648" spans="1:3" ht="15">
      <c r="A1648" s="77" t="s">
        <v>227</v>
      </c>
      <c r="B1648" s="76" t="s">
        <v>286</v>
      </c>
      <c r="C1648" s="80" t="s">
        <v>1034</v>
      </c>
    </row>
    <row r="1649" spans="1:3" ht="15">
      <c r="A1649" s="77" t="s">
        <v>227</v>
      </c>
      <c r="B1649" s="76" t="s">
        <v>287</v>
      </c>
      <c r="C1649" s="80" t="s">
        <v>1034</v>
      </c>
    </row>
    <row r="1650" spans="1:3" ht="15">
      <c r="A1650" s="77" t="s">
        <v>227</v>
      </c>
      <c r="B1650" s="76" t="s">
        <v>288</v>
      </c>
      <c r="C1650" s="80" t="s">
        <v>1034</v>
      </c>
    </row>
    <row r="1651" spans="1:3" ht="15">
      <c r="A1651" s="77" t="s">
        <v>227</v>
      </c>
      <c r="B1651" s="76" t="s">
        <v>289</v>
      </c>
      <c r="C1651" s="80" t="s">
        <v>1034</v>
      </c>
    </row>
    <row r="1652" spans="1:3" ht="15">
      <c r="A1652" s="77" t="s">
        <v>227</v>
      </c>
      <c r="B1652" s="76" t="s">
        <v>290</v>
      </c>
      <c r="C1652" s="80" t="s">
        <v>1034</v>
      </c>
    </row>
    <row r="1653" spans="1:3" ht="15">
      <c r="A1653" s="77" t="s">
        <v>227</v>
      </c>
      <c r="B1653" s="76" t="s">
        <v>291</v>
      </c>
      <c r="C1653" s="80" t="s">
        <v>1034</v>
      </c>
    </row>
    <row r="1654" spans="1:3" ht="15">
      <c r="A1654" s="77" t="s">
        <v>227</v>
      </c>
      <c r="B1654" s="76" t="s">
        <v>292</v>
      </c>
      <c r="C1654" s="80" t="s">
        <v>1034</v>
      </c>
    </row>
    <row r="1655" spans="1:3" ht="15">
      <c r="A1655" s="77" t="s">
        <v>227</v>
      </c>
      <c r="B1655" s="76" t="s">
        <v>293</v>
      </c>
      <c r="C1655" s="80" t="s">
        <v>1034</v>
      </c>
    </row>
    <row r="1656" spans="1:3" ht="15">
      <c r="A1656" s="77" t="s">
        <v>227</v>
      </c>
      <c r="B1656" s="76" t="s">
        <v>294</v>
      </c>
      <c r="C1656" s="80" t="s">
        <v>1034</v>
      </c>
    </row>
    <row r="1657" spans="1:3" ht="15">
      <c r="A1657" s="77" t="s">
        <v>227</v>
      </c>
      <c r="B1657" s="76" t="s">
        <v>3067</v>
      </c>
      <c r="C1657" s="80" t="s">
        <v>1034</v>
      </c>
    </row>
    <row r="1658" spans="1:3" ht="15">
      <c r="A1658" s="77" t="s">
        <v>227</v>
      </c>
      <c r="B1658" s="76" t="s">
        <v>295</v>
      </c>
      <c r="C1658" s="80" t="s">
        <v>1034</v>
      </c>
    </row>
    <row r="1659" spans="1:3" ht="15">
      <c r="A1659" s="77" t="s">
        <v>227</v>
      </c>
      <c r="B1659" s="76" t="s">
        <v>296</v>
      </c>
      <c r="C1659" s="80" t="s">
        <v>1034</v>
      </c>
    </row>
    <row r="1660" spans="1:3" ht="15">
      <c r="A1660" s="77" t="s">
        <v>227</v>
      </c>
      <c r="B1660" s="76" t="s">
        <v>297</v>
      </c>
      <c r="C1660" s="80" t="s">
        <v>1034</v>
      </c>
    </row>
    <row r="1661" spans="1:3" ht="15">
      <c r="A1661" s="77" t="s">
        <v>227</v>
      </c>
      <c r="B1661" s="76" t="s">
        <v>298</v>
      </c>
      <c r="C1661" s="80" t="s">
        <v>1034</v>
      </c>
    </row>
    <row r="1662" spans="1:3" ht="15">
      <c r="A1662" s="77" t="s">
        <v>227</v>
      </c>
      <c r="B1662" s="76" t="s">
        <v>299</v>
      </c>
      <c r="C1662" s="80" t="s">
        <v>1034</v>
      </c>
    </row>
    <row r="1663" spans="1:3" ht="15">
      <c r="A1663" s="77" t="s">
        <v>227</v>
      </c>
      <c r="B1663" s="76" t="s">
        <v>228</v>
      </c>
      <c r="C1663" s="80" t="s">
        <v>1034</v>
      </c>
    </row>
    <row r="1664" spans="1:3" ht="15">
      <c r="A1664" s="77" t="s">
        <v>227</v>
      </c>
      <c r="B1664" s="76" t="s">
        <v>300</v>
      </c>
      <c r="C1664" s="80" t="s">
        <v>1034</v>
      </c>
    </row>
    <row r="1665" spans="1:3" ht="15">
      <c r="A1665" s="77" t="s">
        <v>227</v>
      </c>
      <c r="B1665" s="76" t="s">
        <v>301</v>
      </c>
      <c r="C1665" s="80" t="s">
        <v>1034</v>
      </c>
    </row>
    <row r="1666" spans="1:3" ht="15">
      <c r="A1666" s="77" t="s">
        <v>227</v>
      </c>
      <c r="B1666" s="76" t="s">
        <v>255</v>
      </c>
      <c r="C1666" s="80" t="s">
        <v>1034</v>
      </c>
    </row>
    <row r="1667" spans="1:3" ht="15">
      <c r="A1667" s="77" t="s">
        <v>227</v>
      </c>
      <c r="B1667" s="76" t="s">
        <v>302</v>
      </c>
      <c r="C1667" s="80" t="s">
        <v>1034</v>
      </c>
    </row>
    <row r="1668" spans="1:3" ht="15">
      <c r="A1668" s="77" t="s">
        <v>228</v>
      </c>
      <c r="B1668" s="76" t="s">
        <v>3872</v>
      </c>
      <c r="C1668" s="80" t="s">
        <v>1043</v>
      </c>
    </row>
    <row r="1669" spans="1:3" ht="15">
      <c r="A1669" s="77" t="s">
        <v>228</v>
      </c>
      <c r="B1669" s="76" t="s">
        <v>3873</v>
      </c>
      <c r="C1669" s="80" t="s">
        <v>1043</v>
      </c>
    </row>
    <row r="1670" spans="1:3" ht="15">
      <c r="A1670" s="77" t="s">
        <v>228</v>
      </c>
      <c r="B1670" s="76" t="s">
        <v>3874</v>
      </c>
      <c r="C1670" s="80" t="s">
        <v>1043</v>
      </c>
    </row>
    <row r="1671" spans="1:3" ht="15">
      <c r="A1671" s="77" t="s">
        <v>228</v>
      </c>
      <c r="B1671" s="76" t="s">
        <v>3875</v>
      </c>
      <c r="C1671" s="80" t="s">
        <v>1043</v>
      </c>
    </row>
    <row r="1672" spans="1:3" ht="15">
      <c r="A1672" s="77" t="s">
        <v>228</v>
      </c>
      <c r="B1672" s="76" t="s">
        <v>3876</v>
      </c>
      <c r="C1672" s="80" t="s">
        <v>1043</v>
      </c>
    </row>
    <row r="1673" spans="1:3" ht="15">
      <c r="A1673" s="77" t="s">
        <v>228</v>
      </c>
      <c r="B1673" s="76" t="s">
        <v>3053</v>
      </c>
      <c r="C1673" s="80" t="s">
        <v>1043</v>
      </c>
    </row>
    <row r="1674" spans="1:3" ht="15">
      <c r="A1674" s="77" t="s">
        <v>228</v>
      </c>
      <c r="B1674" s="76" t="s">
        <v>3052</v>
      </c>
      <c r="C1674" s="80" t="s">
        <v>1043</v>
      </c>
    </row>
    <row r="1675" spans="1:3" ht="15">
      <c r="A1675" s="77" t="s">
        <v>228</v>
      </c>
      <c r="B1675" s="76" t="s">
        <v>307</v>
      </c>
      <c r="C1675" s="80" t="s">
        <v>1043</v>
      </c>
    </row>
    <row r="1676" spans="1:3" ht="15">
      <c r="A1676" s="77" t="s">
        <v>228</v>
      </c>
      <c r="B1676" s="76" t="s">
        <v>308</v>
      </c>
      <c r="C1676" s="80" t="s">
        <v>1043</v>
      </c>
    </row>
    <row r="1677" spans="1:3" ht="15">
      <c r="A1677" s="77" t="s">
        <v>228</v>
      </c>
      <c r="B1677" s="76" t="s">
        <v>309</v>
      </c>
      <c r="C1677" s="80" t="s">
        <v>1043</v>
      </c>
    </row>
    <row r="1678" spans="1:3" ht="15">
      <c r="A1678" s="77" t="s">
        <v>228</v>
      </c>
      <c r="B1678" s="76" t="s">
        <v>310</v>
      </c>
      <c r="C1678" s="80" t="s">
        <v>1043</v>
      </c>
    </row>
    <row r="1679" spans="1:3" ht="15">
      <c r="A1679" s="77" t="s">
        <v>228</v>
      </c>
      <c r="B1679" s="76" t="s">
        <v>311</v>
      </c>
      <c r="C1679" s="80" t="s">
        <v>1043</v>
      </c>
    </row>
    <row r="1680" spans="1:3" ht="15">
      <c r="A1680" s="77" t="s">
        <v>228</v>
      </c>
      <c r="B1680" s="76" t="s">
        <v>312</v>
      </c>
      <c r="C1680" s="80" t="s">
        <v>1043</v>
      </c>
    </row>
    <row r="1681" spans="1:3" ht="15">
      <c r="A1681" s="77" t="s">
        <v>228</v>
      </c>
      <c r="B1681" s="76" t="s">
        <v>313</v>
      </c>
      <c r="C1681" s="80" t="s">
        <v>1043</v>
      </c>
    </row>
    <row r="1682" spans="1:3" ht="15">
      <c r="A1682" s="77" t="s">
        <v>228</v>
      </c>
      <c r="B1682" s="76" t="s">
        <v>314</v>
      </c>
      <c r="C1682" s="80" t="s">
        <v>1043</v>
      </c>
    </row>
    <row r="1683" spans="1:3" ht="15">
      <c r="A1683" s="77" t="s">
        <v>228</v>
      </c>
      <c r="B1683" s="76" t="s">
        <v>443</v>
      </c>
      <c r="C1683" s="80" t="s">
        <v>1043</v>
      </c>
    </row>
    <row r="1684" spans="1:3" ht="15">
      <c r="A1684" s="77" t="s">
        <v>228</v>
      </c>
      <c r="B1684" s="76" t="s">
        <v>228</v>
      </c>
      <c r="C1684" s="80" t="s">
        <v>1043</v>
      </c>
    </row>
    <row r="1685" spans="1:3" ht="15">
      <c r="A1685" s="77" t="s">
        <v>228</v>
      </c>
      <c r="B1685" s="76" t="s">
        <v>452</v>
      </c>
      <c r="C1685" s="80" t="s">
        <v>1043</v>
      </c>
    </row>
    <row r="1686" spans="1:3" ht="15">
      <c r="A1686" s="77" t="s">
        <v>228</v>
      </c>
      <c r="B1686" s="76" t="s">
        <v>3877</v>
      </c>
      <c r="C1686" s="80" t="s">
        <v>1045</v>
      </c>
    </row>
    <row r="1687" spans="1:3" ht="15">
      <c r="A1687" s="77" t="s">
        <v>228</v>
      </c>
      <c r="B1687" s="76" t="s">
        <v>3632</v>
      </c>
      <c r="C1687" s="80" t="s">
        <v>1045</v>
      </c>
    </row>
    <row r="1688" spans="1:3" ht="15">
      <c r="A1688" s="77" t="s">
        <v>228</v>
      </c>
      <c r="B1688" s="76" t="s">
        <v>3878</v>
      </c>
      <c r="C1688" s="80" t="s">
        <v>1045</v>
      </c>
    </row>
    <row r="1689" spans="1:3" ht="15">
      <c r="A1689" s="77" t="s">
        <v>228</v>
      </c>
      <c r="B1689" s="76" t="s">
        <v>695</v>
      </c>
      <c r="C1689" s="80" t="s">
        <v>1045</v>
      </c>
    </row>
    <row r="1690" spans="1:3" ht="15">
      <c r="A1690" s="77" t="s">
        <v>228</v>
      </c>
      <c r="B1690" s="76" t="s">
        <v>3053</v>
      </c>
      <c r="C1690" s="80" t="s">
        <v>1045</v>
      </c>
    </row>
    <row r="1691" spans="1:3" ht="15">
      <c r="A1691" s="77" t="s">
        <v>228</v>
      </c>
      <c r="B1691" s="76" t="s">
        <v>3052</v>
      </c>
      <c r="C1691" s="80" t="s">
        <v>1045</v>
      </c>
    </row>
    <row r="1692" spans="1:3" ht="15">
      <c r="A1692" s="77" t="s">
        <v>228</v>
      </c>
      <c r="B1692" s="76" t="s">
        <v>315</v>
      </c>
      <c r="C1692" s="80" t="s">
        <v>1045</v>
      </c>
    </row>
    <row r="1693" spans="1:3" ht="15">
      <c r="A1693" s="77" t="s">
        <v>228</v>
      </c>
      <c r="B1693" s="76" t="s">
        <v>316</v>
      </c>
      <c r="C1693" s="80" t="s">
        <v>1045</v>
      </c>
    </row>
    <row r="1694" spans="1:3" ht="15">
      <c r="A1694" s="77" t="s">
        <v>228</v>
      </c>
      <c r="B1694" s="76" t="s">
        <v>317</v>
      </c>
      <c r="C1694" s="80" t="s">
        <v>1045</v>
      </c>
    </row>
    <row r="1695" spans="1:3" ht="15">
      <c r="A1695" s="77" t="s">
        <v>228</v>
      </c>
      <c r="B1695" s="76" t="s">
        <v>318</v>
      </c>
      <c r="C1695" s="80" t="s">
        <v>1045</v>
      </c>
    </row>
    <row r="1696" spans="1:3" ht="15">
      <c r="A1696" s="77" t="s">
        <v>228</v>
      </c>
      <c r="B1696" s="76" t="s">
        <v>319</v>
      </c>
      <c r="C1696" s="80" t="s">
        <v>1045</v>
      </c>
    </row>
    <row r="1697" spans="1:3" ht="15">
      <c r="A1697" s="77" t="s">
        <v>228</v>
      </c>
      <c r="B1697" s="76" t="s">
        <v>320</v>
      </c>
      <c r="C1697" s="80" t="s">
        <v>1045</v>
      </c>
    </row>
    <row r="1698" spans="1:3" ht="15">
      <c r="A1698" s="77" t="s">
        <v>228</v>
      </c>
      <c r="B1698" s="76" t="s">
        <v>321</v>
      </c>
      <c r="C1698" s="80" t="s">
        <v>1045</v>
      </c>
    </row>
    <row r="1699" spans="1:3" ht="15">
      <c r="A1699" s="77" t="s">
        <v>228</v>
      </c>
      <c r="B1699" s="76" t="s">
        <v>322</v>
      </c>
      <c r="C1699" s="80" t="s">
        <v>1045</v>
      </c>
    </row>
    <row r="1700" spans="1:3" ht="15">
      <c r="A1700" s="77" t="s">
        <v>228</v>
      </c>
      <c r="B1700" s="76" t="s">
        <v>323</v>
      </c>
      <c r="C1700" s="80" t="s">
        <v>1045</v>
      </c>
    </row>
    <row r="1701" spans="1:3" ht="15">
      <c r="A1701" s="77" t="s">
        <v>228</v>
      </c>
      <c r="B1701" s="76" t="s">
        <v>324</v>
      </c>
      <c r="C1701" s="80" t="s">
        <v>1045</v>
      </c>
    </row>
    <row r="1702" spans="1:3" ht="15">
      <c r="A1702" s="77" t="s">
        <v>228</v>
      </c>
      <c r="B1702" s="76" t="s">
        <v>228</v>
      </c>
      <c r="C1702" s="80" t="s">
        <v>1045</v>
      </c>
    </row>
    <row r="1703" spans="1:3" ht="15">
      <c r="A1703" s="77" t="s">
        <v>228</v>
      </c>
      <c r="B1703" s="76" t="s">
        <v>3879</v>
      </c>
      <c r="C1703" s="80" t="s">
        <v>1045</v>
      </c>
    </row>
    <row r="1704" spans="1:3" ht="15">
      <c r="A1704" s="77" t="s">
        <v>257</v>
      </c>
      <c r="B1704" s="76" t="s">
        <v>3880</v>
      </c>
      <c r="C1704" s="80" t="s">
        <v>1128</v>
      </c>
    </row>
    <row r="1705" spans="1:3" ht="15">
      <c r="A1705" s="77" t="s">
        <v>257</v>
      </c>
      <c r="B1705" s="76" t="s">
        <v>3507</v>
      </c>
      <c r="C1705" s="80" t="s">
        <v>1128</v>
      </c>
    </row>
    <row r="1706" spans="1:3" ht="15">
      <c r="A1706" s="77" t="s">
        <v>257</v>
      </c>
      <c r="B1706" s="76" t="s">
        <v>3648</v>
      </c>
      <c r="C1706" s="80" t="s">
        <v>1128</v>
      </c>
    </row>
    <row r="1707" spans="1:3" ht="15">
      <c r="A1707" s="77" t="s">
        <v>257</v>
      </c>
      <c r="B1707" s="76" t="s">
        <v>3881</v>
      </c>
      <c r="C1707" s="80" t="s">
        <v>1128</v>
      </c>
    </row>
    <row r="1708" spans="1:3" ht="15">
      <c r="A1708" s="77" t="s">
        <v>257</v>
      </c>
      <c r="B1708" s="76" t="s">
        <v>3882</v>
      </c>
      <c r="C1708" s="80" t="s">
        <v>1128</v>
      </c>
    </row>
    <row r="1709" spans="1:3" ht="15">
      <c r="A1709" s="77" t="s">
        <v>257</v>
      </c>
      <c r="B1709" s="76" t="s">
        <v>724</v>
      </c>
      <c r="C1709" s="80" t="s">
        <v>1128</v>
      </c>
    </row>
    <row r="1710" spans="1:3" ht="15">
      <c r="A1710" s="77" t="s">
        <v>257</v>
      </c>
      <c r="B1710" s="76" t="s">
        <v>526</v>
      </c>
      <c r="C1710" s="80" t="s">
        <v>1128</v>
      </c>
    </row>
    <row r="1711" spans="1:3" ht="15">
      <c r="A1711" s="77" t="s">
        <v>257</v>
      </c>
      <c r="B1711" s="76" t="s">
        <v>527</v>
      </c>
      <c r="C1711" s="80" t="s">
        <v>1128</v>
      </c>
    </row>
    <row r="1712" spans="1:3" ht="15">
      <c r="A1712" s="77" t="s">
        <v>257</v>
      </c>
      <c r="B1712" s="76" t="s">
        <v>228</v>
      </c>
      <c r="C1712" s="80" t="s">
        <v>1128</v>
      </c>
    </row>
    <row r="1713" spans="1:3" ht="15">
      <c r="A1713" s="77" t="s">
        <v>257</v>
      </c>
      <c r="B1713" s="76" t="s">
        <v>528</v>
      </c>
      <c r="C1713" s="80" t="s">
        <v>1128</v>
      </c>
    </row>
    <row r="1714" spans="1:3" ht="15">
      <c r="A1714" s="77" t="s">
        <v>257</v>
      </c>
      <c r="B1714" s="76" t="s">
        <v>529</v>
      </c>
      <c r="C1714" s="80" t="s">
        <v>1128</v>
      </c>
    </row>
    <row r="1715" spans="1:3" ht="15">
      <c r="A1715" s="77" t="s">
        <v>257</v>
      </c>
      <c r="B1715" s="76" t="s">
        <v>530</v>
      </c>
      <c r="C1715" s="80" t="s">
        <v>1128</v>
      </c>
    </row>
    <row r="1716" spans="1:3" ht="15">
      <c r="A1716" s="77" t="s">
        <v>257</v>
      </c>
      <c r="B1716" s="76" t="s">
        <v>531</v>
      </c>
      <c r="C1716" s="80" t="s">
        <v>1128</v>
      </c>
    </row>
    <row r="1717" spans="1:3" ht="15">
      <c r="A1717" s="77" t="s">
        <v>257</v>
      </c>
      <c r="B1717" s="76" t="s">
        <v>532</v>
      </c>
      <c r="C1717" s="80" t="s">
        <v>1128</v>
      </c>
    </row>
    <row r="1718" spans="1:3" ht="15">
      <c r="A1718" s="77" t="s">
        <v>257</v>
      </c>
      <c r="B1718" s="76" t="s">
        <v>533</v>
      </c>
      <c r="C1718" s="80" t="s">
        <v>1128</v>
      </c>
    </row>
    <row r="1719" spans="1:3" ht="15">
      <c r="A1719" s="77" t="s">
        <v>257</v>
      </c>
      <c r="B1719" s="76" t="s">
        <v>534</v>
      </c>
      <c r="C1719" s="80" t="s">
        <v>1128</v>
      </c>
    </row>
    <row r="1720" spans="1:3" ht="15">
      <c r="A1720" s="77" t="s">
        <v>257</v>
      </c>
      <c r="B1720" s="76" t="s">
        <v>535</v>
      </c>
      <c r="C1720" s="80" t="s">
        <v>1128</v>
      </c>
    </row>
    <row r="1721" spans="1:3" ht="15">
      <c r="A1721" s="77" t="s">
        <v>257</v>
      </c>
      <c r="B1721" s="76" t="s">
        <v>536</v>
      </c>
      <c r="C1721" s="80" t="s">
        <v>1128</v>
      </c>
    </row>
    <row r="1722" spans="1:3" ht="15">
      <c r="A1722" s="77" t="s">
        <v>257</v>
      </c>
      <c r="B1722" s="76" t="s">
        <v>537</v>
      </c>
      <c r="C1722" s="80" t="s">
        <v>1128</v>
      </c>
    </row>
    <row r="1723" spans="1:3" ht="15">
      <c r="A1723" s="77" t="s">
        <v>257</v>
      </c>
      <c r="B1723" s="76" t="s">
        <v>538</v>
      </c>
      <c r="C1723" s="80" t="s">
        <v>1128</v>
      </c>
    </row>
    <row r="1724" spans="1:3" ht="15">
      <c r="A1724" s="77" t="s">
        <v>257</v>
      </c>
      <c r="B1724" s="76" t="s">
        <v>258</v>
      </c>
      <c r="C1724" s="80" t="s">
        <v>1128</v>
      </c>
    </row>
    <row r="1725" spans="1:3" ht="15">
      <c r="A1725" s="77" t="s">
        <v>257</v>
      </c>
      <c r="B1725" s="76" t="s">
        <v>3883</v>
      </c>
      <c r="C1725" s="80" t="s">
        <v>1128</v>
      </c>
    </row>
    <row r="1726" spans="1:3" ht="15">
      <c r="A1726" s="77" t="s">
        <v>257</v>
      </c>
      <c r="B1726" s="76" t="s">
        <v>3884</v>
      </c>
      <c r="C1726" s="80" t="s">
        <v>1128</v>
      </c>
    </row>
    <row r="1727" spans="1:3" ht="15">
      <c r="A1727" s="77" t="s">
        <v>229</v>
      </c>
      <c r="B1727" s="80" t="s">
        <v>3885</v>
      </c>
      <c r="C1727" s="80" t="s">
        <v>1081</v>
      </c>
    </row>
    <row r="1728" spans="1:3" ht="15">
      <c r="A1728" s="77" t="s">
        <v>229</v>
      </c>
      <c r="B1728" s="76" t="s">
        <v>3886</v>
      </c>
      <c r="C1728" s="80" t="s">
        <v>1081</v>
      </c>
    </row>
    <row r="1729" spans="1:3" ht="15">
      <c r="A1729" s="77" t="s">
        <v>229</v>
      </c>
      <c r="B1729" s="76" t="s">
        <v>3887</v>
      </c>
      <c r="C1729" s="80" t="s">
        <v>1081</v>
      </c>
    </row>
    <row r="1730" spans="1:3" ht="15">
      <c r="A1730" s="77" t="s">
        <v>229</v>
      </c>
      <c r="B1730" s="76" t="s">
        <v>3888</v>
      </c>
      <c r="C1730" s="80" t="s">
        <v>1081</v>
      </c>
    </row>
    <row r="1731" spans="1:3" ht="15">
      <c r="A1731" s="77" t="s">
        <v>229</v>
      </c>
      <c r="B1731" s="76" t="s">
        <v>3889</v>
      </c>
      <c r="C1731" s="80" t="s">
        <v>1081</v>
      </c>
    </row>
    <row r="1732" spans="1:3" ht="15">
      <c r="A1732" s="77" t="s">
        <v>229</v>
      </c>
      <c r="B1732" s="76" t="s">
        <v>3890</v>
      </c>
      <c r="C1732" s="80" t="s">
        <v>1081</v>
      </c>
    </row>
    <row r="1733" spans="1:3" ht="15">
      <c r="A1733" s="77" t="s">
        <v>229</v>
      </c>
      <c r="B1733" s="80" t="s">
        <v>3891</v>
      </c>
      <c r="C1733" s="80" t="s">
        <v>1081</v>
      </c>
    </row>
    <row r="1734" spans="1:3" ht="15">
      <c r="A1734" s="77" t="s">
        <v>229</v>
      </c>
      <c r="B1734" s="76" t="s">
        <v>3892</v>
      </c>
      <c r="C1734" s="80" t="s">
        <v>1081</v>
      </c>
    </row>
    <row r="1735" spans="1:3" ht="15">
      <c r="A1735" s="77" t="s">
        <v>229</v>
      </c>
      <c r="B1735" s="76" t="s">
        <v>702</v>
      </c>
      <c r="C1735" s="80" t="s">
        <v>1081</v>
      </c>
    </row>
    <row r="1736" spans="1:3" ht="15">
      <c r="A1736" s="77" t="s">
        <v>229</v>
      </c>
      <c r="B1736" s="76" t="s">
        <v>471</v>
      </c>
      <c r="C1736" s="80" t="s">
        <v>1081</v>
      </c>
    </row>
    <row r="1737" spans="1:3" ht="15">
      <c r="A1737" s="77" t="s">
        <v>229</v>
      </c>
      <c r="B1737" s="76" t="s">
        <v>238</v>
      </c>
      <c r="C1737" s="80" t="s">
        <v>1081</v>
      </c>
    </row>
    <row r="1738" spans="1:3" ht="15">
      <c r="A1738" s="77" t="s">
        <v>229</v>
      </c>
      <c r="B1738" s="76" t="s">
        <v>228</v>
      </c>
      <c r="C1738" s="80" t="s">
        <v>1081</v>
      </c>
    </row>
    <row r="1739" spans="1:3" ht="15">
      <c r="A1739" s="77" t="s">
        <v>229</v>
      </c>
      <c r="B1739" s="76" t="s">
        <v>253</v>
      </c>
      <c r="C1739" s="80" t="s">
        <v>1081</v>
      </c>
    </row>
    <row r="1740" spans="1:3" ht="15">
      <c r="A1740" s="77" t="s">
        <v>229</v>
      </c>
      <c r="B1740" s="76" t="s">
        <v>3893</v>
      </c>
      <c r="C1740" s="80" t="s">
        <v>1056</v>
      </c>
    </row>
    <row r="1741" spans="1:3" ht="15">
      <c r="A1741" s="77" t="s">
        <v>229</v>
      </c>
      <c r="B1741" s="76" t="s">
        <v>3702</v>
      </c>
      <c r="C1741" s="80" t="s">
        <v>1056</v>
      </c>
    </row>
    <row r="1742" spans="1:3" ht="15">
      <c r="A1742" s="77" t="s">
        <v>229</v>
      </c>
      <c r="B1742" s="76" t="s">
        <v>3894</v>
      </c>
      <c r="C1742" s="80" t="s">
        <v>1056</v>
      </c>
    </row>
    <row r="1743" spans="1:3" ht="15">
      <c r="A1743" s="77" t="s">
        <v>229</v>
      </c>
      <c r="B1743" s="76" t="s">
        <v>364</v>
      </c>
      <c r="C1743" s="80" t="s">
        <v>1056</v>
      </c>
    </row>
    <row r="1744" spans="1:3" ht="15">
      <c r="A1744" s="77" t="s">
        <v>229</v>
      </c>
      <c r="B1744" s="76" t="s">
        <v>368</v>
      </c>
      <c r="C1744" s="80" t="s">
        <v>1056</v>
      </c>
    </row>
    <row r="1745" spans="1:3" ht="15">
      <c r="A1745" s="77" t="s">
        <v>229</v>
      </c>
      <c r="B1745" s="76" t="s">
        <v>3211</v>
      </c>
      <c r="C1745" s="80" t="s">
        <v>1056</v>
      </c>
    </row>
    <row r="1746" spans="1:3" ht="15">
      <c r="A1746" s="77" t="s">
        <v>229</v>
      </c>
      <c r="B1746" s="76" t="s">
        <v>3053</v>
      </c>
      <c r="C1746" s="80" t="s">
        <v>1056</v>
      </c>
    </row>
    <row r="1747" spans="1:3" ht="15">
      <c r="A1747" s="77" t="s">
        <v>229</v>
      </c>
      <c r="B1747" s="76" t="s">
        <v>3052</v>
      </c>
      <c r="C1747" s="80" t="s">
        <v>1056</v>
      </c>
    </row>
    <row r="1748" spans="1:3" ht="15">
      <c r="A1748" s="77" t="s">
        <v>229</v>
      </c>
      <c r="B1748" s="76" t="s">
        <v>414</v>
      </c>
      <c r="C1748" s="80" t="s">
        <v>1056</v>
      </c>
    </row>
    <row r="1749" spans="1:3" ht="15">
      <c r="A1749" s="77" t="s">
        <v>229</v>
      </c>
      <c r="B1749" s="76" t="s">
        <v>377</v>
      </c>
      <c r="C1749" s="80" t="s">
        <v>1056</v>
      </c>
    </row>
    <row r="1750" spans="1:3" ht="15">
      <c r="A1750" s="77" t="s">
        <v>229</v>
      </c>
      <c r="B1750" s="76" t="s">
        <v>417</v>
      </c>
      <c r="C1750" s="80" t="s">
        <v>1056</v>
      </c>
    </row>
    <row r="1751" spans="1:3" ht="15">
      <c r="A1751" s="77" t="s">
        <v>229</v>
      </c>
      <c r="B1751" s="76" t="s">
        <v>378</v>
      </c>
      <c r="C1751" s="80" t="s">
        <v>1056</v>
      </c>
    </row>
    <row r="1752" spans="1:3" ht="15">
      <c r="A1752" s="77" t="s">
        <v>229</v>
      </c>
      <c r="B1752" s="76" t="s">
        <v>379</v>
      </c>
      <c r="C1752" s="80" t="s">
        <v>1056</v>
      </c>
    </row>
    <row r="1753" spans="1:3" ht="15">
      <c r="A1753" s="77" t="s">
        <v>229</v>
      </c>
      <c r="B1753" s="76" t="s">
        <v>380</v>
      </c>
      <c r="C1753" s="80" t="s">
        <v>1056</v>
      </c>
    </row>
    <row r="1754" spans="1:3" ht="15">
      <c r="A1754" s="77" t="s">
        <v>229</v>
      </c>
      <c r="B1754" s="76" t="s">
        <v>381</v>
      </c>
      <c r="C1754" s="80" t="s">
        <v>1056</v>
      </c>
    </row>
    <row r="1755" spans="1:3" ht="15">
      <c r="A1755" s="77" t="s">
        <v>229</v>
      </c>
      <c r="B1755" s="76" t="s">
        <v>382</v>
      </c>
      <c r="C1755" s="80" t="s">
        <v>1056</v>
      </c>
    </row>
    <row r="1756" spans="1:3" ht="15">
      <c r="A1756" s="77" t="s">
        <v>229</v>
      </c>
      <c r="B1756" s="76" t="s">
        <v>383</v>
      </c>
      <c r="C1756" s="80" t="s">
        <v>1056</v>
      </c>
    </row>
    <row r="1757" spans="1:3" ht="15">
      <c r="A1757" s="77" t="s">
        <v>229</v>
      </c>
      <c r="B1757" s="76" t="s">
        <v>384</v>
      </c>
      <c r="C1757" s="80" t="s">
        <v>1056</v>
      </c>
    </row>
    <row r="1758" spans="1:3" ht="15">
      <c r="A1758" s="77" t="s">
        <v>229</v>
      </c>
      <c r="B1758" s="76" t="s">
        <v>228</v>
      </c>
      <c r="C1758" s="80" t="s">
        <v>1056</v>
      </c>
    </row>
    <row r="1759" spans="1:3" ht="15">
      <c r="A1759" s="77" t="s">
        <v>229</v>
      </c>
      <c r="B1759" s="76" t="s">
        <v>3523</v>
      </c>
      <c r="C1759" s="80" t="s">
        <v>1056</v>
      </c>
    </row>
    <row r="1760" spans="1:3" ht="15">
      <c r="A1760" s="77" t="s">
        <v>238</v>
      </c>
      <c r="B1760" s="76" t="s">
        <v>3872</v>
      </c>
      <c r="C1760" s="80" t="s">
        <v>1073</v>
      </c>
    </row>
    <row r="1761" spans="1:3" ht="15">
      <c r="A1761" s="77" t="s">
        <v>238</v>
      </c>
      <c r="B1761" s="76" t="s">
        <v>3873</v>
      </c>
      <c r="C1761" s="80" t="s">
        <v>1073</v>
      </c>
    </row>
    <row r="1762" spans="1:3" ht="15">
      <c r="A1762" s="77" t="s">
        <v>238</v>
      </c>
      <c r="B1762" s="76" t="s">
        <v>3874</v>
      </c>
      <c r="C1762" s="80" t="s">
        <v>1073</v>
      </c>
    </row>
    <row r="1763" spans="1:3" ht="15">
      <c r="A1763" s="77" t="s">
        <v>238</v>
      </c>
      <c r="B1763" s="76" t="s">
        <v>3875</v>
      </c>
      <c r="C1763" s="80" t="s">
        <v>1073</v>
      </c>
    </row>
    <row r="1764" spans="1:3" ht="15">
      <c r="A1764" s="77" t="s">
        <v>238</v>
      </c>
      <c r="B1764" s="76" t="s">
        <v>3053</v>
      </c>
      <c r="C1764" s="80" t="s">
        <v>1073</v>
      </c>
    </row>
    <row r="1765" spans="1:3" ht="15">
      <c r="A1765" s="77" t="s">
        <v>238</v>
      </c>
      <c r="B1765" s="76" t="s">
        <v>3052</v>
      </c>
      <c r="C1765" s="80" t="s">
        <v>1073</v>
      </c>
    </row>
    <row r="1766" spans="1:3" ht="15">
      <c r="A1766" s="77" t="s">
        <v>238</v>
      </c>
      <c r="B1766" s="76" t="s">
        <v>443</v>
      </c>
      <c r="C1766" s="80" t="s">
        <v>1073</v>
      </c>
    </row>
    <row r="1767" spans="1:3" ht="15">
      <c r="A1767" s="77" t="s">
        <v>238</v>
      </c>
      <c r="B1767" s="76" t="s">
        <v>444</v>
      </c>
      <c r="C1767" s="80" t="s">
        <v>1073</v>
      </c>
    </row>
    <row r="1768" spans="1:3" ht="15">
      <c r="A1768" s="77" t="s">
        <v>238</v>
      </c>
      <c r="B1768" s="76" t="s">
        <v>445</v>
      </c>
      <c r="C1768" s="80" t="s">
        <v>1073</v>
      </c>
    </row>
    <row r="1769" spans="1:3" ht="15">
      <c r="A1769" s="77" t="s">
        <v>238</v>
      </c>
      <c r="B1769" s="76" t="s">
        <v>446</v>
      </c>
      <c r="C1769" s="80" t="s">
        <v>1073</v>
      </c>
    </row>
    <row r="1770" spans="1:3" ht="15">
      <c r="A1770" s="77" t="s">
        <v>238</v>
      </c>
      <c r="B1770" s="76" t="s">
        <v>447</v>
      </c>
      <c r="C1770" s="80" t="s">
        <v>1073</v>
      </c>
    </row>
    <row r="1771" spans="1:3" ht="15">
      <c r="A1771" s="77" t="s">
        <v>238</v>
      </c>
      <c r="B1771" s="76" t="s">
        <v>448</v>
      </c>
      <c r="C1771" s="80" t="s">
        <v>1073</v>
      </c>
    </row>
    <row r="1772" spans="1:3" ht="15">
      <c r="A1772" s="77" t="s">
        <v>238</v>
      </c>
      <c r="B1772" s="76" t="s">
        <v>449</v>
      </c>
      <c r="C1772" s="80" t="s">
        <v>1073</v>
      </c>
    </row>
    <row r="1773" spans="1:3" ht="15">
      <c r="A1773" s="77" t="s">
        <v>238</v>
      </c>
      <c r="B1773" s="76" t="s">
        <v>450</v>
      </c>
      <c r="C1773" s="80" t="s">
        <v>1073</v>
      </c>
    </row>
    <row r="1774" spans="1:3" ht="15">
      <c r="A1774" s="77" t="s">
        <v>238</v>
      </c>
      <c r="B1774" s="76" t="s">
        <v>451</v>
      </c>
      <c r="C1774" s="80" t="s">
        <v>1073</v>
      </c>
    </row>
    <row r="1775" spans="1:3" ht="15">
      <c r="A1775" s="77" t="s">
        <v>238</v>
      </c>
      <c r="B1775" s="76" t="s">
        <v>452</v>
      </c>
      <c r="C1775" s="80" t="s">
        <v>1073</v>
      </c>
    </row>
    <row r="1776" spans="1:3" ht="15">
      <c r="A1776" s="77" t="s">
        <v>238</v>
      </c>
      <c r="B1776" s="76" t="s">
        <v>228</v>
      </c>
      <c r="C1776" s="80" t="s">
        <v>1073</v>
      </c>
    </row>
    <row r="1777" spans="1:3" ht="15">
      <c r="A1777" s="77" t="s">
        <v>238</v>
      </c>
      <c r="B1777" s="76" t="s">
        <v>3876</v>
      </c>
      <c r="C1777" s="80" t="s">
        <v>1073</v>
      </c>
    </row>
    <row r="1778" spans="1:3" ht="15">
      <c r="A1778" s="77" t="s">
        <v>258</v>
      </c>
      <c r="B1778" s="76" t="s">
        <v>3895</v>
      </c>
      <c r="C1778" s="80" t="s">
        <v>1142</v>
      </c>
    </row>
    <row r="1779" spans="1:3" ht="15">
      <c r="A1779" s="77" t="s">
        <v>258</v>
      </c>
      <c r="B1779" s="76" t="s">
        <v>3896</v>
      </c>
      <c r="C1779" s="80" t="s">
        <v>1142</v>
      </c>
    </row>
    <row r="1780" spans="1:3" ht="15">
      <c r="A1780" s="77" t="s">
        <v>258</v>
      </c>
      <c r="B1780" s="76" t="s">
        <v>3328</v>
      </c>
      <c r="C1780" s="80" t="s">
        <v>1142</v>
      </c>
    </row>
    <row r="1781" spans="1:3" ht="15">
      <c r="A1781" s="77" t="s">
        <v>258</v>
      </c>
      <c r="B1781" s="76" t="s">
        <v>526</v>
      </c>
      <c r="C1781" s="80" t="s">
        <v>1142</v>
      </c>
    </row>
    <row r="1782" spans="1:3" ht="15">
      <c r="A1782" s="77" t="s">
        <v>258</v>
      </c>
      <c r="B1782" s="76" t="s">
        <v>527</v>
      </c>
      <c r="C1782" s="80" t="s">
        <v>1142</v>
      </c>
    </row>
    <row r="1783" spans="1:3" ht="15">
      <c r="A1783" s="77" t="s">
        <v>258</v>
      </c>
      <c r="B1783" s="76" t="s">
        <v>228</v>
      </c>
      <c r="C1783" s="80" t="s">
        <v>1142</v>
      </c>
    </row>
    <row r="1784" spans="1:3" ht="15">
      <c r="A1784" s="77" t="s">
        <v>258</v>
      </c>
      <c r="B1784" s="76" t="s">
        <v>528</v>
      </c>
      <c r="C1784" s="80" t="s">
        <v>1142</v>
      </c>
    </row>
    <row r="1785" spans="1:3" ht="15">
      <c r="A1785" s="77" t="s">
        <v>258</v>
      </c>
      <c r="B1785" s="76" t="s">
        <v>529</v>
      </c>
      <c r="C1785" s="80" t="s">
        <v>1142</v>
      </c>
    </row>
    <row r="1786" spans="1:3" ht="15">
      <c r="A1786" s="77" t="s">
        <v>258</v>
      </c>
      <c r="B1786" s="76" t="s">
        <v>530</v>
      </c>
      <c r="C1786" s="80" t="s">
        <v>1142</v>
      </c>
    </row>
    <row r="1787" spans="1:3" ht="15">
      <c r="A1787" s="77" t="s">
        <v>258</v>
      </c>
      <c r="B1787" s="76" t="s">
        <v>531</v>
      </c>
      <c r="C1787" s="80" t="s">
        <v>1142</v>
      </c>
    </row>
    <row r="1788" spans="1:3" ht="15">
      <c r="A1788" s="77" t="s">
        <v>258</v>
      </c>
      <c r="B1788" s="76" t="s">
        <v>532</v>
      </c>
      <c r="C1788" s="80" t="s">
        <v>1142</v>
      </c>
    </row>
    <row r="1789" spans="1:3" ht="15">
      <c r="A1789" s="77" t="s">
        <v>258</v>
      </c>
      <c r="B1789" s="76" t="s">
        <v>533</v>
      </c>
      <c r="C1789" s="80" t="s">
        <v>1142</v>
      </c>
    </row>
    <row r="1790" spans="1:3" ht="15">
      <c r="A1790" s="77" t="s">
        <v>258</v>
      </c>
      <c r="B1790" s="76" t="s">
        <v>534</v>
      </c>
      <c r="C1790" s="80" t="s">
        <v>1142</v>
      </c>
    </row>
    <row r="1791" spans="1:3" ht="15">
      <c r="A1791" s="77" t="s">
        <v>258</v>
      </c>
      <c r="B1791" s="76" t="s">
        <v>535</v>
      </c>
      <c r="C1791" s="80" t="s">
        <v>1142</v>
      </c>
    </row>
    <row r="1792" spans="1:3" ht="15">
      <c r="A1792" s="77" t="s">
        <v>258</v>
      </c>
      <c r="B1792" s="76" t="s">
        <v>536</v>
      </c>
      <c r="C1792" s="80" t="s">
        <v>1142</v>
      </c>
    </row>
    <row r="1793" spans="1:3" ht="15">
      <c r="A1793" s="77" t="s">
        <v>258</v>
      </c>
      <c r="B1793" s="76" t="s">
        <v>537</v>
      </c>
      <c r="C1793" s="80" t="s">
        <v>1142</v>
      </c>
    </row>
    <row r="1794" spans="1:3" ht="15">
      <c r="A1794" s="77" t="s">
        <v>258</v>
      </c>
      <c r="B1794" s="76" t="s">
        <v>538</v>
      </c>
      <c r="C1794" s="80" t="s">
        <v>1142</v>
      </c>
    </row>
    <row r="1795" spans="1:3" ht="15">
      <c r="A1795" s="77" t="s">
        <v>258</v>
      </c>
      <c r="B1795" s="76" t="s">
        <v>3897</v>
      </c>
      <c r="C1795" s="80" t="s">
        <v>1142</v>
      </c>
    </row>
    <row r="1796" spans="1:3" ht="15">
      <c r="A1796" s="77" t="s">
        <v>258</v>
      </c>
      <c r="B1796" s="76" t="s">
        <v>724</v>
      </c>
      <c r="C1796" s="80" t="s">
        <v>1142</v>
      </c>
    </row>
    <row r="1797" spans="1:3" ht="15">
      <c r="A1797" s="77" t="s">
        <v>254</v>
      </c>
      <c r="B1797" s="76" t="s">
        <v>3898</v>
      </c>
      <c r="C1797" s="80" t="s">
        <v>1125</v>
      </c>
    </row>
    <row r="1798" spans="1:3" ht="15">
      <c r="A1798" s="77" t="s">
        <v>254</v>
      </c>
      <c r="B1798" s="76" t="s">
        <v>3066</v>
      </c>
      <c r="C1798" s="80" t="s">
        <v>1125</v>
      </c>
    </row>
    <row r="1799" spans="1:3" ht="15">
      <c r="A1799" s="77" t="s">
        <v>254</v>
      </c>
      <c r="B1799" s="76" t="s">
        <v>3899</v>
      </c>
      <c r="C1799" s="80" t="s">
        <v>1125</v>
      </c>
    </row>
    <row r="1800" spans="1:3" ht="15">
      <c r="A1800" s="77" t="s">
        <v>254</v>
      </c>
      <c r="B1800" s="76" t="s">
        <v>3213</v>
      </c>
      <c r="C1800" s="80" t="s">
        <v>1125</v>
      </c>
    </row>
    <row r="1801" spans="1:3" ht="15">
      <c r="A1801" s="77" t="s">
        <v>254</v>
      </c>
      <c r="B1801" s="76" t="s">
        <v>3105</v>
      </c>
      <c r="C1801" s="80" t="s">
        <v>1125</v>
      </c>
    </row>
    <row r="1802" spans="1:3" ht="15">
      <c r="A1802" s="77" t="s">
        <v>254</v>
      </c>
      <c r="B1802" s="76" t="s">
        <v>3081</v>
      </c>
      <c r="C1802" s="80" t="s">
        <v>1125</v>
      </c>
    </row>
    <row r="1803" spans="1:3" ht="15">
      <c r="A1803" s="77" t="s">
        <v>254</v>
      </c>
      <c r="B1803" s="76" t="s">
        <v>3825</v>
      </c>
      <c r="C1803" s="80" t="s">
        <v>1125</v>
      </c>
    </row>
    <row r="1804" spans="1:3" ht="15">
      <c r="A1804" s="77" t="s">
        <v>254</v>
      </c>
      <c r="B1804" s="76" t="s">
        <v>3900</v>
      </c>
      <c r="C1804" s="80" t="s">
        <v>1125</v>
      </c>
    </row>
    <row r="1805" spans="1:3" ht="15">
      <c r="A1805" s="77" t="s">
        <v>254</v>
      </c>
      <c r="B1805" s="76" t="s">
        <v>3901</v>
      </c>
      <c r="C1805" s="80" t="s">
        <v>1125</v>
      </c>
    </row>
    <row r="1806" spans="1:3" ht="15">
      <c r="A1806" s="77" t="s">
        <v>254</v>
      </c>
      <c r="B1806" s="76" t="s">
        <v>3076</v>
      </c>
      <c r="C1806" s="80" t="s">
        <v>1125</v>
      </c>
    </row>
    <row r="1807" spans="1:3" ht="15">
      <c r="A1807" s="77" t="s">
        <v>254</v>
      </c>
      <c r="B1807" s="76" t="s">
        <v>3902</v>
      </c>
      <c r="C1807" s="80" t="s">
        <v>1125</v>
      </c>
    </row>
    <row r="1808" spans="1:3" ht="15">
      <c r="A1808" s="77" t="s">
        <v>254</v>
      </c>
      <c r="B1808" s="76" t="s">
        <v>3903</v>
      </c>
      <c r="C1808" s="80" t="s">
        <v>1125</v>
      </c>
    </row>
    <row r="1809" spans="1:3" ht="15">
      <c r="A1809" s="77" t="s">
        <v>254</v>
      </c>
      <c r="B1809" s="76">
        <v>618</v>
      </c>
      <c r="C1809" s="80" t="s">
        <v>1125</v>
      </c>
    </row>
    <row r="1810" spans="1:3" ht="15">
      <c r="A1810" s="77" t="s">
        <v>254</v>
      </c>
      <c r="B1810" s="76">
        <v>16</v>
      </c>
      <c r="C1810" s="80" t="s">
        <v>1125</v>
      </c>
    </row>
    <row r="1811" spans="1:3" ht="15">
      <c r="A1811" s="77" t="s">
        <v>254</v>
      </c>
      <c r="B1811" s="76" t="s">
        <v>3131</v>
      </c>
      <c r="C1811" s="80" t="s">
        <v>1125</v>
      </c>
    </row>
    <row r="1812" spans="1:3" ht="15">
      <c r="A1812" s="77" t="s">
        <v>254</v>
      </c>
      <c r="B1812" s="76" t="s">
        <v>3904</v>
      </c>
      <c r="C1812" s="80" t="s">
        <v>1125</v>
      </c>
    </row>
    <row r="1813" spans="1:3" ht="15">
      <c r="A1813" s="77" t="s">
        <v>254</v>
      </c>
      <c r="B1813" s="76">
        <v>147</v>
      </c>
      <c r="C1813" s="80" t="s">
        <v>1125</v>
      </c>
    </row>
    <row r="1814" spans="1:3" ht="15">
      <c r="A1814" s="77" t="s">
        <v>254</v>
      </c>
      <c r="B1814" s="76">
        <v>17</v>
      </c>
      <c r="C1814" s="80" t="s">
        <v>1125</v>
      </c>
    </row>
    <row r="1815" spans="1:3" ht="15">
      <c r="A1815" s="77" t="s">
        <v>254</v>
      </c>
      <c r="B1815" s="76" t="s">
        <v>3905</v>
      </c>
      <c r="C1815" s="80" t="s">
        <v>1125</v>
      </c>
    </row>
    <row r="1816" spans="1:3" ht="15">
      <c r="A1816" s="77" t="s">
        <v>254</v>
      </c>
      <c r="B1816" s="76" t="s">
        <v>3906</v>
      </c>
      <c r="C1816" s="80" t="s">
        <v>1125</v>
      </c>
    </row>
    <row r="1817" spans="1:3" ht="15">
      <c r="A1817" s="77" t="s">
        <v>254</v>
      </c>
      <c r="B1817" s="76" t="s">
        <v>228</v>
      </c>
      <c r="C1817" s="80" t="s">
        <v>1125</v>
      </c>
    </row>
    <row r="1818" spans="1:3" ht="15">
      <c r="A1818" s="77" t="s">
        <v>254</v>
      </c>
      <c r="B1818" s="76" t="s">
        <v>3907</v>
      </c>
      <c r="C1818" s="80" t="s">
        <v>1125</v>
      </c>
    </row>
    <row r="1819" spans="1:3" ht="15">
      <c r="A1819" s="77" t="s">
        <v>254</v>
      </c>
      <c r="B1819" s="76" t="s">
        <v>3908</v>
      </c>
      <c r="C1819" s="80" t="s">
        <v>1125</v>
      </c>
    </row>
    <row r="1820" spans="1:3" ht="15">
      <c r="A1820" s="77" t="s">
        <v>254</v>
      </c>
      <c r="B1820" s="76" t="s">
        <v>3909</v>
      </c>
      <c r="C1820" s="80" t="s">
        <v>1125</v>
      </c>
    </row>
    <row r="1821" spans="1:3" ht="15">
      <c r="A1821" s="77" t="s">
        <v>254</v>
      </c>
      <c r="B1821" s="76" t="s">
        <v>3910</v>
      </c>
      <c r="C1821" s="80" t="s">
        <v>1125</v>
      </c>
    </row>
    <row r="1822" spans="1:3" ht="15">
      <c r="A1822" s="77" t="s">
        <v>254</v>
      </c>
      <c r="B1822" s="76" t="s">
        <v>3911</v>
      </c>
      <c r="C1822" s="80" t="s">
        <v>1125</v>
      </c>
    </row>
    <row r="1823" spans="1:3" ht="15">
      <c r="A1823" s="77" t="s">
        <v>253</v>
      </c>
      <c r="B1823" s="76" t="s">
        <v>3912</v>
      </c>
      <c r="C1823" s="80" t="s">
        <v>1124</v>
      </c>
    </row>
    <row r="1824" spans="1:3" ht="15">
      <c r="A1824" s="77" t="s">
        <v>253</v>
      </c>
      <c r="B1824" s="76" t="s">
        <v>3913</v>
      </c>
      <c r="C1824" s="80" t="s">
        <v>1124</v>
      </c>
    </row>
    <row r="1825" spans="1:3" ht="15">
      <c r="A1825" s="77" t="s">
        <v>253</v>
      </c>
      <c r="B1825" s="76" t="s">
        <v>3914</v>
      </c>
      <c r="C1825" s="80" t="s">
        <v>1124</v>
      </c>
    </row>
    <row r="1826" spans="1:3" ht="15">
      <c r="A1826" s="77" t="s">
        <v>253</v>
      </c>
      <c r="B1826" s="76" t="s">
        <v>3915</v>
      </c>
      <c r="C1826" s="80" t="s">
        <v>1124</v>
      </c>
    </row>
    <row r="1827" spans="1:3" ht="15">
      <c r="A1827" s="77" t="s">
        <v>253</v>
      </c>
      <c r="B1827" s="76" t="s">
        <v>3115</v>
      </c>
      <c r="C1827" s="80" t="s">
        <v>1124</v>
      </c>
    </row>
    <row r="1828" spans="1:3" ht="15">
      <c r="A1828" s="77" t="s">
        <v>253</v>
      </c>
      <c r="B1828" s="76" t="s">
        <v>3916</v>
      </c>
      <c r="C1828" s="80" t="s">
        <v>1124</v>
      </c>
    </row>
    <row r="1829" spans="1:3" ht="15">
      <c r="A1829" s="77" t="s">
        <v>253</v>
      </c>
      <c r="B1829" s="76" t="s">
        <v>228</v>
      </c>
      <c r="C1829" s="80" t="s">
        <v>1124</v>
      </c>
    </row>
    <row r="1830" spans="1:3" ht="15">
      <c r="A1830" s="77" t="s">
        <v>253</v>
      </c>
      <c r="B1830" s="76" t="s">
        <v>229</v>
      </c>
      <c r="C1830" s="80" t="s">
        <v>1124</v>
      </c>
    </row>
    <row r="1831" spans="1:3" ht="15">
      <c r="A1831" s="77" t="s">
        <v>253</v>
      </c>
      <c r="B1831" s="76" t="s">
        <v>252</v>
      </c>
      <c r="C1831" s="80" t="s">
        <v>1124</v>
      </c>
    </row>
    <row r="1832" spans="1:3" ht="15">
      <c r="A1832" s="77" t="s">
        <v>257</v>
      </c>
      <c r="B1832" s="76" t="s">
        <v>228</v>
      </c>
      <c r="C1832" s="80" t="s">
        <v>1138</v>
      </c>
    </row>
    <row r="1833" spans="1:3" ht="15">
      <c r="A1833" s="77" t="s">
        <v>257</v>
      </c>
      <c r="B1833" s="76" t="s">
        <v>529</v>
      </c>
      <c r="C1833" s="80" t="s">
        <v>1138</v>
      </c>
    </row>
    <row r="1834" spans="1:3" ht="15">
      <c r="A1834" s="77" t="s">
        <v>257</v>
      </c>
      <c r="B1834" s="76" t="s">
        <v>530</v>
      </c>
      <c r="C1834" s="80" t="s">
        <v>1138</v>
      </c>
    </row>
    <row r="1835" spans="1:3" ht="15">
      <c r="A1835" s="77" t="s">
        <v>257</v>
      </c>
      <c r="B1835" s="76" t="s">
        <v>531</v>
      </c>
      <c r="C1835" s="80" t="s">
        <v>1138</v>
      </c>
    </row>
    <row r="1836" spans="1:3" ht="15">
      <c r="A1836" s="77" t="s">
        <v>257</v>
      </c>
      <c r="B1836" s="76" t="s">
        <v>532</v>
      </c>
      <c r="C1836" s="80" t="s">
        <v>1138</v>
      </c>
    </row>
    <row r="1837" spans="1:3" ht="15">
      <c r="A1837" s="77" t="s">
        <v>257</v>
      </c>
      <c r="B1837" s="76" t="s">
        <v>533</v>
      </c>
      <c r="C1837" s="80" t="s">
        <v>1138</v>
      </c>
    </row>
    <row r="1838" spans="1:3" ht="15">
      <c r="A1838" s="77" t="s">
        <v>257</v>
      </c>
      <c r="B1838" s="76" t="s">
        <v>535</v>
      </c>
      <c r="C1838" s="80" t="s">
        <v>1138</v>
      </c>
    </row>
    <row r="1839" spans="1:3" ht="15">
      <c r="A1839" s="77" t="s">
        <v>257</v>
      </c>
      <c r="B1839" s="76" t="s">
        <v>536</v>
      </c>
      <c r="C1839" s="80" t="s">
        <v>1138</v>
      </c>
    </row>
    <row r="1840" spans="1:3" ht="15">
      <c r="A1840" s="77" t="s">
        <v>257</v>
      </c>
      <c r="B1840" s="76" t="s">
        <v>537</v>
      </c>
      <c r="C1840" s="80" t="s">
        <v>1138</v>
      </c>
    </row>
    <row r="1841" spans="1:3" ht="15">
      <c r="A1841" s="77" t="s">
        <v>257</v>
      </c>
      <c r="B1841" s="76" t="s">
        <v>538</v>
      </c>
      <c r="C1841" s="80" t="s">
        <v>1138</v>
      </c>
    </row>
    <row r="1842" spans="1:3" ht="15">
      <c r="A1842" s="77" t="s">
        <v>257</v>
      </c>
      <c r="B1842" s="76" t="s">
        <v>3917</v>
      </c>
      <c r="C1842" s="80" t="s">
        <v>1138</v>
      </c>
    </row>
    <row r="1843" spans="1:3" ht="15">
      <c r="A1843" s="77" t="s">
        <v>257</v>
      </c>
      <c r="B1843" s="76" t="s">
        <v>3918</v>
      </c>
      <c r="C1843" s="80" t="s">
        <v>1138</v>
      </c>
    </row>
    <row r="1844" spans="1:3" ht="15">
      <c r="A1844" s="77" t="s">
        <v>257</v>
      </c>
      <c r="B1844" s="76" t="s">
        <v>3601</v>
      </c>
      <c r="C1844" s="80" t="s">
        <v>1138</v>
      </c>
    </row>
    <row r="1845" spans="1:3" ht="15">
      <c r="A1845" s="77" t="s">
        <v>257</v>
      </c>
      <c r="B1845" s="76" t="s">
        <v>3919</v>
      </c>
      <c r="C1845" s="80" t="s">
        <v>1138</v>
      </c>
    </row>
    <row r="1846" spans="1:3" ht="15">
      <c r="A1846" s="77" t="s">
        <v>257</v>
      </c>
      <c r="B1846" s="76" t="s">
        <v>3920</v>
      </c>
      <c r="C1846" s="80" t="s">
        <v>1138</v>
      </c>
    </row>
    <row r="1847" spans="1:3" ht="15">
      <c r="A1847" s="77" t="s">
        <v>257</v>
      </c>
      <c r="B1847" s="76" t="s">
        <v>3116</v>
      </c>
      <c r="C1847" s="80" t="s">
        <v>1138</v>
      </c>
    </row>
    <row r="1848" spans="1:3" ht="15">
      <c r="A1848" s="77" t="s">
        <v>257</v>
      </c>
      <c r="B1848" s="76" t="s">
        <v>3921</v>
      </c>
      <c r="C1848" s="80" t="s">
        <v>1138</v>
      </c>
    </row>
    <row r="1849" spans="1:3" ht="15">
      <c r="A1849" s="77" t="s">
        <v>257</v>
      </c>
      <c r="B1849" s="76" t="s">
        <v>3105</v>
      </c>
      <c r="C1849" s="80" t="s">
        <v>1138</v>
      </c>
    </row>
    <row r="1850" spans="1:3" ht="15">
      <c r="A1850" s="77" t="s">
        <v>257</v>
      </c>
      <c r="B1850" s="76" t="s">
        <v>724</v>
      </c>
      <c r="C1850" s="80" t="s">
        <v>1138</v>
      </c>
    </row>
    <row r="1851" spans="1:3" ht="15">
      <c r="A1851" s="77" t="s">
        <v>229</v>
      </c>
      <c r="B1851" s="76" t="s">
        <v>3922</v>
      </c>
      <c r="C1851" s="80" t="s">
        <v>1119</v>
      </c>
    </row>
    <row r="1852" spans="1:3" ht="15">
      <c r="A1852" s="77" t="s">
        <v>229</v>
      </c>
      <c r="B1852" s="76" t="s">
        <v>3923</v>
      </c>
      <c r="C1852" s="80" t="s">
        <v>1119</v>
      </c>
    </row>
    <row r="1853" spans="1:3" ht="15">
      <c r="A1853" s="77" t="s">
        <v>229</v>
      </c>
      <c r="B1853" s="76" t="s">
        <v>3924</v>
      </c>
      <c r="C1853" s="80" t="s">
        <v>1119</v>
      </c>
    </row>
    <row r="1854" spans="1:3" ht="15">
      <c r="A1854" s="77" t="s">
        <v>229</v>
      </c>
      <c r="B1854" s="76" t="s">
        <v>3925</v>
      </c>
      <c r="C1854" s="80" t="s">
        <v>1119</v>
      </c>
    </row>
    <row r="1855" spans="1:3" ht="15">
      <c r="A1855" s="77" t="s">
        <v>229</v>
      </c>
      <c r="B1855" s="76" t="s">
        <v>3926</v>
      </c>
      <c r="C1855" s="80" t="s">
        <v>1119</v>
      </c>
    </row>
    <row r="1856" spans="1:3" ht="15">
      <c r="A1856" s="77" t="s">
        <v>229</v>
      </c>
      <c r="B1856" s="76" t="s">
        <v>3129</v>
      </c>
      <c r="C1856" s="80" t="s">
        <v>1119</v>
      </c>
    </row>
    <row r="1857" spans="1:3" ht="15">
      <c r="A1857" s="77" t="s">
        <v>229</v>
      </c>
      <c r="B1857" s="76" t="s">
        <v>3074</v>
      </c>
      <c r="C1857" s="80" t="s">
        <v>1119</v>
      </c>
    </row>
    <row r="1858" spans="1:3" ht="15">
      <c r="A1858" s="77" t="s">
        <v>229</v>
      </c>
      <c r="B1858" s="76" t="s">
        <v>3178</v>
      </c>
      <c r="C1858" s="80" t="s">
        <v>1119</v>
      </c>
    </row>
    <row r="1859" spans="1:3" ht="15">
      <c r="A1859" s="77" t="s">
        <v>229</v>
      </c>
      <c r="B1859" s="76" t="s">
        <v>3115</v>
      </c>
      <c r="C1859" s="80" t="s">
        <v>1119</v>
      </c>
    </row>
    <row r="1860" spans="1:3" ht="15">
      <c r="A1860" s="77" t="s">
        <v>229</v>
      </c>
      <c r="B1860" s="80" t="s">
        <v>3927</v>
      </c>
      <c r="C1860" s="80" t="s">
        <v>1119</v>
      </c>
    </row>
    <row r="1861" spans="1:3" ht="15">
      <c r="A1861" s="77" t="s">
        <v>229</v>
      </c>
      <c r="B1861" s="76" t="s">
        <v>3928</v>
      </c>
      <c r="C1861" s="80" t="s">
        <v>1119</v>
      </c>
    </row>
    <row r="1862" spans="1:3" ht="15">
      <c r="A1862" s="77" t="s">
        <v>229</v>
      </c>
      <c r="B1862" s="76" t="s">
        <v>3929</v>
      </c>
      <c r="C1862" s="80" t="s">
        <v>1119</v>
      </c>
    </row>
    <row r="1863" spans="1:3" ht="15">
      <c r="A1863" s="77" t="s">
        <v>229</v>
      </c>
      <c r="B1863" s="76" t="s">
        <v>3166</v>
      </c>
      <c r="C1863" s="80" t="s">
        <v>1119</v>
      </c>
    </row>
    <row r="1864" spans="1:3" ht="15">
      <c r="A1864" s="77" t="s">
        <v>229</v>
      </c>
      <c r="B1864" s="76" t="s">
        <v>3930</v>
      </c>
      <c r="C1864" s="80" t="s">
        <v>1119</v>
      </c>
    </row>
    <row r="1865" spans="1:3" ht="15">
      <c r="A1865" s="77" t="s">
        <v>229</v>
      </c>
      <c r="B1865" s="76" t="s">
        <v>3149</v>
      </c>
      <c r="C1865" s="80" t="s">
        <v>1119</v>
      </c>
    </row>
    <row r="1866" spans="1:3" ht="15">
      <c r="A1866" s="77" t="s">
        <v>229</v>
      </c>
      <c r="B1866" s="76" t="s">
        <v>3931</v>
      </c>
      <c r="C1866" s="80" t="s">
        <v>1119</v>
      </c>
    </row>
    <row r="1867" spans="1:3" ht="15">
      <c r="A1867" s="77" t="s">
        <v>229</v>
      </c>
      <c r="B1867" s="76" t="s">
        <v>3932</v>
      </c>
      <c r="C1867" s="80" t="s">
        <v>1119</v>
      </c>
    </row>
    <row r="1868" spans="1:3" ht="15">
      <c r="A1868" s="77" t="s">
        <v>229</v>
      </c>
      <c r="B1868" s="76" t="s">
        <v>3933</v>
      </c>
      <c r="C1868" s="80" t="s">
        <v>1119</v>
      </c>
    </row>
    <row r="1869" spans="1:3" ht="15">
      <c r="A1869" s="77" t="s">
        <v>229</v>
      </c>
      <c r="B1869" s="76" t="s">
        <v>3068</v>
      </c>
      <c r="C1869" s="80" t="s">
        <v>1119</v>
      </c>
    </row>
    <row r="1870" spans="1:3" ht="15">
      <c r="A1870" s="77" t="s">
        <v>229</v>
      </c>
      <c r="B1870" s="76" t="s">
        <v>3109</v>
      </c>
      <c r="C1870" s="80" t="s">
        <v>1119</v>
      </c>
    </row>
    <row r="1871" spans="1:3" ht="15">
      <c r="A1871" s="77" t="s">
        <v>229</v>
      </c>
      <c r="B1871" s="76" t="s">
        <v>3934</v>
      </c>
      <c r="C1871" s="80" t="s">
        <v>1119</v>
      </c>
    </row>
    <row r="1872" spans="1:3" ht="15">
      <c r="A1872" s="77" t="s">
        <v>229</v>
      </c>
      <c r="B1872" s="76" t="s">
        <v>3935</v>
      </c>
      <c r="C1872" s="80" t="s">
        <v>1119</v>
      </c>
    </row>
    <row r="1873" spans="1:3" ht="15">
      <c r="A1873" s="77" t="s">
        <v>229</v>
      </c>
      <c r="B1873" s="76" t="s">
        <v>3936</v>
      </c>
      <c r="C1873" s="80" t="s">
        <v>1119</v>
      </c>
    </row>
    <row r="1874" spans="1:3" ht="15">
      <c r="A1874" s="77" t="s">
        <v>229</v>
      </c>
      <c r="B1874" s="76" t="s">
        <v>3937</v>
      </c>
      <c r="C1874" s="80" t="s">
        <v>1119</v>
      </c>
    </row>
    <row r="1875" spans="1:3" ht="15">
      <c r="A1875" s="77" t="s">
        <v>229</v>
      </c>
      <c r="B1875" s="76" t="s">
        <v>3938</v>
      </c>
      <c r="C1875" s="80" t="s">
        <v>1119</v>
      </c>
    </row>
    <row r="1876" spans="1:3" ht="15">
      <c r="A1876" s="77" t="s">
        <v>229</v>
      </c>
      <c r="B1876" s="76" t="s">
        <v>3939</v>
      </c>
      <c r="C1876" s="80" t="s">
        <v>1119</v>
      </c>
    </row>
    <row r="1877" spans="1:3" ht="15">
      <c r="A1877" s="77" t="s">
        <v>229</v>
      </c>
      <c r="B1877" s="76" t="s">
        <v>3940</v>
      </c>
      <c r="C1877" s="80" t="s">
        <v>1119</v>
      </c>
    </row>
    <row r="1878" spans="1:3" ht="15">
      <c r="A1878" s="77" t="s">
        <v>229</v>
      </c>
      <c r="B1878" s="76" t="s">
        <v>3941</v>
      </c>
      <c r="C1878" s="80" t="s">
        <v>1119</v>
      </c>
    </row>
    <row r="1879" spans="1:3" ht="15">
      <c r="A1879" s="77" t="s">
        <v>229</v>
      </c>
      <c r="B1879" s="76" t="s">
        <v>3942</v>
      </c>
      <c r="C1879" s="80" t="s">
        <v>1119</v>
      </c>
    </row>
    <row r="1880" spans="1:3" ht="15">
      <c r="A1880" s="77" t="s">
        <v>229</v>
      </c>
      <c r="B1880" s="76" t="s">
        <v>3943</v>
      </c>
      <c r="C1880" s="80" t="s">
        <v>1119</v>
      </c>
    </row>
    <row r="1881" spans="1:3" ht="15">
      <c r="A1881" s="77" t="s">
        <v>229</v>
      </c>
      <c r="B1881" s="76" t="s">
        <v>228</v>
      </c>
      <c r="C1881" s="80" t="s">
        <v>1119</v>
      </c>
    </row>
    <row r="1882" spans="1:3" ht="15">
      <c r="A1882" s="77" t="s">
        <v>229</v>
      </c>
      <c r="B1882" s="76" t="s">
        <v>252</v>
      </c>
      <c r="C1882" s="80" t="s">
        <v>1119</v>
      </c>
    </row>
    <row r="1883" spans="1:3" ht="15">
      <c r="A1883" s="77" t="s">
        <v>229</v>
      </c>
      <c r="B1883" s="76" t="s">
        <v>253</v>
      </c>
      <c r="C1883" s="80" t="s">
        <v>1119</v>
      </c>
    </row>
    <row r="1884" spans="1:3" ht="15">
      <c r="A1884" s="77" t="s">
        <v>228</v>
      </c>
      <c r="B1884" s="76" t="s">
        <v>724</v>
      </c>
      <c r="C1884" s="80" t="s">
        <v>1044</v>
      </c>
    </row>
    <row r="1885" spans="1:3" ht="15">
      <c r="A1885" s="77" t="s">
        <v>228</v>
      </c>
      <c r="B1885" s="76" t="s">
        <v>3290</v>
      </c>
      <c r="C1885" s="80" t="s">
        <v>1044</v>
      </c>
    </row>
    <row r="1886" spans="1:3" ht="15">
      <c r="A1886" s="77" t="s">
        <v>228</v>
      </c>
      <c r="B1886" s="76" t="s">
        <v>3944</v>
      </c>
      <c r="C1886" s="80" t="s">
        <v>1044</v>
      </c>
    </row>
    <row r="1887" spans="1:3" ht="15">
      <c r="A1887" s="77" t="s">
        <v>228</v>
      </c>
      <c r="B1887" s="76" t="s">
        <v>3945</v>
      </c>
      <c r="C1887" s="80" t="s">
        <v>1044</v>
      </c>
    </row>
    <row r="1888" spans="1:3" ht="15">
      <c r="A1888" s="77" t="s">
        <v>228</v>
      </c>
      <c r="B1888" s="76" t="s">
        <v>3946</v>
      </c>
      <c r="C1888" s="80" t="s">
        <v>1044</v>
      </c>
    </row>
    <row r="1889" spans="1:3" ht="15">
      <c r="A1889" s="77" t="s">
        <v>228</v>
      </c>
      <c r="B1889" s="76" t="s">
        <v>3947</v>
      </c>
      <c r="C1889" s="80" t="s">
        <v>1044</v>
      </c>
    </row>
    <row r="1890" spans="1:3" ht="15">
      <c r="A1890" s="77" t="s">
        <v>228</v>
      </c>
      <c r="B1890" s="76" t="s">
        <v>693</v>
      </c>
      <c r="C1890" s="80" t="s">
        <v>1044</v>
      </c>
    </row>
    <row r="1891" spans="1:3" ht="15">
      <c r="A1891" s="77" t="s">
        <v>228</v>
      </c>
      <c r="B1891" s="76" t="s">
        <v>3053</v>
      </c>
      <c r="C1891" s="80" t="s">
        <v>1044</v>
      </c>
    </row>
    <row r="1892" spans="1:3" ht="15">
      <c r="A1892" s="77" t="s">
        <v>228</v>
      </c>
      <c r="B1892" s="76" t="s">
        <v>3052</v>
      </c>
      <c r="C1892" s="80" t="s">
        <v>1044</v>
      </c>
    </row>
    <row r="1893" spans="1:3" ht="15">
      <c r="A1893" s="77" t="s">
        <v>228</v>
      </c>
      <c r="B1893" s="76" t="s">
        <v>265</v>
      </c>
      <c r="C1893" s="80" t="s">
        <v>1044</v>
      </c>
    </row>
    <row r="1894" spans="1:3" ht="15">
      <c r="A1894" s="77" t="s">
        <v>228</v>
      </c>
      <c r="B1894" s="76" t="s">
        <v>266</v>
      </c>
      <c r="C1894" s="80" t="s">
        <v>1044</v>
      </c>
    </row>
    <row r="1895" spans="1:3" ht="15">
      <c r="A1895" s="77" t="s">
        <v>228</v>
      </c>
      <c r="B1895" s="76" t="s">
        <v>267</v>
      </c>
      <c r="C1895" s="80" t="s">
        <v>1044</v>
      </c>
    </row>
    <row r="1896" spans="1:3" ht="15">
      <c r="A1896" s="77" t="s">
        <v>228</v>
      </c>
      <c r="B1896" s="76" t="s">
        <v>268</v>
      </c>
      <c r="C1896" s="80" t="s">
        <v>1044</v>
      </c>
    </row>
    <row r="1897" spans="1:3" ht="15">
      <c r="A1897" s="77" t="s">
        <v>228</v>
      </c>
      <c r="B1897" s="76" t="s">
        <v>269</v>
      </c>
      <c r="C1897" s="80" t="s">
        <v>1044</v>
      </c>
    </row>
    <row r="1898" spans="1:3" ht="15">
      <c r="A1898" s="77" t="s">
        <v>228</v>
      </c>
      <c r="B1898" s="76" t="s">
        <v>270</v>
      </c>
      <c r="C1898" s="80" t="s">
        <v>1044</v>
      </c>
    </row>
    <row r="1899" spans="1:3" ht="15">
      <c r="A1899" s="77" t="s">
        <v>228</v>
      </c>
      <c r="B1899" s="76" t="s">
        <v>271</v>
      </c>
      <c r="C1899" s="80" t="s">
        <v>1044</v>
      </c>
    </row>
    <row r="1900" spans="1:3" ht="15">
      <c r="A1900" s="77" t="s">
        <v>228</v>
      </c>
      <c r="B1900" s="76" t="s">
        <v>272</v>
      </c>
      <c r="C1900" s="80" t="s">
        <v>1044</v>
      </c>
    </row>
    <row r="1901" spans="1:3" ht="15">
      <c r="A1901" s="77" t="s">
        <v>228</v>
      </c>
      <c r="B1901" s="76" t="s">
        <v>273</v>
      </c>
      <c r="C1901" s="80" t="s">
        <v>1044</v>
      </c>
    </row>
    <row r="1902" spans="1:3" ht="15">
      <c r="A1902" s="77" t="s">
        <v>228</v>
      </c>
      <c r="B1902" s="76" t="s">
        <v>228</v>
      </c>
      <c r="C1902" s="80" t="s">
        <v>1044</v>
      </c>
    </row>
    <row r="1903" spans="1:3" ht="15">
      <c r="A1903" s="77" t="s">
        <v>228</v>
      </c>
      <c r="B1903" s="76" t="s">
        <v>234</v>
      </c>
      <c r="C1903" s="80" t="s">
        <v>1044</v>
      </c>
    </row>
    <row r="1904" spans="1:3" ht="15">
      <c r="A1904" s="77" t="s">
        <v>252</v>
      </c>
      <c r="B1904" s="76" t="s">
        <v>3948</v>
      </c>
      <c r="C1904" s="80" t="s">
        <v>1118</v>
      </c>
    </row>
    <row r="1905" spans="1:3" ht="15">
      <c r="A1905" s="77" t="s">
        <v>252</v>
      </c>
      <c r="B1905" s="76" t="s">
        <v>3949</v>
      </c>
      <c r="C1905" s="80" t="s">
        <v>1118</v>
      </c>
    </row>
    <row r="1906" spans="1:3" ht="15">
      <c r="A1906" s="77" t="s">
        <v>252</v>
      </c>
      <c r="B1906" s="76" t="s">
        <v>3950</v>
      </c>
      <c r="C1906" s="80" t="s">
        <v>1118</v>
      </c>
    </row>
    <row r="1907" spans="1:3" ht="15">
      <c r="A1907" s="77" t="s">
        <v>252</v>
      </c>
      <c r="B1907" s="76" t="s">
        <v>3951</v>
      </c>
      <c r="C1907" s="80" t="s">
        <v>1118</v>
      </c>
    </row>
    <row r="1908" spans="1:3" ht="15">
      <c r="A1908" s="77" t="s">
        <v>252</v>
      </c>
      <c r="B1908" s="76" t="s">
        <v>3178</v>
      </c>
      <c r="C1908" s="80" t="s">
        <v>1118</v>
      </c>
    </row>
    <row r="1909" spans="1:3" ht="15">
      <c r="A1909" s="77" t="s">
        <v>252</v>
      </c>
      <c r="B1909" s="76" t="s">
        <v>3952</v>
      </c>
      <c r="C1909" s="80" t="s">
        <v>1118</v>
      </c>
    </row>
    <row r="1910" spans="1:3" ht="15">
      <c r="A1910" s="77" t="s">
        <v>252</v>
      </c>
      <c r="B1910" s="76" t="s">
        <v>3953</v>
      </c>
      <c r="C1910" s="80" t="s">
        <v>1118</v>
      </c>
    </row>
    <row r="1911" spans="1:3" ht="15">
      <c r="A1911" s="77" t="s">
        <v>252</v>
      </c>
      <c r="B1911" s="76" t="s">
        <v>3189</v>
      </c>
      <c r="C1911" s="80" t="s">
        <v>1118</v>
      </c>
    </row>
    <row r="1912" spans="1:3" ht="15">
      <c r="A1912" s="77" t="s">
        <v>252</v>
      </c>
      <c r="B1912" s="76" t="s">
        <v>3166</v>
      </c>
      <c r="C1912" s="80" t="s">
        <v>1118</v>
      </c>
    </row>
    <row r="1913" spans="1:3" ht="15">
      <c r="A1913" s="77" t="s">
        <v>252</v>
      </c>
      <c r="B1913" s="76" t="s">
        <v>3149</v>
      </c>
      <c r="C1913" s="80" t="s">
        <v>1118</v>
      </c>
    </row>
    <row r="1914" spans="1:3" ht="15">
      <c r="A1914" s="77" t="s">
        <v>252</v>
      </c>
      <c r="B1914" s="76" t="s">
        <v>3954</v>
      </c>
      <c r="C1914" s="80" t="s">
        <v>1118</v>
      </c>
    </row>
    <row r="1915" spans="1:3" ht="15">
      <c r="A1915" s="77" t="s">
        <v>252</v>
      </c>
      <c r="B1915" s="76" t="s">
        <v>228</v>
      </c>
      <c r="C1915" s="80" t="s">
        <v>1118</v>
      </c>
    </row>
    <row r="1916" spans="1:3" ht="15">
      <c r="A1916" s="77" t="s">
        <v>252</v>
      </c>
      <c r="B1916" s="76" t="s">
        <v>253</v>
      </c>
      <c r="C1916" s="80" t="s">
        <v>1118</v>
      </c>
    </row>
    <row r="1917" spans="1:3" ht="15">
      <c r="A1917" s="77" t="s">
        <v>252</v>
      </c>
      <c r="B1917" s="76" t="s">
        <v>229</v>
      </c>
      <c r="C1917" s="80" t="s">
        <v>1118</v>
      </c>
    </row>
    <row r="1918" spans="1:3" ht="15">
      <c r="A1918" s="77" t="s">
        <v>228</v>
      </c>
      <c r="B1918" s="76" t="s">
        <v>3955</v>
      </c>
      <c r="C1918" s="80" t="s">
        <v>1148</v>
      </c>
    </row>
    <row r="1919" spans="1:3" ht="15">
      <c r="A1919" s="77" t="s">
        <v>228</v>
      </c>
      <c r="B1919" s="76" t="s">
        <v>3956</v>
      </c>
      <c r="C1919" s="80" t="s">
        <v>1148</v>
      </c>
    </row>
    <row r="1920" spans="1:3" ht="15">
      <c r="A1920" s="77" t="s">
        <v>228</v>
      </c>
      <c r="B1920" s="76" t="s">
        <v>3957</v>
      </c>
      <c r="C1920" s="80" t="s">
        <v>1148</v>
      </c>
    </row>
    <row r="1921" spans="1:3" ht="15">
      <c r="A1921" s="77" t="s">
        <v>228</v>
      </c>
      <c r="B1921" s="76" t="s">
        <v>3958</v>
      </c>
      <c r="C1921" s="80" t="s">
        <v>1148</v>
      </c>
    </row>
    <row r="1922" spans="1:3" ht="15">
      <c r="A1922" s="77" t="s">
        <v>228</v>
      </c>
      <c r="B1922" s="76" t="s">
        <v>3055</v>
      </c>
      <c r="C1922" s="80" t="s">
        <v>1148</v>
      </c>
    </row>
    <row r="1923" spans="1:3" ht="15">
      <c r="A1923" s="77" t="s">
        <v>228</v>
      </c>
      <c r="B1923" s="76" t="s">
        <v>3194</v>
      </c>
      <c r="C1923" s="80" t="s">
        <v>1148</v>
      </c>
    </row>
    <row r="1924" spans="1:3" ht="15">
      <c r="A1924" s="77" t="s">
        <v>228</v>
      </c>
      <c r="B1924" s="76" t="s">
        <v>3959</v>
      </c>
      <c r="C1924" s="80" t="s">
        <v>1148</v>
      </c>
    </row>
    <row r="1925" spans="1:3" ht="15">
      <c r="A1925" s="77" t="s">
        <v>228</v>
      </c>
      <c r="B1925" s="76" t="s">
        <v>3960</v>
      </c>
      <c r="C1925" s="80" t="s">
        <v>1148</v>
      </c>
    </row>
    <row r="1926" spans="1:3" ht="15">
      <c r="A1926" s="77" t="s">
        <v>228</v>
      </c>
      <c r="B1926" s="76" t="s">
        <v>3127</v>
      </c>
      <c r="C1926" s="80" t="s">
        <v>1148</v>
      </c>
    </row>
    <row r="1927" spans="1:3" ht="15">
      <c r="A1927" s="77" t="s">
        <v>228</v>
      </c>
      <c r="B1927" s="76" t="s">
        <v>228</v>
      </c>
      <c r="C1927" s="80" t="s">
        <v>1148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A7FC4-AFC5-4179-8F77-790D34DBCD84}">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3043</v>
      </c>
      <c r="B1" s="7" t="s">
        <v>11195</v>
      </c>
    </row>
    <row r="2" spans="1:2" ht="15">
      <c r="A2" s="76">
        <v>0</v>
      </c>
      <c r="B2" s="76" t="s">
        <v>11196</v>
      </c>
    </row>
    <row r="3" spans="1:2" ht="15">
      <c r="A3" s="77">
        <v>1</v>
      </c>
      <c r="B3" s="76" t="s">
        <v>11196</v>
      </c>
    </row>
    <row r="4" spans="1:2" ht="15">
      <c r="A4" s="77">
        <v>2</v>
      </c>
      <c r="B4" s="76" t="s">
        <v>11196</v>
      </c>
    </row>
    <row r="5" spans="1:2" ht="15">
      <c r="A5" s="77">
        <v>3</v>
      </c>
      <c r="B5" s="76" t="s">
        <v>11196</v>
      </c>
    </row>
    <row r="6" spans="1:2" ht="15">
      <c r="A6" s="77">
        <v>4</v>
      </c>
      <c r="B6" s="76" t="s">
        <v>11196</v>
      </c>
    </row>
    <row r="7" spans="1:2" ht="15">
      <c r="A7" s="77">
        <v>5</v>
      </c>
      <c r="B7" s="76" t="s">
        <v>11196</v>
      </c>
    </row>
    <row r="8" spans="1:2" ht="15">
      <c r="A8" s="77">
        <v>6</v>
      </c>
      <c r="B8" s="76" t="s">
        <v>11196</v>
      </c>
    </row>
    <row r="9" spans="1:2" ht="15">
      <c r="A9" s="77">
        <v>7</v>
      </c>
      <c r="B9" s="76" t="s">
        <v>11196</v>
      </c>
    </row>
    <row r="10" spans="1:2" ht="15">
      <c r="A10" s="77">
        <v>8</v>
      </c>
      <c r="B10" s="76" t="s">
        <v>11196</v>
      </c>
    </row>
    <row r="11" spans="1:2" ht="15">
      <c r="A11" s="77">
        <v>9</v>
      </c>
      <c r="B11" s="76" t="s">
        <v>11196</v>
      </c>
    </row>
    <row r="12" spans="1:2" ht="15">
      <c r="A12" s="77" t="s">
        <v>3961</v>
      </c>
      <c r="B12" s="76" t="s">
        <v>11196</v>
      </c>
    </row>
    <row r="13" spans="1:2" ht="15">
      <c r="A13" s="77" t="s">
        <v>3962</v>
      </c>
      <c r="B13" s="76" t="s">
        <v>11196</v>
      </c>
    </row>
    <row r="14" spans="1:2" ht="15">
      <c r="A14" s="77" t="s">
        <v>3963</v>
      </c>
      <c r="B14" s="76" t="s">
        <v>11196</v>
      </c>
    </row>
    <row r="15" spans="1:2" ht="15">
      <c r="A15" s="77" t="s">
        <v>3964</v>
      </c>
      <c r="B15" s="76" t="s">
        <v>11196</v>
      </c>
    </row>
    <row r="16" spans="1:2" ht="15">
      <c r="A16" s="77" t="s">
        <v>3965</v>
      </c>
      <c r="B16" s="76" t="s">
        <v>11196</v>
      </c>
    </row>
    <row r="17" spans="1:2" ht="15">
      <c r="A17" s="77" t="s">
        <v>3966</v>
      </c>
      <c r="B17" s="76" t="s">
        <v>11196</v>
      </c>
    </row>
    <row r="18" spans="1:2" ht="15">
      <c r="A18" s="77" t="s">
        <v>3967</v>
      </c>
      <c r="B18" s="76" t="s">
        <v>11196</v>
      </c>
    </row>
    <row r="19" spans="1:2" ht="15">
      <c r="A19" s="77" t="s">
        <v>3968</v>
      </c>
      <c r="B19" s="76" t="s">
        <v>11196</v>
      </c>
    </row>
    <row r="20" spans="1:2" ht="15">
      <c r="A20" s="77" t="s">
        <v>3969</v>
      </c>
      <c r="B20" s="76" t="s">
        <v>11196</v>
      </c>
    </row>
    <row r="21" spans="1:2" ht="15">
      <c r="A21" s="77" t="s">
        <v>3970</v>
      </c>
      <c r="B21" s="76" t="s">
        <v>11196</v>
      </c>
    </row>
    <row r="22" spans="1:2" ht="15">
      <c r="A22" s="77" t="s">
        <v>3971</v>
      </c>
      <c r="B22" s="76" t="s">
        <v>11196</v>
      </c>
    </row>
    <row r="23" spans="1:2" ht="15">
      <c r="A23" s="77" t="s">
        <v>3972</v>
      </c>
      <c r="B23" s="76" t="s">
        <v>11196</v>
      </c>
    </row>
    <row r="24" spans="1:2" ht="15">
      <c r="A24" s="77" t="s">
        <v>3973</v>
      </c>
      <c r="B24" s="76" t="s">
        <v>11196</v>
      </c>
    </row>
    <row r="25" spans="1:2" ht="15">
      <c r="A25" s="77" t="s">
        <v>3974</v>
      </c>
      <c r="B25" s="76" t="s">
        <v>11196</v>
      </c>
    </row>
    <row r="26" spans="1:2" ht="15">
      <c r="A26" s="77" t="s">
        <v>3975</v>
      </c>
      <c r="B26" s="76" t="s">
        <v>11196</v>
      </c>
    </row>
    <row r="27" spans="1:2" ht="15">
      <c r="A27" s="77" t="s">
        <v>3976</v>
      </c>
      <c r="B27" s="76" t="s">
        <v>11196</v>
      </c>
    </row>
    <row r="28" spans="1:2" ht="15">
      <c r="A28" s="77" t="s">
        <v>3977</v>
      </c>
      <c r="B28" s="76" t="s">
        <v>11196</v>
      </c>
    </row>
    <row r="29" spans="1:2" ht="15">
      <c r="A29" s="77" t="s">
        <v>3978</v>
      </c>
      <c r="B29" s="76" t="s">
        <v>11196</v>
      </c>
    </row>
    <row r="30" spans="1:2" ht="15">
      <c r="A30" s="77" t="s">
        <v>3979</v>
      </c>
      <c r="B30" s="76" t="s">
        <v>11196</v>
      </c>
    </row>
    <row r="31" spans="1:2" ht="15">
      <c r="A31" s="77" t="s">
        <v>3980</v>
      </c>
      <c r="B31" s="76" t="s">
        <v>11196</v>
      </c>
    </row>
    <row r="32" spans="1:2" ht="15">
      <c r="A32" s="77" t="s">
        <v>3981</v>
      </c>
      <c r="B32" s="76" t="s">
        <v>11196</v>
      </c>
    </row>
    <row r="33" spans="1:2" ht="15">
      <c r="A33" s="77" t="s">
        <v>3982</v>
      </c>
      <c r="B33" s="76" t="s">
        <v>11196</v>
      </c>
    </row>
    <row r="34" spans="1:2" ht="15">
      <c r="A34" s="77" t="s">
        <v>3983</v>
      </c>
      <c r="B34" s="76" t="s">
        <v>11196</v>
      </c>
    </row>
    <row r="35" spans="1:2" ht="15">
      <c r="A35" s="77" t="s">
        <v>3984</v>
      </c>
      <c r="B35" s="76" t="s">
        <v>11196</v>
      </c>
    </row>
    <row r="36" spans="1:2" ht="15">
      <c r="A36" s="77" t="s">
        <v>3985</v>
      </c>
      <c r="B36" s="76" t="s">
        <v>11196</v>
      </c>
    </row>
    <row r="37" spans="1:2" ht="15">
      <c r="A37" s="77" t="s">
        <v>3986</v>
      </c>
      <c r="B37" s="76" t="s">
        <v>11196</v>
      </c>
    </row>
    <row r="38" spans="1:2" ht="15">
      <c r="A38" s="77" t="s">
        <v>3987</v>
      </c>
      <c r="B38" s="76" t="s">
        <v>11196</v>
      </c>
    </row>
    <row r="39" spans="1:2" ht="15">
      <c r="A39" s="77" t="s">
        <v>3988</v>
      </c>
      <c r="B39" s="76" t="s">
        <v>11196</v>
      </c>
    </row>
    <row r="40" spans="1:2" ht="15">
      <c r="A40" s="77" t="s">
        <v>3989</v>
      </c>
      <c r="B40" s="76" t="s">
        <v>11196</v>
      </c>
    </row>
    <row r="41" spans="1:2" ht="15">
      <c r="A41" s="77" t="s">
        <v>3990</v>
      </c>
      <c r="B41" s="76" t="s">
        <v>11196</v>
      </c>
    </row>
    <row r="42" spans="1:2" ht="15">
      <c r="A42" s="77" t="s">
        <v>3991</v>
      </c>
      <c r="B42" s="76" t="s">
        <v>11196</v>
      </c>
    </row>
    <row r="43" spans="1:2" ht="15">
      <c r="A43" s="77" t="s">
        <v>3992</v>
      </c>
      <c r="B43" s="76" t="s">
        <v>11196</v>
      </c>
    </row>
    <row r="44" spans="1:2" ht="15">
      <c r="A44" s="77" t="s">
        <v>3993</v>
      </c>
      <c r="B44" s="76" t="s">
        <v>11196</v>
      </c>
    </row>
    <row r="45" spans="1:2" ht="15">
      <c r="A45" s="77" t="s">
        <v>3994</v>
      </c>
      <c r="B45" s="76" t="s">
        <v>11196</v>
      </c>
    </row>
    <row r="46" spans="1:2" ht="15">
      <c r="A46" s="77" t="s">
        <v>3995</v>
      </c>
      <c r="B46" s="76" t="s">
        <v>11196</v>
      </c>
    </row>
    <row r="47" spans="1:2" ht="15">
      <c r="A47" s="77" t="s">
        <v>3996</v>
      </c>
      <c r="B47" s="76" t="s">
        <v>11196</v>
      </c>
    </row>
    <row r="48" spans="1:2" ht="15">
      <c r="A48" s="77" t="s">
        <v>3997</v>
      </c>
      <c r="B48" s="76" t="s">
        <v>11196</v>
      </c>
    </row>
    <row r="49" spans="1:2" ht="15">
      <c r="A49" s="77" t="s">
        <v>3998</v>
      </c>
      <c r="B49" s="76" t="s">
        <v>11196</v>
      </c>
    </row>
    <row r="50" spans="1:2" ht="15">
      <c r="A50" s="77" t="s">
        <v>3999</v>
      </c>
      <c r="B50" s="76" t="s">
        <v>11196</v>
      </c>
    </row>
    <row r="51" spans="1:2" ht="15">
      <c r="A51" s="77" t="s">
        <v>4000</v>
      </c>
      <c r="B51" s="76" t="s">
        <v>11196</v>
      </c>
    </row>
    <row r="52" spans="1:2" ht="15">
      <c r="A52" s="77" t="s">
        <v>4001</v>
      </c>
      <c r="B52" s="76" t="s">
        <v>11196</v>
      </c>
    </row>
    <row r="53" spans="1:2" ht="15">
      <c r="A53" s="77" t="s">
        <v>4002</v>
      </c>
      <c r="B53" s="76" t="s">
        <v>11196</v>
      </c>
    </row>
    <row r="54" spans="1:2" ht="15">
      <c r="A54" s="77" t="s">
        <v>4003</v>
      </c>
      <c r="B54" s="76" t="s">
        <v>11196</v>
      </c>
    </row>
    <row r="55" spans="1:2" ht="15">
      <c r="A55" s="77" t="s">
        <v>4004</v>
      </c>
      <c r="B55" s="76" t="s">
        <v>11196</v>
      </c>
    </row>
    <row r="56" spans="1:2" ht="15">
      <c r="A56" s="77" t="s">
        <v>4005</v>
      </c>
      <c r="B56" s="76" t="s">
        <v>11196</v>
      </c>
    </row>
    <row r="57" spans="1:2" ht="15">
      <c r="A57" s="77" t="s">
        <v>4006</v>
      </c>
      <c r="B57" s="76" t="s">
        <v>11196</v>
      </c>
    </row>
    <row r="58" spans="1:2" ht="15">
      <c r="A58" s="77" t="s">
        <v>4007</v>
      </c>
      <c r="B58" s="76" t="s">
        <v>11196</v>
      </c>
    </row>
    <row r="59" spans="1:2" ht="15">
      <c r="A59" s="77" t="s">
        <v>4008</v>
      </c>
      <c r="B59" s="76" t="s">
        <v>11196</v>
      </c>
    </row>
    <row r="60" spans="1:2" ht="15">
      <c r="A60" s="77" t="s">
        <v>4009</v>
      </c>
      <c r="B60" s="76" t="s">
        <v>11196</v>
      </c>
    </row>
    <row r="61" spans="1:2" ht="15">
      <c r="A61" s="77" t="s">
        <v>4010</v>
      </c>
      <c r="B61" s="76" t="s">
        <v>11196</v>
      </c>
    </row>
    <row r="62" spans="1:2" ht="15">
      <c r="A62" s="77" t="s">
        <v>4011</v>
      </c>
      <c r="B62" s="76" t="s">
        <v>11196</v>
      </c>
    </row>
    <row r="63" spans="1:2" ht="15">
      <c r="A63" s="77" t="s">
        <v>4012</v>
      </c>
      <c r="B63" s="76" t="s">
        <v>11196</v>
      </c>
    </row>
    <row r="64" spans="1:2" ht="15">
      <c r="A64" s="77" t="s">
        <v>4013</v>
      </c>
      <c r="B64" s="76" t="s">
        <v>11196</v>
      </c>
    </row>
    <row r="65" spans="1:2" ht="15">
      <c r="A65" s="77" t="s">
        <v>4014</v>
      </c>
      <c r="B65" s="76" t="s">
        <v>11196</v>
      </c>
    </row>
    <row r="66" spans="1:2" ht="15">
      <c r="A66" s="77" t="s">
        <v>4015</v>
      </c>
      <c r="B66" s="76" t="s">
        <v>11196</v>
      </c>
    </row>
    <row r="67" spans="1:2" ht="15">
      <c r="A67" s="77" t="s">
        <v>4016</v>
      </c>
      <c r="B67" s="76" t="s">
        <v>11196</v>
      </c>
    </row>
    <row r="68" spans="1:2" ht="15">
      <c r="A68" s="77" t="s">
        <v>4017</v>
      </c>
      <c r="B68" s="76" t="s">
        <v>11196</v>
      </c>
    </row>
    <row r="69" spans="1:2" ht="15">
      <c r="A69" s="77" t="s">
        <v>4018</v>
      </c>
      <c r="B69" s="76" t="s">
        <v>11196</v>
      </c>
    </row>
    <row r="70" spans="1:2" ht="15">
      <c r="A70" s="77" t="s">
        <v>4019</v>
      </c>
      <c r="B70" s="76" t="s">
        <v>11196</v>
      </c>
    </row>
    <row r="71" spans="1:2" ht="15">
      <c r="A71" s="77" t="s">
        <v>4020</v>
      </c>
      <c r="B71" s="76" t="s">
        <v>11196</v>
      </c>
    </row>
    <row r="72" spans="1:2" ht="15">
      <c r="A72" s="77" t="s">
        <v>4021</v>
      </c>
      <c r="B72" s="76" t="s">
        <v>11196</v>
      </c>
    </row>
    <row r="73" spans="1:2" ht="15">
      <c r="A73" s="77" t="s">
        <v>4022</v>
      </c>
      <c r="B73" s="76" t="s">
        <v>11196</v>
      </c>
    </row>
    <row r="74" spans="1:2" ht="15">
      <c r="A74" s="77" t="s">
        <v>4023</v>
      </c>
      <c r="B74" s="76" t="s">
        <v>11196</v>
      </c>
    </row>
    <row r="75" spans="1:2" ht="15">
      <c r="A75" s="77" t="s">
        <v>4024</v>
      </c>
      <c r="B75" s="76" t="s">
        <v>11196</v>
      </c>
    </row>
    <row r="76" spans="1:2" ht="15">
      <c r="A76" s="77" t="s">
        <v>4025</v>
      </c>
      <c r="B76" s="76" t="s">
        <v>11196</v>
      </c>
    </row>
    <row r="77" spans="1:2" ht="15">
      <c r="A77" s="77" t="s">
        <v>4026</v>
      </c>
      <c r="B77" s="76" t="s">
        <v>11196</v>
      </c>
    </row>
    <row r="78" spans="1:2" ht="15">
      <c r="A78" s="77" t="s">
        <v>4027</v>
      </c>
      <c r="B78" s="76" t="s">
        <v>11196</v>
      </c>
    </row>
    <row r="79" spans="1:2" ht="15">
      <c r="A79" s="77" t="s">
        <v>4028</v>
      </c>
      <c r="B79" s="76" t="s">
        <v>11196</v>
      </c>
    </row>
    <row r="80" spans="1:2" ht="15">
      <c r="A80" s="77" t="s">
        <v>4029</v>
      </c>
      <c r="B80" s="76" t="s">
        <v>11196</v>
      </c>
    </row>
    <row r="81" spans="1:2" ht="15">
      <c r="A81" s="77" t="s">
        <v>4030</v>
      </c>
      <c r="B81" s="76" t="s">
        <v>11196</v>
      </c>
    </row>
    <row r="82" spans="1:2" ht="15">
      <c r="A82" s="77" t="s">
        <v>863</v>
      </c>
      <c r="B82" s="76" t="s">
        <v>11196</v>
      </c>
    </row>
    <row r="83" spans="1:2" ht="15">
      <c r="A83" s="77" t="s">
        <v>4031</v>
      </c>
      <c r="B83" s="76" t="s">
        <v>11196</v>
      </c>
    </row>
    <row r="84" spans="1:2" ht="15">
      <c r="A84" s="77" t="s">
        <v>4032</v>
      </c>
      <c r="B84" s="76" t="s">
        <v>11196</v>
      </c>
    </row>
    <row r="85" spans="1:2" ht="15">
      <c r="A85" s="77" t="s">
        <v>4033</v>
      </c>
      <c r="B85" s="76" t="s">
        <v>11196</v>
      </c>
    </row>
    <row r="86" spans="1:2" ht="15">
      <c r="A86" s="77" t="s">
        <v>4034</v>
      </c>
      <c r="B86" s="76" t="s">
        <v>11196</v>
      </c>
    </row>
    <row r="87" spans="1:2" ht="15">
      <c r="A87" s="77" t="s">
        <v>4035</v>
      </c>
      <c r="B87" s="76" t="s">
        <v>11196</v>
      </c>
    </row>
    <row r="88" spans="1:2" ht="15">
      <c r="A88" s="77" t="s">
        <v>4036</v>
      </c>
      <c r="B88" s="76" t="s">
        <v>11196</v>
      </c>
    </row>
    <row r="89" spans="1:2" ht="15">
      <c r="A89" s="77" t="s">
        <v>4037</v>
      </c>
      <c r="B89" s="76" t="s">
        <v>11196</v>
      </c>
    </row>
    <row r="90" spans="1:2" ht="15">
      <c r="A90" s="77" t="s">
        <v>4038</v>
      </c>
      <c r="B90" s="76" t="s">
        <v>11196</v>
      </c>
    </row>
    <row r="91" spans="1:2" ht="15">
      <c r="A91" s="77" t="s">
        <v>4039</v>
      </c>
      <c r="B91" s="76" t="s">
        <v>11196</v>
      </c>
    </row>
    <row r="92" spans="1:2" ht="15">
      <c r="A92" s="77" t="s">
        <v>4040</v>
      </c>
      <c r="B92" s="76" t="s">
        <v>11196</v>
      </c>
    </row>
    <row r="93" spans="1:2" ht="15">
      <c r="A93" s="77" t="s">
        <v>4041</v>
      </c>
      <c r="B93" s="76" t="s">
        <v>11196</v>
      </c>
    </row>
    <row r="94" spans="1:2" ht="15">
      <c r="A94" s="77" t="s">
        <v>4042</v>
      </c>
      <c r="B94" s="76" t="s">
        <v>11196</v>
      </c>
    </row>
    <row r="95" spans="1:2" ht="15">
      <c r="A95" s="77" t="s">
        <v>4043</v>
      </c>
      <c r="B95" s="76" t="s">
        <v>11196</v>
      </c>
    </row>
    <row r="96" spans="1:2" ht="15">
      <c r="A96" s="77" t="s">
        <v>4044</v>
      </c>
      <c r="B96" s="76" t="s">
        <v>11196</v>
      </c>
    </row>
    <row r="97" spans="1:2" ht="15">
      <c r="A97" s="77" t="s">
        <v>4045</v>
      </c>
      <c r="B97" s="76" t="s">
        <v>11196</v>
      </c>
    </row>
    <row r="98" spans="1:2" ht="15">
      <c r="A98" s="77" t="s">
        <v>4046</v>
      </c>
      <c r="B98" s="76" t="s">
        <v>11196</v>
      </c>
    </row>
    <row r="99" spans="1:2" ht="15">
      <c r="A99" s="77" t="s">
        <v>4047</v>
      </c>
      <c r="B99" s="76" t="s">
        <v>11196</v>
      </c>
    </row>
    <row r="100" spans="1:2" ht="15">
      <c r="A100" s="77" t="s">
        <v>4048</v>
      </c>
      <c r="B100" s="76" t="s">
        <v>11196</v>
      </c>
    </row>
    <row r="101" spans="1:2" ht="15">
      <c r="A101" s="77" t="s">
        <v>4049</v>
      </c>
      <c r="B101" s="76" t="s">
        <v>11196</v>
      </c>
    </row>
    <row r="102" spans="1:2" ht="15">
      <c r="A102" s="77" t="s">
        <v>4050</v>
      </c>
      <c r="B102" s="76" t="s">
        <v>11196</v>
      </c>
    </row>
    <row r="103" spans="1:2" ht="15">
      <c r="A103" s="77" t="s">
        <v>4051</v>
      </c>
      <c r="B103" s="76" t="s">
        <v>11196</v>
      </c>
    </row>
    <row r="104" spans="1:2" ht="15">
      <c r="A104" s="77" t="s">
        <v>4052</v>
      </c>
      <c r="B104" s="76" t="s">
        <v>11196</v>
      </c>
    </row>
    <row r="105" spans="1:2" ht="15">
      <c r="A105" s="77" t="s">
        <v>4053</v>
      </c>
      <c r="B105" s="76" t="s">
        <v>11196</v>
      </c>
    </row>
    <row r="106" spans="1:2" ht="15">
      <c r="A106" s="77" t="s">
        <v>4054</v>
      </c>
      <c r="B106" s="76" t="s">
        <v>11196</v>
      </c>
    </row>
    <row r="107" spans="1:2" ht="15">
      <c r="A107" s="77" t="s">
        <v>4055</v>
      </c>
      <c r="B107" s="76" t="s">
        <v>11196</v>
      </c>
    </row>
    <row r="108" spans="1:2" ht="15">
      <c r="A108" s="77" t="s">
        <v>4056</v>
      </c>
      <c r="B108" s="76" t="s">
        <v>11196</v>
      </c>
    </row>
    <row r="109" spans="1:2" ht="15">
      <c r="A109" s="77" t="s">
        <v>4057</v>
      </c>
      <c r="B109" s="76" t="s">
        <v>11196</v>
      </c>
    </row>
    <row r="110" spans="1:2" ht="15">
      <c r="A110" s="77" t="s">
        <v>4058</v>
      </c>
      <c r="B110" s="76" t="s">
        <v>11196</v>
      </c>
    </row>
    <row r="111" spans="1:2" ht="15">
      <c r="A111" s="77" t="s">
        <v>4059</v>
      </c>
      <c r="B111" s="76" t="s">
        <v>11196</v>
      </c>
    </row>
    <row r="112" spans="1:2" ht="15">
      <c r="A112" s="77" t="s">
        <v>4060</v>
      </c>
      <c r="B112" s="76" t="s">
        <v>11196</v>
      </c>
    </row>
    <row r="113" spans="1:2" ht="15">
      <c r="A113" s="77" t="s">
        <v>4061</v>
      </c>
      <c r="B113" s="76" t="s">
        <v>11196</v>
      </c>
    </row>
    <row r="114" spans="1:2" ht="15">
      <c r="A114" s="77" t="s">
        <v>4062</v>
      </c>
      <c r="B114" s="76" t="s">
        <v>11196</v>
      </c>
    </row>
    <row r="115" spans="1:2" ht="15">
      <c r="A115" s="77" t="s">
        <v>4063</v>
      </c>
      <c r="B115" s="76" t="s">
        <v>11196</v>
      </c>
    </row>
    <row r="116" spans="1:2" ht="15">
      <c r="A116" s="77" t="s">
        <v>4064</v>
      </c>
      <c r="B116" s="76" t="s">
        <v>11196</v>
      </c>
    </row>
    <row r="117" spans="1:2" ht="15">
      <c r="A117" s="77" t="s">
        <v>4065</v>
      </c>
      <c r="B117" s="76" t="s">
        <v>11196</v>
      </c>
    </row>
    <row r="118" spans="1:2" ht="15">
      <c r="A118" s="77" t="s">
        <v>4066</v>
      </c>
      <c r="B118" s="76" t="s">
        <v>11196</v>
      </c>
    </row>
    <row r="119" spans="1:2" ht="15">
      <c r="A119" s="77" t="s">
        <v>4067</v>
      </c>
      <c r="B119" s="76" t="s">
        <v>11196</v>
      </c>
    </row>
    <row r="120" spans="1:2" ht="15">
      <c r="A120" s="77" t="s">
        <v>4068</v>
      </c>
      <c r="B120" s="76" t="s">
        <v>11196</v>
      </c>
    </row>
    <row r="121" spans="1:2" ht="15">
      <c r="A121" s="77" t="s">
        <v>4069</v>
      </c>
      <c r="B121" s="76" t="s">
        <v>11196</v>
      </c>
    </row>
    <row r="122" spans="1:2" ht="15">
      <c r="A122" s="77" t="s">
        <v>4070</v>
      </c>
      <c r="B122" s="76" t="s">
        <v>11196</v>
      </c>
    </row>
    <row r="123" spans="1:2" ht="15">
      <c r="A123" s="77" t="s">
        <v>4071</v>
      </c>
      <c r="B123" s="76" t="s">
        <v>11196</v>
      </c>
    </row>
    <row r="124" spans="1:2" ht="15">
      <c r="A124" s="77" t="s">
        <v>4072</v>
      </c>
      <c r="B124" s="76" t="s">
        <v>11196</v>
      </c>
    </row>
    <row r="125" spans="1:2" ht="15">
      <c r="A125" s="77" t="s">
        <v>4073</v>
      </c>
      <c r="B125" s="76" t="s">
        <v>11196</v>
      </c>
    </row>
    <row r="126" spans="1:2" ht="15">
      <c r="A126" s="77" t="s">
        <v>4074</v>
      </c>
      <c r="B126" s="76" t="s">
        <v>11196</v>
      </c>
    </row>
    <row r="127" spans="1:2" ht="15">
      <c r="A127" s="77" t="s">
        <v>4075</v>
      </c>
      <c r="B127" s="76" t="s">
        <v>11196</v>
      </c>
    </row>
    <row r="128" spans="1:2" ht="15">
      <c r="A128" s="77" t="s">
        <v>4076</v>
      </c>
      <c r="B128" s="76" t="s">
        <v>11196</v>
      </c>
    </row>
    <row r="129" spans="1:2" ht="15">
      <c r="A129" s="77" t="s">
        <v>4077</v>
      </c>
      <c r="B129" s="76" t="s">
        <v>11196</v>
      </c>
    </row>
    <row r="130" spans="1:2" ht="15">
      <c r="A130" s="77" t="s">
        <v>4078</v>
      </c>
      <c r="B130" s="76" t="s">
        <v>11196</v>
      </c>
    </row>
    <row r="131" spans="1:2" ht="15">
      <c r="A131" s="77" t="s">
        <v>4079</v>
      </c>
      <c r="B131" s="76" t="s">
        <v>11196</v>
      </c>
    </row>
    <row r="132" spans="1:2" ht="15">
      <c r="A132" s="77" t="s">
        <v>4080</v>
      </c>
      <c r="B132" s="76" t="s">
        <v>11196</v>
      </c>
    </row>
    <row r="133" spans="1:2" ht="15">
      <c r="A133" s="77" t="s">
        <v>4081</v>
      </c>
      <c r="B133" s="76" t="s">
        <v>11196</v>
      </c>
    </row>
    <row r="134" spans="1:2" ht="15">
      <c r="A134" s="77" t="s">
        <v>4082</v>
      </c>
      <c r="B134" s="76" t="s">
        <v>11196</v>
      </c>
    </row>
    <row r="135" spans="1:2" ht="15">
      <c r="A135" s="77" t="s">
        <v>4083</v>
      </c>
      <c r="B135" s="76" t="s">
        <v>11196</v>
      </c>
    </row>
    <row r="136" spans="1:2" ht="15">
      <c r="A136" s="77" t="s">
        <v>4084</v>
      </c>
      <c r="B136" s="76" t="s">
        <v>11196</v>
      </c>
    </row>
    <row r="137" spans="1:2" ht="15">
      <c r="A137" s="77" t="s">
        <v>4085</v>
      </c>
      <c r="B137" s="76" t="s">
        <v>11196</v>
      </c>
    </row>
    <row r="138" spans="1:2" ht="15">
      <c r="A138" s="77" t="s">
        <v>4086</v>
      </c>
      <c r="B138" s="76" t="s">
        <v>11196</v>
      </c>
    </row>
    <row r="139" spans="1:2" ht="15">
      <c r="A139" s="77" t="s">
        <v>4087</v>
      </c>
      <c r="B139" s="76" t="s">
        <v>11196</v>
      </c>
    </row>
    <row r="140" spans="1:2" ht="15">
      <c r="A140" s="77" t="s">
        <v>859</v>
      </c>
      <c r="B140" s="76" t="s">
        <v>11196</v>
      </c>
    </row>
    <row r="141" spans="1:2" ht="15">
      <c r="A141" s="77" t="s">
        <v>4088</v>
      </c>
      <c r="B141" s="76" t="s">
        <v>11196</v>
      </c>
    </row>
    <row r="142" spans="1:2" ht="15">
      <c r="A142" s="77" t="s">
        <v>4089</v>
      </c>
      <c r="B142" s="76" t="s">
        <v>11196</v>
      </c>
    </row>
    <row r="143" spans="1:2" ht="15">
      <c r="A143" s="77" t="s">
        <v>4090</v>
      </c>
      <c r="B143" s="76" t="s">
        <v>11196</v>
      </c>
    </row>
    <row r="144" spans="1:2" ht="15">
      <c r="A144" s="77" t="s">
        <v>858</v>
      </c>
      <c r="B144" s="76" t="s">
        <v>11196</v>
      </c>
    </row>
    <row r="145" spans="1:2" ht="15">
      <c r="A145" s="77" t="s">
        <v>4091</v>
      </c>
      <c r="B145" s="76" t="s">
        <v>11196</v>
      </c>
    </row>
    <row r="146" spans="1:2" ht="15">
      <c r="A146" s="77" t="s">
        <v>4092</v>
      </c>
      <c r="B146" s="76" t="s">
        <v>11196</v>
      </c>
    </row>
    <row r="147" spans="1:2" ht="15">
      <c r="A147" s="77" t="s">
        <v>4093</v>
      </c>
      <c r="B147" s="76" t="s">
        <v>11196</v>
      </c>
    </row>
    <row r="148" spans="1:2" ht="15">
      <c r="A148" s="77" t="s">
        <v>4094</v>
      </c>
      <c r="B148" s="76" t="s">
        <v>11196</v>
      </c>
    </row>
    <row r="149" spans="1:2" ht="15">
      <c r="A149" s="77" t="s">
        <v>4095</v>
      </c>
      <c r="B149" s="76" t="s">
        <v>11196</v>
      </c>
    </row>
    <row r="150" spans="1:2" ht="15">
      <c r="A150" s="77" t="s">
        <v>4096</v>
      </c>
      <c r="B150" s="76" t="s">
        <v>11196</v>
      </c>
    </row>
    <row r="151" spans="1:2" ht="15">
      <c r="A151" s="77" t="s">
        <v>4097</v>
      </c>
      <c r="B151" s="76" t="s">
        <v>11196</v>
      </c>
    </row>
    <row r="152" spans="1:2" ht="15">
      <c r="A152" s="77" t="s">
        <v>4098</v>
      </c>
      <c r="B152" s="76" t="s">
        <v>11196</v>
      </c>
    </row>
    <row r="153" spans="1:2" ht="15">
      <c r="A153" s="77" t="s">
        <v>4099</v>
      </c>
      <c r="B153" s="76" t="s">
        <v>11196</v>
      </c>
    </row>
    <row r="154" spans="1:2" ht="15">
      <c r="A154" s="77" t="s">
        <v>871</v>
      </c>
      <c r="B154" s="76" t="s">
        <v>11196</v>
      </c>
    </row>
    <row r="155" spans="1:2" ht="15">
      <c r="A155" s="77" t="s">
        <v>4100</v>
      </c>
      <c r="B155" s="76" t="s">
        <v>11196</v>
      </c>
    </row>
    <row r="156" spans="1:2" ht="15">
      <c r="A156" s="77" t="s">
        <v>4101</v>
      </c>
      <c r="B156" s="76" t="s">
        <v>11196</v>
      </c>
    </row>
    <row r="157" spans="1:2" ht="15">
      <c r="A157" s="77" t="s">
        <v>4102</v>
      </c>
      <c r="B157" s="76" t="s">
        <v>11196</v>
      </c>
    </row>
    <row r="158" spans="1:2" ht="15">
      <c r="A158" s="77" t="s">
        <v>4103</v>
      </c>
      <c r="B158" s="76" t="s">
        <v>11196</v>
      </c>
    </row>
    <row r="159" spans="1:2" ht="15">
      <c r="A159" s="77" t="s">
        <v>4104</v>
      </c>
      <c r="B159" s="76" t="s">
        <v>11196</v>
      </c>
    </row>
    <row r="160" spans="1:2" ht="15">
      <c r="A160" s="77" t="s">
        <v>4105</v>
      </c>
      <c r="B160" s="76" t="s">
        <v>11196</v>
      </c>
    </row>
    <row r="161" spans="1:2" ht="15">
      <c r="A161" s="77" t="s">
        <v>4106</v>
      </c>
      <c r="B161" s="76" t="s">
        <v>11196</v>
      </c>
    </row>
    <row r="162" spans="1:2" ht="15">
      <c r="A162" s="77" t="s">
        <v>4107</v>
      </c>
      <c r="B162" s="76" t="s">
        <v>11196</v>
      </c>
    </row>
    <row r="163" spans="1:2" ht="15">
      <c r="A163" s="77" t="s">
        <v>4108</v>
      </c>
      <c r="B163" s="76" t="s">
        <v>11196</v>
      </c>
    </row>
    <row r="164" spans="1:2" ht="15">
      <c r="A164" s="77" t="s">
        <v>4109</v>
      </c>
      <c r="B164" s="76" t="s">
        <v>11196</v>
      </c>
    </row>
    <row r="165" spans="1:2" ht="15">
      <c r="A165" s="77" t="s">
        <v>4110</v>
      </c>
      <c r="B165" s="76" t="s">
        <v>11196</v>
      </c>
    </row>
    <row r="166" spans="1:2" ht="15">
      <c r="A166" s="77" t="s">
        <v>4111</v>
      </c>
      <c r="B166" s="76" t="s">
        <v>11196</v>
      </c>
    </row>
    <row r="167" spans="1:2" ht="15">
      <c r="A167" s="77" t="s">
        <v>4112</v>
      </c>
      <c r="B167" s="76" t="s">
        <v>11196</v>
      </c>
    </row>
    <row r="168" spans="1:2" ht="15">
      <c r="A168" s="77" t="s">
        <v>4113</v>
      </c>
      <c r="B168" s="76" t="s">
        <v>11196</v>
      </c>
    </row>
    <row r="169" spans="1:2" ht="15">
      <c r="A169" s="77" t="s">
        <v>4114</v>
      </c>
      <c r="B169" s="76" t="s">
        <v>11196</v>
      </c>
    </row>
    <row r="170" spans="1:2" ht="15">
      <c r="A170" s="77" t="s">
        <v>4115</v>
      </c>
      <c r="B170" s="76" t="s">
        <v>11196</v>
      </c>
    </row>
    <row r="171" spans="1:2" ht="15">
      <c r="A171" s="77" t="s">
        <v>4116</v>
      </c>
      <c r="B171" s="76" t="s">
        <v>11196</v>
      </c>
    </row>
    <row r="172" spans="1:2" ht="15">
      <c r="A172" s="77" t="s">
        <v>4117</v>
      </c>
      <c r="B172" s="76" t="s">
        <v>11196</v>
      </c>
    </row>
    <row r="173" spans="1:2" ht="15">
      <c r="A173" s="77" t="s">
        <v>4118</v>
      </c>
      <c r="B173" s="76" t="s">
        <v>11196</v>
      </c>
    </row>
    <row r="174" spans="1:2" ht="15">
      <c r="A174" s="77" t="s">
        <v>4119</v>
      </c>
      <c r="B174" s="76" t="s">
        <v>11196</v>
      </c>
    </row>
    <row r="175" spans="1:2" ht="15">
      <c r="A175" s="77" t="s">
        <v>4120</v>
      </c>
      <c r="B175" s="76" t="s">
        <v>11196</v>
      </c>
    </row>
    <row r="176" spans="1:2" ht="15">
      <c r="A176" s="77" t="s">
        <v>4121</v>
      </c>
      <c r="B176" s="76" t="s">
        <v>11196</v>
      </c>
    </row>
    <row r="177" spans="1:2" ht="15">
      <c r="A177" s="77" t="s">
        <v>4122</v>
      </c>
      <c r="B177" s="76" t="s">
        <v>11196</v>
      </c>
    </row>
    <row r="178" spans="1:2" ht="15">
      <c r="A178" s="77" t="s">
        <v>4123</v>
      </c>
      <c r="B178" s="76" t="s">
        <v>11196</v>
      </c>
    </row>
    <row r="179" spans="1:2" ht="15">
      <c r="A179" s="77" t="s">
        <v>4124</v>
      </c>
      <c r="B179" s="76" t="s">
        <v>11196</v>
      </c>
    </row>
    <row r="180" spans="1:2" ht="15">
      <c r="A180" s="77" t="s">
        <v>4125</v>
      </c>
      <c r="B180" s="76" t="s">
        <v>11196</v>
      </c>
    </row>
    <row r="181" spans="1:2" ht="15">
      <c r="A181" s="77" t="s">
        <v>4126</v>
      </c>
      <c r="B181" s="76" t="s">
        <v>11196</v>
      </c>
    </row>
    <row r="182" spans="1:2" ht="15">
      <c r="A182" s="77" t="s">
        <v>4127</v>
      </c>
      <c r="B182" s="76" t="s">
        <v>11196</v>
      </c>
    </row>
    <row r="183" spans="1:2" ht="15">
      <c r="A183" s="77" t="s">
        <v>4128</v>
      </c>
      <c r="B183" s="76" t="s">
        <v>11196</v>
      </c>
    </row>
    <row r="184" spans="1:2" ht="15">
      <c r="A184" s="77" t="s">
        <v>4129</v>
      </c>
      <c r="B184" s="76" t="s">
        <v>11196</v>
      </c>
    </row>
    <row r="185" spans="1:2" ht="15">
      <c r="A185" s="77" t="s">
        <v>4130</v>
      </c>
      <c r="B185" s="76" t="s">
        <v>11196</v>
      </c>
    </row>
    <row r="186" spans="1:2" ht="15">
      <c r="A186" s="77" t="s">
        <v>4131</v>
      </c>
      <c r="B186" s="76" t="s">
        <v>11196</v>
      </c>
    </row>
    <row r="187" spans="1:2" ht="15">
      <c r="A187" s="77" t="s">
        <v>4132</v>
      </c>
      <c r="B187" s="76" t="s">
        <v>11196</v>
      </c>
    </row>
    <row r="188" spans="1:2" ht="15">
      <c r="A188" s="77" t="s">
        <v>4133</v>
      </c>
      <c r="B188" s="76" t="s">
        <v>11196</v>
      </c>
    </row>
    <row r="189" spans="1:2" ht="15">
      <c r="A189" s="77" t="s">
        <v>4134</v>
      </c>
      <c r="B189" s="76" t="s">
        <v>11196</v>
      </c>
    </row>
    <row r="190" spans="1:2" ht="15">
      <c r="A190" s="77" t="s">
        <v>4135</v>
      </c>
      <c r="B190" s="76" t="s">
        <v>11196</v>
      </c>
    </row>
    <row r="191" spans="1:2" ht="15">
      <c r="A191" s="77" t="s">
        <v>4136</v>
      </c>
      <c r="B191" s="76" t="s">
        <v>11196</v>
      </c>
    </row>
    <row r="192" spans="1:2" ht="15">
      <c r="A192" s="77" t="s">
        <v>4137</v>
      </c>
      <c r="B192" s="76" t="s">
        <v>11196</v>
      </c>
    </row>
    <row r="193" spans="1:2" ht="15">
      <c r="A193" s="77" t="s">
        <v>4138</v>
      </c>
      <c r="B193" s="76" t="s">
        <v>11196</v>
      </c>
    </row>
    <row r="194" spans="1:2" ht="15">
      <c r="A194" s="77" t="s">
        <v>4139</v>
      </c>
      <c r="B194" s="76" t="s">
        <v>11196</v>
      </c>
    </row>
    <row r="195" spans="1:2" ht="15">
      <c r="A195" s="77" t="s">
        <v>4140</v>
      </c>
      <c r="B195" s="76" t="s">
        <v>11196</v>
      </c>
    </row>
    <row r="196" spans="1:2" ht="15">
      <c r="A196" s="77" t="s">
        <v>4141</v>
      </c>
      <c r="B196" s="76" t="s">
        <v>11196</v>
      </c>
    </row>
    <row r="197" spans="1:2" ht="15">
      <c r="A197" s="77" t="s">
        <v>4142</v>
      </c>
      <c r="B197" s="76" t="s">
        <v>11196</v>
      </c>
    </row>
    <row r="198" spans="1:2" ht="15">
      <c r="A198" s="77" t="s">
        <v>4143</v>
      </c>
      <c r="B198" s="76" t="s">
        <v>11196</v>
      </c>
    </row>
    <row r="199" spans="1:2" ht="15">
      <c r="A199" s="77" t="s">
        <v>4144</v>
      </c>
      <c r="B199" s="76" t="s">
        <v>11196</v>
      </c>
    </row>
    <row r="200" spans="1:2" ht="15">
      <c r="A200" s="77" t="s">
        <v>4145</v>
      </c>
      <c r="B200" s="76" t="s">
        <v>11196</v>
      </c>
    </row>
    <row r="201" spans="1:2" ht="15">
      <c r="A201" s="77" t="s">
        <v>4146</v>
      </c>
      <c r="B201" s="76" t="s">
        <v>11196</v>
      </c>
    </row>
    <row r="202" spans="1:2" ht="15">
      <c r="A202" s="77" t="s">
        <v>4147</v>
      </c>
      <c r="B202" s="76" t="s">
        <v>11196</v>
      </c>
    </row>
    <row r="203" spans="1:2" ht="15">
      <c r="A203" s="77" t="s">
        <v>4148</v>
      </c>
      <c r="B203" s="76" t="s">
        <v>11196</v>
      </c>
    </row>
    <row r="204" spans="1:2" ht="15">
      <c r="A204" s="77" t="s">
        <v>4149</v>
      </c>
      <c r="B204" s="76" t="s">
        <v>11196</v>
      </c>
    </row>
    <row r="205" spans="1:2" ht="15">
      <c r="A205" s="77" t="s">
        <v>4150</v>
      </c>
      <c r="B205" s="76" t="s">
        <v>11196</v>
      </c>
    </row>
    <row r="206" spans="1:2" ht="15">
      <c r="A206" s="77" t="s">
        <v>4151</v>
      </c>
      <c r="B206" s="76" t="s">
        <v>11196</v>
      </c>
    </row>
    <row r="207" spans="1:2" ht="15">
      <c r="A207" s="77" t="s">
        <v>4152</v>
      </c>
      <c r="B207" s="76" t="s">
        <v>11196</v>
      </c>
    </row>
    <row r="208" spans="1:2" ht="15">
      <c r="A208" s="77" t="s">
        <v>4153</v>
      </c>
      <c r="B208" s="76" t="s">
        <v>11196</v>
      </c>
    </row>
    <row r="209" spans="1:2" ht="15">
      <c r="A209" s="77" t="s">
        <v>4154</v>
      </c>
      <c r="B209" s="76" t="s">
        <v>11196</v>
      </c>
    </row>
    <row r="210" spans="1:2" ht="15">
      <c r="A210" s="77" t="s">
        <v>4155</v>
      </c>
      <c r="B210" s="76" t="s">
        <v>11196</v>
      </c>
    </row>
    <row r="211" spans="1:2" ht="15">
      <c r="A211" s="77" t="s">
        <v>4156</v>
      </c>
      <c r="B211" s="76" t="s">
        <v>11196</v>
      </c>
    </row>
    <row r="212" spans="1:2" ht="15">
      <c r="A212" s="77" t="s">
        <v>4157</v>
      </c>
      <c r="B212" s="76" t="s">
        <v>11196</v>
      </c>
    </row>
    <row r="213" spans="1:2" ht="15">
      <c r="A213" s="77" t="s">
        <v>4158</v>
      </c>
      <c r="B213" s="76" t="s">
        <v>11196</v>
      </c>
    </row>
    <row r="214" spans="1:2" ht="15">
      <c r="A214" s="77" t="s">
        <v>4159</v>
      </c>
      <c r="B214" s="76" t="s">
        <v>11196</v>
      </c>
    </row>
    <row r="215" spans="1:2" ht="15">
      <c r="A215" s="77" t="s">
        <v>4160</v>
      </c>
      <c r="B215" s="76" t="s">
        <v>11196</v>
      </c>
    </row>
    <row r="216" spans="1:2" ht="15">
      <c r="A216" s="77" t="s">
        <v>4161</v>
      </c>
      <c r="B216" s="76" t="s">
        <v>11196</v>
      </c>
    </row>
    <row r="217" spans="1:2" ht="15">
      <c r="A217" s="77" t="s">
        <v>4162</v>
      </c>
      <c r="B217" s="76" t="s">
        <v>11196</v>
      </c>
    </row>
    <row r="218" spans="1:2" ht="15">
      <c r="A218" s="77" t="s">
        <v>4163</v>
      </c>
      <c r="B218" s="76" t="s">
        <v>11196</v>
      </c>
    </row>
    <row r="219" spans="1:2" ht="15">
      <c r="A219" s="77" t="s">
        <v>4164</v>
      </c>
      <c r="B219" s="76" t="s">
        <v>11196</v>
      </c>
    </row>
    <row r="220" spans="1:2" ht="15">
      <c r="A220" s="77" t="s">
        <v>4165</v>
      </c>
      <c r="B220" s="76" t="s">
        <v>11196</v>
      </c>
    </row>
    <row r="221" spans="1:2" ht="15">
      <c r="A221" s="77" t="s">
        <v>4166</v>
      </c>
      <c r="B221" s="76" t="s">
        <v>11196</v>
      </c>
    </row>
    <row r="222" spans="1:2" ht="15">
      <c r="A222" s="77" t="s">
        <v>4167</v>
      </c>
      <c r="B222" s="76" t="s">
        <v>11196</v>
      </c>
    </row>
    <row r="223" spans="1:2" ht="15">
      <c r="A223" s="77" t="s">
        <v>4168</v>
      </c>
      <c r="B223" s="76" t="s">
        <v>11196</v>
      </c>
    </row>
    <row r="224" spans="1:2" ht="15">
      <c r="A224" s="77" t="s">
        <v>4169</v>
      </c>
      <c r="B224" s="76" t="s">
        <v>11196</v>
      </c>
    </row>
    <row r="225" spans="1:2" ht="15">
      <c r="A225" s="77" t="s">
        <v>4170</v>
      </c>
      <c r="B225" s="76" t="s">
        <v>11196</v>
      </c>
    </row>
    <row r="226" spans="1:2" ht="15">
      <c r="A226" s="77" t="s">
        <v>4171</v>
      </c>
      <c r="B226" s="76" t="s">
        <v>11196</v>
      </c>
    </row>
    <row r="227" spans="1:2" ht="15">
      <c r="A227" s="77" t="s">
        <v>867</v>
      </c>
      <c r="B227" s="76" t="s">
        <v>11196</v>
      </c>
    </row>
    <row r="228" spans="1:2" ht="15">
      <c r="A228" s="77" t="s">
        <v>4172</v>
      </c>
      <c r="B228" s="76" t="s">
        <v>11196</v>
      </c>
    </row>
    <row r="229" spans="1:2" ht="15">
      <c r="A229" s="77" t="s">
        <v>4173</v>
      </c>
      <c r="B229" s="76" t="s">
        <v>11196</v>
      </c>
    </row>
    <row r="230" spans="1:2" ht="15">
      <c r="A230" s="77" t="s">
        <v>4174</v>
      </c>
      <c r="B230" s="76" t="s">
        <v>11196</v>
      </c>
    </row>
    <row r="231" spans="1:2" ht="15">
      <c r="A231" s="77" t="s">
        <v>4175</v>
      </c>
      <c r="B231" s="76" t="s">
        <v>11196</v>
      </c>
    </row>
    <row r="232" spans="1:2" ht="15">
      <c r="A232" s="77" t="s">
        <v>4176</v>
      </c>
      <c r="B232" s="76" t="s">
        <v>11196</v>
      </c>
    </row>
    <row r="233" spans="1:2" ht="15">
      <c r="A233" s="77" t="s">
        <v>869</v>
      </c>
      <c r="B233" s="76" t="s">
        <v>11196</v>
      </c>
    </row>
    <row r="234" spans="1:2" ht="15">
      <c r="A234" s="77" t="s">
        <v>4177</v>
      </c>
      <c r="B234" s="76" t="s">
        <v>11196</v>
      </c>
    </row>
    <row r="235" spans="1:2" ht="15">
      <c r="A235" s="77" t="s">
        <v>4178</v>
      </c>
      <c r="B235" s="76" t="s">
        <v>11196</v>
      </c>
    </row>
    <row r="236" spans="1:2" ht="15">
      <c r="A236" s="77" t="s">
        <v>4179</v>
      </c>
      <c r="B236" s="76" t="s">
        <v>11196</v>
      </c>
    </row>
    <row r="237" spans="1:2" ht="15">
      <c r="A237" s="77" t="s">
        <v>4180</v>
      </c>
      <c r="B237" s="76" t="s">
        <v>11196</v>
      </c>
    </row>
    <row r="238" spans="1:2" ht="15">
      <c r="A238" s="77" t="s">
        <v>4181</v>
      </c>
      <c r="B238" s="76" t="s">
        <v>11196</v>
      </c>
    </row>
    <row r="239" spans="1:2" ht="15">
      <c r="A239" s="77" t="s">
        <v>4182</v>
      </c>
      <c r="B239" s="76" t="s">
        <v>11196</v>
      </c>
    </row>
    <row r="240" spans="1:2" ht="15">
      <c r="A240" s="77" t="s">
        <v>4183</v>
      </c>
      <c r="B240" s="76" t="s">
        <v>11196</v>
      </c>
    </row>
    <row r="241" spans="1:2" ht="15">
      <c r="A241" s="77" t="s">
        <v>4184</v>
      </c>
      <c r="B241" s="76" t="s">
        <v>11196</v>
      </c>
    </row>
    <row r="242" spans="1:2" ht="15">
      <c r="A242" s="77" t="s">
        <v>4185</v>
      </c>
      <c r="B242" s="76" t="s">
        <v>11196</v>
      </c>
    </row>
    <row r="243" spans="1:2" ht="15">
      <c r="A243" s="77" t="s">
        <v>4186</v>
      </c>
      <c r="B243" s="76" t="s">
        <v>11196</v>
      </c>
    </row>
    <row r="244" spans="1:2" ht="15">
      <c r="A244" s="77" t="s">
        <v>4187</v>
      </c>
      <c r="B244" s="76" t="s">
        <v>11196</v>
      </c>
    </row>
    <row r="245" spans="1:2" ht="15">
      <c r="A245" s="77" t="s">
        <v>4188</v>
      </c>
      <c r="B245" s="76" t="s">
        <v>11196</v>
      </c>
    </row>
    <row r="246" spans="1:2" ht="15">
      <c r="A246" s="77" t="s">
        <v>4189</v>
      </c>
      <c r="B246" s="76" t="s">
        <v>11196</v>
      </c>
    </row>
    <row r="247" spans="1:2" ht="15">
      <c r="A247" s="77" t="s">
        <v>4190</v>
      </c>
      <c r="B247" s="76" t="s">
        <v>11196</v>
      </c>
    </row>
    <row r="248" spans="1:2" ht="15">
      <c r="A248" s="77" t="s">
        <v>4191</v>
      </c>
      <c r="B248" s="76" t="s">
        <v>11196</v>
      </c>
    </row>
    <row r="249" spans="1:2" ht="15">
      <c r="A249" s="77" t="s">
        <v>4192</v>
      </c>
      <c r="B249" s="76" t="s">
        <v>11196</v>
      </c>
    </row>
    <row r="250" spans="1:2" ht="15">
      <c r="A250" s="77" t="s">
        <v>4193</v>
      </c>
      <c r="B250" s="76" t="s">
        <v>11196</v>
      </c>
    </row>
    <row r="251" spans="1:2" ht="15">
      <c r="A251" s="77" t="s">
        <v>4194</v>
      </c>
      <c r="B251" s="76" t="s">
        <v>11196</v>
      </c>
    </row>
    <row r="252" spans="1:2" ht="15">
      <c r="A252" s="77" t="s">
        <v>4195</v>
      </c>
      <c r="B252" s="76" t="s">
        <v>11196</v>
      </c>
    </row>
    <row r="253" spans="1:2" ht="15">
      <c r="A253" s="77" t="s">
        <v>4196</v>
      </c>
      <c r="B253" s="76" t="s">
        <v>11196</v>
      </c>
    </row>
    <row r="254" spans="1:2" ht="15">
      <c r="A254" s="77" t="s">
        <v>4197</v>
      </c>
      <c r="B254" s="76" t="s">
        <v>11196</v>
      </c>
    </row>
    <row r="255" spans="1:2" ht="15">
      <c r="A255" s="77" t="s">
        <v>4198</v>
      </c>
      <c r="B255" s="76" t="s">
        <v>11196</v>
      </c>
    </row>
    <row r="256" spans="1:2" ht="15">
      <c r="A256" s="77" t="s">
        <v>4199</v>
      </c>
      <c r="B256" s="76" t="s">
        <v>11196</v>
      </c>
    </row>
    <row r="257" spans="1:2" ht="15">
      <c r="A257" s="77" t="s">
        <v>4200</v>
      </c>
      <c r="B257" s="76" t="s">
        <v>11196</v>
      </c>
    </row>
    <row r="258" spans="1:2" ht="15">
      <c r="A258" s="77" t="s">
        <v>4201</v>
      </c>
      <c r="B258" s="76" t="s">
        <v>11196</v>
      </c>
    </row>
    <row r="259" spans="1:2" ht="15">
      <c r="A259" s="77" t="s">
        <v>4202</v>
      </c>
      <c r="B259" s="76" t="s">
        <v>11196</v>
      </c>
    </row>
    <row r="260" spans="1:2" ht="15">
      <c r="A260" s="77" t="s">
        <v>4203</v>
      </c>
      <c r="B260" s="76" t="s">
        <v>11196</v>
      </c>
    </row>
    <row r="261" spans="1:2" ht="15">
      <c r="A261" s="77" t="s">
        <v>4204</v>
      </c>
      <c r="B261" s="76" t="s">
        <v>11196</v>
      </c>
    </row>
    <row r="262" spans="1:2" ht="15">
      <c r="A262" s="77" t="s">
        <v>4205</v>
      </c>
      <c r="B262" s="76" t="s">
        <v>11196</v>
      </c>
    </row>
    <row r="263" spans="1:2" ht="15">
      <c r="A263" s="77" t="s">
        <v>4206</v>
      </c>
      <c r="B263" s="76" t="s">
        <v>11196</v>
      </c>
    </row>
    <row r="264" spans="1:2" ht="15">
      <c r="A264" s="77" t="s">
        <v>4207</v>
      </c>
      <c r="B264" s="76" t="s">
        <v>11196</v>
      </c>
    </row>
    <row r="265" spans="1:2" ht="15">
      <c r="A265" s="77" t="s">
        <v>4208</v>
      </c>
      <c r="B265" s="76" t="s">
        <v>11196</v>
      </c>
    </row>
    <row r="266" spans="1:2" ht="15">
      <c r="A266" s="77" t="s">
        <v>4209</v>
      </c>
      <c r="B266" s="76" t="s">
        <v>11196</v>
      </c>
    </row>
    <row r="267" spans="1:2" ht="15">
      <c r="A267" s="77" t="s">
        <v>4210</v>
      </c>
      <c r="B267" s="76" t="s">
        <v>11196</v>
      </c>
    </row>
    <row r="268" spans="1:2" ht="15">
      <c r="A268" s="77" t="s">
        <v>4211</v>
      </c>
      <c r="B268" s="76" t="s">
        <v>11196</v>
      </c>
    </row>
    <row r="269" spans="1:2" ht="15">
      <c r="A269" s="77" t="s">
        <v>4212</v>
      </c>
      <c r="B269" s="76" t="s">
        <v>11196</v>
      </c>
    </row>
    <row r="270" spans="1:2" ht="15">
      <c r="A270" s="77" t="s">
        <v>4213</v>
      </c>
      <c r="B270" s="76" t="s">
        <v>11196</v>
      </c>
    </row>
    <row r="271" spans="1:2" ht="15">
      <c r="A271" s="77" t="s">
        <v>4214</v>
      </c>
      <c r="B271" s="76" t="s">
        <v>11196</v>
      </c>
    </row>
    <row r="272" spans="1:2" ht="15">
      <c r="A272" s="77" t="s">
        <v>4215</v>
      </c>
      <c r="B272" s="76" t="s">
        <v>11196</v>
      </c>
    </row>
    <row r="273" spans="1:2" ht="15">
      <c r="A273" s="77" t="s">
        <v>4216</v>
      </c>
      <c r="B273" s="76" t="s">
        <v>11196</v>
      </c>
    </row>
    <row r="274" spans="1:2" ht="15">
      <c r="A274" s="77" t="s">
        <v>4217</v>
      </c>
      <c r="B274" s="76" t="s">
        <v>11196</v>
      </c>
    </row>
    <row r="275" spans="1:2" ht="15">
      <c r="A275" s="77" t="s">
        <v>4218</v>
      </c>
      <c r="B275" s="76" t="s">
        <v>11196</v>
      </c>
    </row>
    <row r="276" spans="1:2" ht="15">
      <c r="A276" s="77" t="s">
        <v>4219</v>
      </c>
      <c r="B276" s="76" t="s">
        <v>11196</v>
      </c>
    </row>
    <row r="277" spans="1:2" ht="15">
      <c r="A277" s="77" t="s">
        <v>4220</v>
      </c>
      <c r="B277" s="76" t="s">
        <v>11196</v>
      </c>
    </row>
    <row r="278" spans="1:2" ht="15">
      <c r="A278" s="77" t="s">
        <v>4221</v>
      </c>
      <c r="B278" s="76" t="s">
        <v>11196</v>
      </c>
    </row>
    <row r="279" spans="1:2" ht="15">
      <c r="A279" s="77" t="s">
        <v>4222</v>
      </c>
      <c r="B279" s="76" t="s">
        <v>11196</v>
      </c>
    </row>
    <row r="280" spans="1:2" ht="15">
      <c r="A280" s="77" t="s">
        <v>4223</v>
      </c>
      <c r="B280" s="76" t="s">
        <v>11196</v>
      </c>
    </row>
    <row r="281" spans="1:2" ht="15">
      <c r="A281" s="77" t="s">
        <v>4224</v>
      </c>
      <c r="B281" s="76" t="s">
        <v>11196</v>
      </c>
    </row>
    <row r="282" spans="1:2" ht="15">
      <c r="A282" s="77" t="s">
        <v>4225</v>
      </c>
      <c r="B282" s="76" t="s">
        <v>11196</v>
      </c>
    </row>
    <row r="283" spans="1:2" ht="15">
      <c r="A283" s="77" t="s">
        <v>4226</v>
      </c>
      <c r="B283" s="76" t="s">
        <v>11196</v>
      </c>
    </row>
    <row r="284" spans="1:2" ht="15">
      <c r="A284" s="77" t="s">
        <v>4227</v>
      </c>
      <c r="B284" s="76" t="s">
        <v>11196</v>
      </c>
    </row>
    <row r="285" spans="1:2" ht="15">
      <c r="A285" s="77" t="s">
        <v>4228</v>
      </c>
      <c r="B285" s="76" t="s">
        <v>11196</v>
      </c>
    </row>
    <row r="286" spans="1:2" ht="15">
      <c r="A286" s="77" t="s">
        <v>4229</v>
      </c>
      <c r="B286" s="76" t="s">
        <v>11196</v>
      </c>
    </row>
    <row r="287" spans="1:2" ht="15">
      <c r="A287" s="77" t="s">
        <v>4230</v>
      </c>
      <c r="B287" s="76" t="s">
        <v>11196</v>
      </c>
    </row>
    <row r="288" spans="1:2" ht="15">
      <c r="A288" s="77" t="s">
        <v>4231</v>
      </c>
      <c r="B288" s="76" t="s">
        <v>11196</v>
      </c>
    </row>
    <row r="289" spans="1:2" ht="15">
      <c r="A289" s="77" t="s">
        <v>4232</v>
      </c>
      <c r="B289" s="76" t="s">
        <v>11196</v>
      </c>
    </row>
    <row r="290" spans="1:2" ht="15">
      <c r="A290" s="77" t="s">
        <v>4233</v>
      </c>
      <c r="B290" s="76" t="s">
        <v>11196</v>
      </c>
    </row>
    <row r="291" spans="1:2" ht="15">
      <c r="A291" s="77" t="s">
        <v>4234</v>
      </c>
      <c r="B291" s="76" t="s">
        <v>11196</v>
      </c>
    </row>
    <row r="292" spans="1:2" ht="15">
      <c r="A292" s="77" t="s">
        <v>4235</v>
      </c>
      <c r="B292" s="76" t="s">
        <v>11196</v>
      </c>
    </row>
    <row r="293" spans="1:2" ht="15">
      <c r="A293" s="77" t="s">
        <v>4236</v>
      </c>
      <c r="B293" s="76" t="s">
        <v>11196</v>
      </c>
    </row>
    <row r="294" spans="1:2" ht="15">
      <c r="A294" s="77" t="s">
        <v>4237</v>
      </c>
      <c r="B294" s="76" t="s">
        <v>11196</v>
      </c>
    </row>
    <row r="295" spans="1:2" ht="15">
      <c r="A295" s="77" t="s">
        <v>4238</v>
      </c>
      <c r="B295" s="76" t="s">
        <v>11196</v>
      </c>
    </row>
    <row r="296" spans="1:2" ht="15">
      <c r="A296" s="77" t="s">
        <v>4239</v>
      </c>
      <c r="B296" s="76" t="s">
        <v>11196</v>
      </c>
    </row>
    <row r="297" spans="1:2" ht="15">
      <c r="A297" s="77" t="s">
        <v>4240</v>
      </c>
      <c r="B297" s="76" t="s">
        <v>11196</v>
      </c>
    </row>
    <row r="298" spans="1:2" ht="15">
      <c r="A298" s="77" t="s">
        <v>4241</v>
      </c>
      <c r="B298" s="76" t="s">
        <v>11196</v>
      </c>
    </row>
    <row r="299" spans="1:2" ht="15">
      <c r="A299" s="77" t="s">
        <v>4242</v>
      </c>
      <c r="B299" s="76" t="s">
        <v>11196</v>
      </c>
    </row>
    <row r="300" spans="1:2" ht="15">
      <c r="A300" s="77" t="s">
        <v>4243</v>
      </c>
      <c r="B300" s="76" t="s">
        <v>11196</v>
      </c>
    </row>
    <row r="301" spans="1:2" ht="15">
      <c r="A301" s="77" t="s">
        <v>4244</v>
      </c>
      <c r="B301" s="76" t="s">
        <v>11196</v>
      </c>
    </row>
    <row r="302" spans="1:2" ht="15">
      <c r="A302" s="77" t="s">
        <v>4245</v>
      </c>
      <c r="B302" s="76" t="s">
        <v>11196</v>
      </c>
    </row>
    <row r="303" spans="1:2" ht="15">
      <c r="A303" s="77" t="s">
        <v>4246</v>
      </c>
      <c r="B303" s="76" t="s">
        <v>11196</v>
      </c>
    </row>
    <row r="304" spans="1:2" ht="15">
      <c r="A304" s="77" t="s">
        <v>4247</v>
      </c>
      <c r="B304" s="76" t="s">
        <v>11196</v>
      </c>
    </row>
    <row r="305" spans="1:2" ht="15">
      <c r="A305" s="77" t="s">
        <v>4248</v>
      </c>
      <c r="B305" s="76" t="s">
        <v>11196</v>
      </c>
    </row>
    <row r="306" spans="1:2" ht="15">
      <c r="A306" s="77" t="s">
        <v>4249</v>
      </c>
      <c r="B306" s="76" t="s">
        <v>11196</v>
      </c>
    </row>
    <row r="307" spans="1:2" ht="15">
      <c r="A307" s="77" t="s">
        <v>4250</v>
      </c>
      <c r="B307" s="76" t="s">
        <v>11196</v>
      </c>
    </row>
    <row r="308" spans="1:2" ht="15">
      <c r="A308" s="77" t="s">
        <v>4251</v>
      </c>
      <c r="B308" s="76" t="s">
        <v>11196</v>
      </c>
    </row>
    <row r="309" spans="1:2" ht="15">
      <c r="A309" s="77" t="s">
        <v>4252</v>
      </c>
      <c r="B309" s="76" t="s">
        <v>11196</v>
      </c>
    </row>
    <row r="310" spans="1:2" ht="15">
      <c r="A310" s="77" t="s">
        <v>4253</v>
      </c>
      <c r="B310" s="76" t="s">
        <v>11196</v>
      </c>
    </row>
    <row r="311" spans="1:2" ht="15">
      <c r="A311" s="77" t="s">
        <v>4254</v>
      </c>
      <c r="B311" s="76" t="s">
        <v>11196</v>
      </c>
    </row>
    <row r="312" spans="1:2" ht="15">
      <c r="A312" s="77" t="s">
        <v>4255</v>
      </c>
      <c r="B312" s="76" t="s">
        <v>11196</v>
      </c>
    </row>
    <row r="313" spans="1:2" ht="15">
      <c r="A313" s="77" t="s">
        <v>4256</v>
      </c>
      <c r="B313" s="76" t="s">
        <v>11196</v>
      </c>
    </row>
    <row r="314" spans="1:2" ht="15">
      <c r="A314" s="77" t="s">
        <v>4257</v>
      </c>
      <c r="B314" s="76" t="s">
        <v>11196</v>
      </c>
    </row>
    <row r="315" spans="1:2" ht="15">
      <c r="A315" s="77" t="s">
        <v>4258</v>
      </c>
      <c r="B315" s="76" t="s">
        <v>11196</v>
      </c>
    </row>
    <row r="316" spans="1:2" ht="15">
      <c r="A316" s="77" t="s">
        <v>4259</v>
      </c>
      <c r="B316" s="76" t="s">
        <v>11196</v>
      </c>
    </row>
    <row r="317" spans="1:2" ht="15">
      <c r="A317" s="77" t="s">
        <v>4260</v>
      </c>
      <c r="B317" s="76" t="s">
        <v>11196</v>
      </c>
    </row>
    <row r="318" spans="1:2" ht="15">
      <c r="A318" s="77" t="s">
        <v>4261</v>
      </c>
      <c r="B318" s="76" t="s">
        <v>11196</v>
      </c>
    </row>
    <row r="319" spans="1:2" ht="15">
      <c r="A319" s="77" t="s">
        <v>4262</v>
      </c>
      <c r="B319" s="76" t="s">
        <v>11196</v>
      </c>
    </row>
    <row r="320" spans="1:2" ht="15">
      <c r="A320" s="77" t="s">
        <v>4263</v>
      </c>
      <c r="B320" s="76" t="s">
        <v>11196</v>
      </c>
    </row>
    <row r="321" spans="1:2" ht="15">
      <c r="A321" s="77" t="s">
        <v>4264</v>
      </c>
      <c r="B321" s="76" t="s">
        <v>11196</v>
      </c>
    </row>
    <row r="322" spans="1:2" ht="15">
      <c r="A322" s="77" t="s">
        <v>4265</v>
      </c>
      <c r="B322" s="76" t="s">
        <v>11196</v>
      </c>
    </row>
    <row r="323" spans="1:2" ht="15">
      <c r="A323" s="77" t="s">
        <v>4266</v>
      </c>
      <c r="B323" s="76" t="s">
        <v>11196</v>
      </c>
    </row>
    <row r="324" spans="1:2" ht="15">
      <c r="A324" s="77" t="s">
        <v>4267</v>
      </c>
      <c r="B324" s="76" t="s">
        <v>11196</v>
      </c>
    </row>
    <row r="325" spans="1:2" ht="15">
      <c r="A325" s="77" t="s">
        <v>4268</v>
      </c>
      <c r="B325" s="76" t="s">
        <v>11196</v>
      </c>
    </row>
    <row r="326" spans="1:2" ht="15">
      <c r="A326" s="77" t="s">
        <v>4269</v>
      </c>
      <c r="B326" s="76" t="s">
        <v>11196</v>
      </c>
    </row>
    <row r="327" spans="1:2" ht="15">
      <c r="A327" s="77" t="s">
        <v>4270</v>
      </c>
      <c r="B327" s="76" t="s">
        <v>11196</v>
      </c>
    </row>
    <row r="328" spans="1:2" ht="15">
      <c r="A328" s="77" t="s">
        <v>4271</v>
      </c>
      <c r="B328" s="76" t="s">
        <v>11196</v>
      </c>
    </row>
    <row r="329" spans="1:2" ht="15">
      <c r="A329" s="77" t="s">
        <v>4272</v>
      </c>
      <c r="B329" s="76" t="s">
        <v>11196</v>
      </c>
    </row>
    <row r="330" spans="1:2" ht="15">
      <c r="A330" s="77" t="s">
        <v>4273</v>
      </c>
      <c r="B330" s="76" t="s">
        <v>11196</v>
      </c>
    </row>
    <row r="331" spans="1:2" ht="15">
      <c r="A331" s="77" t="s">
        <v>4274</v>
      </c>
      <c r="B331" s="76" t="s">
        <v>11196</v>
      </c>
    </row>
    <row r="332" spans="1:2" ht="15">
      <c r="A332" s="77" t="s">
        <v>4275</v>
      </c>
      <c r="B332" s="76" t="s">
        <v>11196</v>
      </c>
    </row>
    <row r="333" spans="1:2" ht="15">
      <c r="A333" s="77" t="s">
        <v>4276</v>
      </c>
      <c r="B333" s="76" t="s">
        <v>11196</v>
      </c>
    </row>
    <row r="334" spans="1:2" ht="15">
      <c r="A334" s="77" t="s">
        <v>4277</v>
      </c>
      <c r="B334" s="76" t="s">
        <v>11196</v>
      </c>
    </row>
    <row r="335" spans="1:2" ht="15">
      <c r="A335" s="77" t="s">
        <v>4278</v>
      </c>
      <c r="B335" s="76" t="s">
        <v>11196</v>
      </c>
    </row>
    <row r="336" spans="1:2" ht="15">
      <c r="A336" s="77" t="s">
        <v>4279</v>
      </c>
      <c r="B336" s="76" t="s">
        <v>11196</v>
      </c>
    </row>
    <row r="337" spans="1:2" ht="15">
      <c r="A337" s="77" t="s">
        <v>4280</v>
      </c>
      <c r="B337" s="76" t="s">
        <v>11196</v>
      </c>
    </row>
    <row r="338" spans="1:2" ht="15">
      <c r="A338" s="77" t="s">
        <v>4281</v>
      </c>
      <c r="B338" s="76" t="s">
        <v>11196</v>
      </c>
    </row>
    <row r="339" spans="1:2" ht="15">
      <c r="A339" s="77" t="s">
        <v>4282</v>
      </c>
      <c r="B339" s="76" t="s">
        <v>11196</v>
      </c>
    </row>
    <row r="340" spans="1:2" ht="15">
      <c r="A340" s="77" t="s">
        <v>4283</v>
      </c>
      <c r="B340" s="76" t="s">
        <v>11196</v>
      </c>
    </row>
    <row r="341" spans="1:2" ht="15">
      <c r="A341" s="77" t="s">
        <v>4284</v>
      </c>
      <c r="B341" s="76" t="s">
        <v>11196</v>
      </c>
    </row>
    <row r="342" spans="1:2" ht="15">
      <c r="A342" s="77" t="s">
        <v>4285</v>
      </c>
      <c r="B342" s="76" t="s">
        <v>11196</v>
      </c>
    </row>
    <row r="343" spans="1:2" ht="15">
      <c r="A343" s="77" t="s">
        <v>4286</v>
      </c>
      <c r="B343" s="76" t="s">
        <v>11196</v>
      </c>
    </row>
    <row r="344" spans="1:2" ht="15">
      <c r="A344" s="77" t="s">
        <v>4287</v>
      </c>
      <c r="B344" s="76" t="s">
        <v>11196</v>
      </c>
    </row>
    <row r="345" spans="1:2" ht="15">
      <c r="A345" s="77" t="s">
        <v>4288</v>
      </c>
      <c r="B345" s="76" t="s">
        <v>11196</v>
      </c>
    </row>
    <row r="346" spans="1:2" ht="15">
      <c r="A346" s="77" t="s">
        <v>671</v>
      </c>
      <c r="B346" s="76" t="s">
        <v>11196</v>
      </c>
    </row>
    <row r="347" spans="1:2" ht="15">
      <c r="A347" s="77" t="s">
        <v>4289</v>
      </c>
      <c r="B347" s="76" t="s">
        <v>11196</v>
      </c>
    </row>
    <row r="348" spans="1:2" ht="15">
      <c r="A348" s="77" t="s">
        <v>4290</v>
      </c>
      <c r="B348" s="76" t="s">
        <v>11196</v>
      </c>
    </row>
    <row r="349" spans="1:2" ht="15">
      <c r="A349" s="77" t="s">
        <v>4291</v>
      </c>
      <c r="B349" s="76" t="s">
        <v>11196</v>
      </c>
    </row>
    <row r="350" spans="1:2" ht="15">
      <c r="A350" s="77" t="s">
        <v>4292</v>
      </c>
      <c r="B350" s="76" t="s">
        <v>11196</v>
      </c>
    </row>
    <row r="351" spans="1:2" ht="15">
      <c r="A351" s="77" t="s">
        <v>4293</v>
      </c>
      <c r="B351" s="76" t="s">
        <v>11196</v>
      </c>
    </row>
    <row r="352" spans="1:2" ht="15">
      <c r="A352" s="77" t="s">
        <v>4294</v>
      </c>
      <c r="B352" s="76" t="s">
        <v>11196</v>
      </c>
    </row>
    <row r="353" spans="1:2" ht="15">
      <c r="A353" s="77" t="s">
        <v>4295</v>
      </c>
      <c r="B353" s="76" t="s">
        <v>11196</v>
      </c>
    </row>
    <row r="354" spans="1:2" ht="15">
      <c r="A354" s="77" t="s">
        <v>4296</v>
      </c>
      <c r="B354" s="76" t="s">
        <v>11196</v>
      </c>
    </row>
    <row r="355" spans="1:2" ht="15">
      <c r="A355" s="77" t="s">
        <v>4297</v>
      </c>
      <c r="B355" s="76" t="s">
        <v>11196</v>
      </c>
    </row>
    <row r="356" spans="1:2" ht="15">
      <c r="A356" s="77" t="s">
        <v>4298</v>
      </c>
      <c r="B356" s="76" t="s">
        <v>11196</v>
      </c>
    </row>
    <row r="357" spans="1:2" ht="15">
      <c r="A357" s="77" t="s">
        <v>4299</v>
      </c>
      <c r="B357" s="76" t="s">
        <v>11196</v>
      </c>
    </row>
    <row r="358" spans="1:2" ht="15">
      <c r="A358" s="77" t="s">
        <v>4300</v>
      </c>
      <c r="B358" s="76" t="s">
        <v>11196</v>
      </c>
    </row>
    <row r="359" spans="1:2" ht="15">
      <c r="A359" s="77" t="s">
        <v>4301</v>
      </c>
      <c r="B359" s="76" t="s">
        <v>11196</v>
      </c>
    </row>
    <row r="360" spans="1:2" ht="15">
      <c r="A360" s="77" t="s">
        <v>4302</v>
      </c>
      <c r="B360" s="76" t="s">
        <v>11196</v>
      </c>
    </row>
    <row r="361" spans="1:2" ht="15">
      <c r="A361" s="77" t="s">
        <v>4303</v>
      </c>
      <c r="B361" s="76" t="s">
        <v>11196</v>
      </c>
    </row>
    <row r="362" spans="1:2" ht="15">
      <c r="A362" s="77" t="s">
        <v>4304</v>
      </c>
      <c r="B362" s="76" t="s">
        <v>11196</v>
      </c>
    </row>
    <row r="363" spans="1:2" ht="15">
      <c r="A363" s="77" t="s">
        <v>4305</v>
      </c>
      <c r="B363" s="76" t="s">
        <v>11196</v>
      </c>
    </row>
    <row r="364" spans="1:2" ht="15">
      <c r="A364" s="77" t="s">
        <v>4306</v>
      </c>
      <c r="B364" s="76" t="s">
        <v>11196</v>
      </c>
    </row>
    <row r="365" spans="1:2" ht="15">
      <c r="A365" s="77" t="s">
        <v>4307</v>
      </c>
      <c r="B365" s="76" t="s">
        <v>11196</v>
      </c>
    </row>
    <row r="366" spans="1:2" ht="15">
      <c r="A366" s="77" t="s">
        <v>4308</v>
      </c>
      <c r="B366" s="76" t="s">
        <v>11196</v>
      </c>
    </row>
    <row r="367" spans="1:2" ht="15">
      <c r="A367" s="77" t="s">
        <v>4309</v>
      </c>
      <c r="B367" s="76" t="s">
        <v>11196</v>
      </c>
    </row>
    <row r="368" spans="1:2" ht="15">
      <c r="A368" s="77" t="s">
        <v>4310</v>
      </c>
      <c r="B368" s="76" t="s">
        <v>11196</v>
      </c>
    </row>
    <row r="369" spans="1:2" ht="15">
      <c r="A369" s="77" t="s">
        <v>4311</v>
      </c>
      <c r="B369" s="76" t="s">
        <v>11196</v>
      </c>
    </row>
    <row r="370" spans="1:2" ht="15">
      <c r="A370" s="77" t="s">
        <v>4312</v>
      </c>
      <c r="B370" s="76" t="s">
        <v>11196</v>
      </c>
    </row>
    <row r="371" spans="1:2" ht="15">
      <c r="A371" s="77" t="s">
        <v>4313</v>
      </c>
      <c r="B371" s="76" t="s">
        <v>11196</v>
      </c>
    </row>
    <row r="372" spans="1:2" ht="15">
      <c r="A372" s="77" t="s">
        <v>4314</v>
      </c>
      <c r="B372" s="76" t="s">
        <v>11196</v>
      </c>
    </row>
    <row r="373" spans="1:2" ht="15">
      <c r="A373" s="77" t="s">
        <v>4315</v>
      </c>
      <c r="B373" s="76" t="s">
        <v>11196</v>
      </c>
    </row>
    <row r="374" spans="1:2" ht="15">
      <c r="A374" s="77" t="s">
        <v>4316</v>
      </c>
      <c r="B374" s="76" t="s">
        <v>11196</v>
      </c>
    </row>
    <row r="375" spans="1:2" ht="15">
      <c r="A375" s="77" t="s">
        <v>4317</v>
      </c>
      <c r="B375" s="76" t="s">
        <v>11196</v>
      </c>
    </row>
    <row r="376" spans="1:2" ht="15">
      <c r="A376" s="77" t="s">
        <v>4318</v>
      </c>
      <c r="B376" s="76" t="s">
        <v>11196</v>
      </c>
    </row>
    <row r="377" spans="1:2" ht="15">
      <c r="A377" s="77" t="s">
        <v>4319</v>
      </c>
      <c r="B377" s="76" t="s">
        <v>11196</v>
      </c>
    </row>
    <row r="378" spans="1:2" ht="15">
      <c r="A378" s="77" t="s">
        <v>4320</v>
      </c>
      <c r="B378" s="76" t="s">
        <v>11196</v>
      </c>
    </row>
    <row r="379" spans="1:2" ht="15">
      <c r="A379" s="77" t="s">
        <v>4321</v>
      </c>
      <c r="B379" s="76" t="s">
        <v>11196</v>
      </c>
    </row>
    <row r="380" spans="1:2" ht="15">
      <c r="A380" s="77" t="s">
        <v>4322</v>
      </c>
      <c r="B380" s="76" t="s">
        <v>11196</v>
      </c>
    </row>
    <row r="381" spans="1:2" ht="15">
      <c r="A381" s="77" t="s">
        <v>4323</v>
      </c>
      <c r="B381" s="76" t="s">
        <v>11196</v>
      </c>
    </row>
    <row r="382" spans="1:2" ht="15">
      <c r="A382" s="77" t="s">
        <v>4324</v>
      </c>
      <c r="B382" s="76" t="s">
        <v>11196</v>
      </c>
    </row>
    <row r="383" spans="1:2" ht="15">
      <c r="A383" s="77" t="s">
        <v>4325</v>
      </c>
      <c r="B383" s="76" t="s">
        <v>11196</v>
      </c>
    </row>
    <row r="384" spans="1:2" ht="15">
      <c r="A384" s="77" t="s">
        <v>4326</v>
      </c>
      <c r="B384" s="76" t="s">
        <v>11196</v>
      </c>
    </row>
    <row r="385" spans="1:2" ht="15">
      <c r="A385" s="77" t="s">
        <v>4327</v>
      </c>
      <c r="B385" s="76" t="s">
        <v>11196</v>
      </c>
    </row>
    <row r="386" spans="1:2" ht="15">
      <c r="A386" s="77" t="s">
        <v>4328</v>
      </c>
      <c r="B386" s="76" t="s">
        <v>11196</v>
      </c>
    </row>
    <row r="387" spans="1:2" ht="15">
      <c r="A387" s="77" t="s">
        <v>4329</v>
      </c>
      <c r="B387" s="76" t="s">
        <v>11196</v>
      </c>
    </row>
    <row r="388" spans="1:2" ht="15">
      <c r="A388" s="77" t="s">
        <v>4330</v>
      </c>
      <c r="B388" s="76" t="s">
        <v>11196</v>
      </c>
    </row>
    <row r="389" spans="1:2" ht="15">
      <c r="A389" s="77" t="s">
        <v>4331</v>
      </c>
      <c r="B389" s="76" t="s">
        <v>11196</v>
      </c>
    </row>
    <row r="390" spans="1:2" ht="15">
      <c r="A390" s="77" t="s">
        <v>4332</v>
      </c>
      <c r="B390" s="76" t="s">
        <v>11196</v>
      </c>
    </row>
    <row r="391" spans="1:2" ht="15">
      <c r="A391" s="77" t="s">
        <v>4333</v>
      </c>
      <c r="B391" s="76" t="s">
        <v>11196</v>
      </c>
    </row>
    <row r="392" spans="1:2" ht="15">
      <c r="A392" s="77" t="s">
        <v>4334</v>
      </c>
      <c r="B392" s="76" t="s">
        <v>11196</v>
      </c>
    </row>
    <row r="393" spans="1:2" ht="15">
      <c r="A393" s="77" t="s">
        <v>4335</v>
      </c>
      <c r="B393" s="76" t="s">
        <v>11196</v>
      </c>
    </row>
    <row r="394" spans="1:2" ht="15">
      <c r="A394" s="77" t="s">
        <v>4336</v>
      </c>
      <c r="B394" s="76" t="s">
        <v>11196</v>
      </c>
    </row>
    <row r="395" spans="1:2" ht="15">
      <c r="A395" s="77" t="s">
        <v>4337</v>
      </c>
      <c r="B395" s="76" t="s">
        <v>11196</v>
      </c>
    </row>
    <row r="396" spans="1:2" ht="15">
      <c r="A396" s="77" t="s">
        <v>4338</v>
      </c>
      <c r="B396" s="76" t="s">
        <v>11196</v>
      </c>
    </row>
    <row r="397" spans="1:2" ht="15">
      <c r="A397" s="77" t="s">
        <v>4339</v>
      </c>
      <c r="B397" s="76" t="s">
        <v>11196</v>
      </c>
    </row>
    <row r="398" spans="1:2" ht="15">
      <c r="A398" s="77" t="s">
        <v>4340</v>
      </c>
      <c r="B398" s="76" t="s">
        <v>11196</v>
      </c>
    </row>
    <row r="399" spans="1:2" ht="15">
      <c r="A399" s="77" t="s">
        <v>4341</v>
      </c>
      <c r="B399" s="76" t="s">
        <v>11196</v>
      </c>
    </row>
    <row r="400" spans="1:2" ht="15">
      <c r="A400" s="77" t="s">
        <v>4342</v>
      </c>
      <c r="B400" s="76" t="s">
        <v>11196</v>
      </c>
    </row>
    <row r="401" spans="1:2" ht="15">
      <c r="A401" s="77" t="s">
        <v>4343</v>
      </c>
      <c r="B401" s="76" t="s">
        <v>11196</v>
      </c>
    </row>
    <row r="402" spans="1:2" ht="15">
      <c r="A402" s="77" t="s">
        <v>4344</v>
      </c>
      <c r="B402" s="76" t="s">
        <v>11196</v>
      </c>
    </row>
    <row r="403" spans="1:2" ht="15">
      <c r="A403" s="77" t="s">
        <v>4345</v>
      </c>
      <c r="B403" s="76" t="s">
        <v>11196</v>
      </c>
    </row>
    <row r="404" spans="1:2" ht="15">
      <c r="A404" s="77" t="s">
        <v>4346</v>
      </c>
      <c r="B404" s="76" t="s">
        <v>11196</v>
      </c>
    </row>
    <row r="405" spans="1:2" ht="15">
      <c r="A405" s="77" t="s">
        <v>4347</v>
      </c>
      <c r="B405" s="76" t="s">
        <v>11196</v>
      </c>
    </row>
    <row r="406" spans="1:2" ht="15">
      <c r="A406" s="77" t="s">
        <v>4348</v>
      </c>
      <c r="B406" s="76" t="s">
        <v>11196</v>
      </c>
    </row>
    <row r="407" spans="1:2" ht="15">
      <c r="A407" s="77" t="s">
        <v>4349</v>
      </c>
      <c r="B407" s="76" t="s">
        <v>11196</v>
      </c>
    </row>
    <row r="408" spans="1:2" ht="15">
      <c r="A408" s="77" t="s">
        <v>4350</v>
      </c>
      <c r="B408" s="76" t="s">
        <v>11196</v>
      </c>
    </row>
    <row r="409" spans="1:2" ht="15">
      <c r="A409" s="77" t="s">
        <v>4351</v>
      </c>
      <c r="B409" s="76" t="s">
        <v>11196</v>
      </c>
    </row>
    <row r="410" spans="1:2" ht="15">
      <c r="A410" s="77" t="s">
        <v>4352</v>
      </c>
      <c r="B410" s="76" t="s">
        <v>11196</v>
      </c>
    </row>
    <row r="411" spans="1:2" ht="15">
      <c r="A411" s="77" t="s">
        <v>4353</v>
      </c>
      <c r="B411" s="76" t="s">
        <v>11196</v>
      </c>
    </row>
    <row r="412" spans="1:2" ht="15">
      <c r="A412" s="77" t="s">
        <v>4354</v>
      </c>
      <c r="B412" s="76" t="s">
        <v>11196</v>
      </c>
    </row>
    <row r="413" spans="1:2" ht="15">
      <c r="A413" s="77" t="s">
        <v>4355</v>
      </c>
      <c r="B413" s="76" t="s">
        <v>11196</v>
      </c>
    </row>
    <row r="414" spans="1:2" ht="15">
      <c r="A414" s="77" t="s">
        <v>4356</v>
      </c>
      <c r="B414" s="76" t="s">
        <v>11196</v>
      </c>
    </row>
    <row r="415" spans="1:2" ht="15">
      <c r="A415" s="77" t="s">
        <v>4357</v>
      </c>
      <c r="B415" s="76" t="s">
        <v>11196</v>
      </c>
    </row>
    <row r="416" spans="1:2" ht="15">
      <c r="A416" s="77" t="s">
        <v>4358</v>
      </c>
      <c r="B416" s="76" t="s">
        <v>11196</v>
      </c>
    </row>
    <row r="417" spans="1:2" ht="15">
      <c r="A417" s="77" t="s">
        <v>4359</v>
      </c>
      <c r="B417" s="76" t="s">
        <v>11196</v>
      </c>
    </row>
    <row r="418" spans="1:2" ht="15">
      <c r="A418" s="77" t="s">
        <v>4360</v>
      </c>
      <c r="B418" s="76" t="s">
        <v>11196</v>
      </c>
    </row>
    <row r="419" spans="1:2" ht="15">
      <c r="A419" s="77" t="s">
        <v>4361</v>
      </c>
      <c r="B419" s="76" t="s">
        <v>11196</v>
      </c>
    </row>
    <row r="420" spans="1:2" ht="15">
      <c r="A420" s="77" t="s">
        <v>4362</v>
      </c>
      <c r="B420" s="76" t="s">
        <v>11196</v>
      </c>
    </row>
    <row r="421" spans="1:2" ht="15">
      <c r="A421" s="77" t="s">
        <v>4363</v>
      </c>
      <c r="B421" s="76" t="s">
        <v>11196</v>
      </c>
    </row>
    <row r="422" spans="1:2" ht="15">
      <c r="A422" s="77" t="s">
        <v>4364</v>
      </c>
      <c r="B422" s="76" t="s">
        <v>11196</v>
      </c>
    </row>
    <row r="423" spans="1:2" ht="15">
      <c r="A423" s="77" t="s">
        <v>4365</v>
      </c>
      <c r="B423" s="76" t="s">
        <v>11196</v>
      </c>
    </row>
    <row r="424" spans="1:2" ht="15">
      <c r="A424" s="77" t="s">
        <v>4366</v>
      </c>
      <c r="B424" s="76" t="s">
        <v>11196</v>
      </c>
    </row>
    <row r="425" spans="1:2" ht="15">
      <c r="A425" s="77" t="s">
        <v>4367</v>
      </c>
      <c r="B425" s="76" t="s">
        <v>11196</v>
      </c>
    </row>
    <row r="426" spans="1:2" ht="15">
      <c r="A426" s="77" t="s">
        <v>4368</v>
      </c>
      <c r="B426" s="76" t="s">
        <v>11196</v>
      </c>
    </row>
    <row r="427" spans="1:2" ht="15">
      <c r="A427" s="77" t="s">
        <v>4369</v>
      </c>
      <c r="B427" s="76" t="s">
        <v>11196</v>
      </c>
    </row>
    <row r="428" spans="1:2" ht="15">
      <c r="A428" s="77" t="s">
        <v>4370</v>
      </c>
      <c r="B428" s="76" t="s">
        <v>11196</v>
      </c>
    </row>
    <row r="429" spans="1:2" ht="15">
      <c r="A429" s="77" t="s">
        <v>4371</v>
      </c>
      <c r="B429" s="76" t="s">
        <v>11196</v>
      </c>
    </row>
    <row r="430" spans="1:2" ht="15">
      <c r="A430" s="77" t="s">
        <v>4372</v>
      </c>
      <c r="B430" s="76" t="s">
        <v>11196</v>
      </c>
    </row>
    <row r="431" spans="1:2" ht="15">
      <c r="A431" s="77" t="s">
        <v>4373</v>
      </c>
      <c r="B431" s="76" t="s">
        <v>11196</v>
      </c>
    </row>
    <row r="432" spans="1:2" ht="15">
      <c r="A432" s="77" t="s">
        <v>4374</v>
      </c>
      <c r="B432" s="76" t="s">
        <v>11196</v>
      </c>
    </row>
    <row r="433" spans="1:2" ht="15">
      <c r="A433" s="77" t="s">
        <v>4375</v>
      </c>
      <c r="B433" s="76" t="s">
        <v>11196</v>
      </c>
    </row>
    <row r="434" spans="1:2" ht="15">
      <c r="A434" s="77" t="s">
        <v>4376</v>
      </c>
      <c r="B434" s="76" t="s">
        <v>11196</v>
      </c>
    </row>
    <row r="435" spans="1:2" ht="15">
      <c r="A435" s="77" t="s">
        <v>4377</v>
      </c>
      <c r="B435" s="76" t="s">
        <v>11196</v>
      </c>
    </row>
    <row r="436" spans="1:2" ht="15">
      <c r="A436" s="77" t="s">
        <v>4378</v>
      </c>
      <c r="B436" s="76" t="s">
        <v>11196</v>
      </c>
    </row>
    <row r="437" spans="1:2" ht="15">
      <c r="A437" s="77" t="s">
        <v>4379</v>
      </c>
      <c r="B437" s="76" t="s">
        <v>11196</v>
      </c>
    </row>
    <row r="438" spans="1:2" ht="15">
      <c r="A438" s="77" t="s">
        <v>4380</v>
      </c>
      <c r="B438" s="76" t="s">
        <v>11196</v>
      </c>
    </row>
    <row r="439" spans="1:2" ht="15">
      <c r="A439" s="77" t="s">
        <v>4381</v>
      </c>
      <c r="B439" s="76" t="s">
        <v>11196</v>
      </c>
    </row>
    <row r="440" spans="1:2" ht="15">
      <c r="A440" s="77" t="s">
        <v>4382</v>
      </c>
      <c r="B440" s="76" t="s">
        <v>11196</v>
      </c>
    </row>
    <row r="441" spans="1:2" ht="15">
      <c r="A441" s="77" t="s">
        <v>864</v>
      </c>
      <c r="B441" s="76" t="s">
        <v>11196</v>
      </c>
    </row>
    <row r="442" spans="1:2" ht="15">
      <c r="A442" s="77" t="s">
        <v>4383</v>
      </c>
      <c r="B442" s="76" t="s">
        <v>11196</v>
      </c>
    </row>
    <row r="443" spans="1:2" ht="15">
      <c r="A443" s="77" t="s">
        <v>4384</v>
      </c>
      <c r="B443" s="76" t="s">
        <v>11196</v>
      </c>
    </row>
    <row r="444" spans="1:2" ht="15">
      <c r="A444" s="77" t="s">
        <v>4385</v>
      </c>
      <c r="B444" s="76" t="s">
        <v>11196</v>
      </c>
    </row>
    <row r="445" spans="1:2" ht="15">
      <c r="A445" s="77" t="s">
        <v>4386</v>
      </c>
      <c r="B445" s="76" t="s">
        <v>11196</v>
      </c>
    </row>
    <row r="446" spans="1:2" ht="15">
      <c r="A446" s="77" t="s">
        <v>4387</v>
      </c>
      <c r="B446" s="76" t="s">
        <v>11196</v>
      </c>
    </row>
    <row r="447" spans="1:2" ht="15">
      <c r="A447" s="77" t="s">
        <v>4388</v>
      </c>
      <c r="B447" s="76" t="s">
        <v>11196</v>
      </c>
    </row>
    <row r="448" spans="1:2" ht="15">
      <c r="A448" s="77" t="s">
        <v>4389</v>
      </c>
      <c r="B448" s="76" t="s">
        <v>11196</v>
      </c>
    </row>
    <row r="449" spans="1:2" ht="15">
      <c r="A449" s="77" t="s">
        <v>4390</v>
      </c>
      <c r="B449" s="76" t="s">
        <v>11196</v>
      </c>
    </row>
    <row r="450" spans="1:2" ht="15">
      <c r="A450" s="77" t="s">
        <v>4391</v>
      </c>
      <c r="B450" s="76" t="s">
        <v>11196</v>
      </c>
    </row>
    <row r="451" spans="1:2" ht="15">
      <c r="A451" s="77" t="s">
        <v>4392</v>
      </c>
      <c r="B451" s="76" t="s">
        <v>11196</v>
      </c>
    </row>
    <row r="452" spans="1:2" ht="15">
      <c r="A452" s="77" t="s">
        <v>4393</v>
      </c>
      <c r="B452" s="76" t="s">
        <v>11196</v>
      </c>
    </row>
    <row r="453" spans="1:2" ht="15">
      <c r="A453" s="77" t="s">
        <v>4394</v>
      </c>
      <c r="B453" s="76" t="s">
        <v>11196</v>
      </c>
    </row>
    <row r="454" spans="1:2" ht="15">
      <c r="A454" s="77" t="s">
        <v>4395</v>
      </c>
      <c r="B454" s="76" t="s">
        <v>11196</v>
      </c>
    </row>
    <row r="455" spans="1:2" ht="15">
      <c r="A455" s="77" t="s">
        <v>4396</v>
      </c>
      <c r="B455" s="76" t="s">
        <v>11196</v>
      </c>
    </row>
    <row r="456" spans="1:2" ht="15">
      <c r="A456" s="77" t="s">
        <v>4397</v>
      </c>
      <c r="B456" s="76" t="s">
        <v>11196</v>
      </c>
    </row>
    <row r="457" spans="1:2" ht="15">
      <c r="A457" s="77" t="s">
        <v>4398</v>
      </c>
      <c r="B457" s="76" t="s">
        <v>11196</v>
      </c>
    </row>
    <row r="458" spans="1:2" ht="15">
      <c r="A458" s="77" t="s">
        <v>4399</v>
      </c>
      <c r="B458" s="76" t="s">
        <v>11196</v>
      </c>
    </row>
    <row r="459" spans="1:2" ht="15">
      <c r="A459" s="77" t="s">
        <v>4400</v>
      </c>
      <c r="B459" s="76" t="s">
        <v>11196</v>
      </c>
    </row>
    <row r="460" spans="1:2" ht="15">
      <c r="A460" s="77" t="s">
        <v>4401</v>
      </c>
      <c r="B460" s="76" t="s">
        <v>11196</v>
      </c>
    </row>
    <row r="461" spans="1:2" ht="15">
      <c r="A461" s="77" t="s">
        <v>4402</v>
      </c>
      <c r="B461" s="76" t="s">
        <v>11196</v>
      </c>
    </row>
    <row r="462" spans="1:2" ht="15">
      <c r="A462" s="77" t="s">
        <v>4403</v>
      </c>
      <c r="B462" s="76" t="s">
        <v>11196</v>
      </c>
    </row>
    <row r="463" spans="1:2" ht="15">
      <c r="A463" s="77" t="s">
        <v>4404</v>
      </c>
      <c r="B463" s="76" t="s">
        <v>11196</v>
      </c>
    </row>
    <row r="464" spans="1:2" ht="15">
      <c r="A464" s="77" t="s">
        <v>4405</v>
      </c>
      <c r="B464" s="76" t="s">
        <v>11196</v>
      </c>
    </row>
    <row r="465" spans="1:2" ht="15">
      <c r="A465" s="77" t="s">
        <v>4406</v>
      </c>
      <c r="B465" s="76" t="s">
        <v>11196</v>
      </c>
    </row>
    <row r="466" spans="1:2" ht="15">
      <c r="A466" s="77" t="s">
        <v>4407</v>
      </c>
      <c r="B466" s="76" t="s">
        <v>11196</v>
      </c>
    </row>
    <row r="467" spans="1:2" ht="15">
      <c r="A467" s="77" t="s">
        <v>4408</v>
      </c>
      <c r="B467" s="76" t="s">
        <v>11196</v>
      </c>
    </row>
    <row r="468" spans="1:2" ht="15">
      <c r="A468" s="77" t="s">
        <v>4409</v>
      </c>
      <c r="B468" s="76" t="s">
        <v>11196</v>
      </c>
    </row>
    <row r="469" spans="1:2" ht="15">
      <c r="A469" s="77" t="s">
        <v>4410</v>
      </c>
      <c r="B469" s="76" t="s">
        <v>11196</v>
      </c>
    </row>
    <row r="470" spans="1:2" ht="15">
      <c r="A470" s="77" t="s">
        <v>4411</v>
      </c>
      <c r="B470" s="76" t="s">
        <v>11196</v>
      </c>
    </row>
    <row r="471" spans="1:2" ht="15">
      <c r="A471" s="77" t="s">
        <v>4412</v>
      </c>
      <c r="B471" s="76" t="s">
        <v>11196</v>
      </c>
    </row>
    <row r="472" spans="1:2" ht="15">
      <c r="A472" s="77" t="s">
        <v>4413</v>
      </c>
      <c r="B472" s="76" t="s">
        <v>11196</v>
      </c>
    </row>
    <row r="473" spans="1:2" ht="15">
      <c r="A473" s="77" t="s">
        <v>4414</v>
      </c>
      <c r="B473" s="76" t="s">
        <v>11196</v>
      </c>
    </row>
    <row r="474" spans="1:2" ht="15">
      <c r="A474" s="77" t="s">
        <v>4415</v>
      </c>
      <c r="B474" s="76" t="s">
        <v>11196</v>
      </c>
    </row>
    <row r="475" spans="1:2" ht="15">
      <c r="A475" s="77" t="s">
        <v>4416</v>
      </c>
      <c r="B475" s="76" t="s">
        <v>11196</v>
      </c>
    </row>
    <row r="476" spans="1:2" ht="15">
      <c r="A476" s="77" t="s">
        <v>4417</v>
      </c>
      <c r="B476" s="76" t="s">
        <v>11196</v>
      </c>
    </row>
    <row r="477" spans="1:2" ht="15">
      <c r="A477" s="77" t="s">
        <v>4418</v>
      </c>
      <c r="B477" s="76" t="s">
        <v>11196</v>
      </c>
    </row>
    <row r="478" spans="1:2" ht="15">
      <c r="A478" s="77" t="s">
        <v>4419</v>
      </c>
      <c r="B478" s="76" t="s">
        <v>11196</v>
      </c>
    </row>
    <row r="479" spans="1:2" ht="15">
      <c r="A479" s="77" t="s">
        <v>4420</v>
      </c>
      <c r="B479" s="76" t="s">
        <v>11196</v>
      </c>
    </row>
    <row r="480" spans="1:2" ht="15">
      <c r="A480" s="77" t="s">
        <v>4421</v>
      </c>
      <c r="B480" s="76" t="s">
        <v>11196</v>
      </c>
    </row>
    <row r="481" spans="1:2" ht="15">
      <c r="A481" s="77" t="s">
        <v>4422</v>
      </c>
      <c r="B481" s="76" t="s">
        <v>11196</v>
      </c>
    </row>
    <row r="482" spans="1:2" ht="15">
      <c r="A482" s="77" t="s">
        <v>4423</v>
      </c>
      <c r="B482" s="76" t="s">
        <v>11196</v>
      </c>
    </row>
    <row r="483" spans="1:2" ht="15">
      <c r="A483" s="77" t="s">
        <v>4424</v>
      </c>
      <c r="B483" s="76" t="s">
        <v>11196</v>
      </c>
    </row>
    <row r="484" spans="1:2" ht="15">
      <c r="A484" s="77" t="s">
        <v>4425</v>
      </c>
      <c r="B484" s="76" t="s">
        <v>11196</v>
      </c>
    </row>
    <row r="485" spans="1:2" ht="15">
      <c r="A485" s="77" t="s">
        <v>4426</v>
      </c>
      <c r="B485" s="76" t="s">
        <v>11196</v>
      </c>
    </row>
    <row r="486" spans="1:2" ht="15">
      <c r="A486" s="77" t="s">
        <v>4427</v>
      </c>
      <c r="B486" s="76" t="s">
        <v>11196</v>
      </c>
    </row>
    <row r="487" spans="1:2" ht="15">
      <c r="A487" s="77" t="s">
        <v>4428</v>
      </c>
      <c r="B487" s="76" t="s">
        <v>11196</v>
      </c>
    </row>
    <row r="488" spans="1:2" ht="15">
      <c r="A488" s="77" t="s">
        <v>4429</v>
      </c>
      <c r="B488" s="76" t="s">
        <v>11196</v>
      </c>
    </row>
    <row r="489" spans="1:2" ht="15">
      <c r="A489" s="77" t="s">
        <v>4430</v>
      </c>
      <c r="B489" s="76" t="s">
        <v>11196</v>
      </c>
    </row>
    <row r="490" spans="1:2" ht="15">
      <c r="A490" s="77" t="s">
        <v>4431</v>
      </c>
      <c r="B490" s="76" t="s">
        <v>11196</v>
      </c>
    </row>
    <row r="491" spans="1:2" ht="15">
      <c r="A491" s="77" t="s">
        <v>4432</v>
      </c>
      <c r="B491" s="76" t="s">
        <v>11196</v>
      </c>
    </row>
    <row r="492" spans="1:2" ht="15">
      <c r="A492" s="77" t="s">
        <v>4433</v>
      </c>
      <c r="B492" s="76" t="s">
        <v>11196</v>
      </c>
    </row>
    <row r="493" spans="1:2" ht="15">
      <c r="A493" s="77" t="s">
        <v>4434</v>
      </c>
      <c r="B493" s="76" t="s">
        <v>11196</v>
      </c>
    </row>
    <row r="494" spans="1:2" ht="15">
      <c r="A494" s="77" t="s">
        <v>4435</v>
      </c>
      <c r="B494" s="76" t="s">
        <v>11196</v>
      </c>
    </row>
    <row r="495" spans="1:2" ht="15">
      <c r="A495" s="77" t="s">
        <v>4436</v>
      </c>
      <c r="B495" s="76" t="s">
        <v>11196</v>
      </c>
    </row>
    <row r="496" spans="1:2" ht="15">
      <c r="A496" s="77" t="s">
        <v>4437</v>
      </c>
      <c r="B496" s="76" t="s">
        <v>11196</v>
      </c>
    </row>
    <row r="497" spans="1:2" ht="15">
      <c r="A497" s="77" t="s">
        <v>4438</v>
      </c>
      <c r="B497" s="76" t="s">
        <v>11196</v>
      </c>
    </row>
    <row r="498" spans="1:2" ht="15">
      <c r="A498" s="77" t="s">
        <v>4439</v>
      </c>
      <c r="B498" s="76" t="s">
        <v>11196</v>
      </c>
    </row>
    <row r="499" spans="1:2" ht="15">
      <c r="A499" s="77" t="s">
        <v>4440</v>
      </c>
      <c r="B499" s="76" t="s">
        <v>11196</v>
      </c>
    </row>
    <row r="500" spans="1:2" ht="15">
      <c r="A500" s="77" t="s">
        <v>4441</v>
      </c>
      <c r="B500" s="76" t="s">
        <v>11196</v>
      </c>
    </row>
    <row r="501" spans="1:2" ht="15">
      <c r="A501" s="77" t="s">
        <v>4442</v>
      </c>
      <c r="B501" s="76" t="s">
        <v>11196</v>
      </c>
    </row>
    <row r="502" spans="1:2" ht="15">
      <c r="A502" s="77" t="s">
        <v>4443</v>
      </c>
      <c r="B502" s="76" t="s">
        <v>11196</v>
      </c>
    </row>
    <row r="503" spans="1:2" ht="15">
      <c r="A503" s="77" t="s">
        <v>4444</v>
      </c>
      <c r="B503" s="76" t="s">
        <v>11196</v>
      </c>
    </row>
    <row r="504" spans="1:2" ht="15">
      <c r="A504" s="77" t="s">
        <v>4445</v>
      </c>
      <c r="B504" s="76" t="s">
        <v>11196</v>
      </c>
    </row>
    <row r="505" spans="1:2" ht="15">
      <c r="A505" s="77" t="s">
        <v>4446</v>
      </c>
      <c r="B505" s="76" t="s">
        <v>11196</v>
      </c>
    </row>
    <row r="506" spans="1:2" ht="15">
      <c r="A506" s="77" t="s">
        <v>4447</v>
      </c>
      <c r="B506" s="76" t="s">
        <v>11196</v>
      </c>
    </row>
    <row r="507" spans="1:2" ht="15">
      <c r="A507" s="77" t="s">
        <v>4448</v>
      </c>
      <c r="B507" s="76" t="s">
        <v>11196</v>
      </c>
    </row>
    <row r="508" spans="1:2" ht="15">
      <c r="A508" s="77" t="s">
        <v>4449</v>
      </c>
      <c r="B508" s="76" t="s">
        <v>11196</v>
      </c>
    </row>
    <row r="509" spans="1:2" ht="15">
      <c r="A509" s="77" t="s">
        <v>4450</v>
      </c>
      <c r="B509" s="76" t="s">
        <v>11196</v>
      </c>
    </row>
    <row r="510" spans="1:2" ht="15">
      <c r="A510" s="77" t="s">
        <v>4451</v>
      </c>
      <c r="B510" s="76" t="s">
        <v>11196</v>
      </c>
    </row>
    <row r="511" spans="1:2" ht="15">
      <c r="A511" s="77" t="s">
        <v>4452</v>
      </c>
      <c r="B511" s="76" t="s">
        <v>11196</v>
      </c>
    </row>
    <row r="512" spans="1:2" ht="15">
      <c r="A512" s="77" t="s">
        <v>4453</v>
      </c>
      <c r="B512" s="76" t="s">
        <v>11196</v>
      </c>
    </row>
    <row r="513" spans="1:2" ht="15">
      <c r="A513" s="77" t="s">
        <v>4454</v>
      </c>
      <c r="B513" s="76" t="s">
        <v>11196</v>
      </c>
    </row>
    <row r="514" spans="1:2" ht="15">
      <c r="A514" s="77" t="s">
        <v>4455</v>
      </c>
      <c r="B514" s="76" t="s">
        <v>11196</v>
      </c>
    </row>
    <row r="515" spans="1:2" ht="15">
      <c r="A515" s="77" t="s">
        <v>4456</v>
      </c>
      <c r="B515" s="76" t="s">
        <v>11196</v>
      </c>
    </row>
    <row r="516" spans="1:2" ht="15">
      <c r="A516" s="77" t="s">
        <v>4457</v>
      </c>
      <c r="B516" s="76" t="s">
        <v>11196</v>
      </c>
    </row>
    <row r="517" spans="1:2" ht="15">
      <c r="A517" s="77" t="s">
        <v>4458</v>
      </c>
      <c r="B517" s="76" t="s">
        <v>11196</v>
      </c>
    </row>
    <row r="518" spans="1:2" ht="15">
      <c r="A518" s="77" t="s">
        <v>4459</v>
      </c>
      <c r="B518" s="76" t="s">
        <v>11196</v>
      </c>
    </row>
    <row r="519" spans="1:2" ht="15">
      <c r="A519" s="77" t="s">
        <v>4460</v>
      </c>
      <c r="B519" s="76" t="s">
        <v>11196</v>
      </c>
    </row>
    <row r="520" spans="1:2" ht="15">
      <c r="A520" s="77" t="s">
        <v>4461</v>
      </c>
      <c r="B520" s="76" t="s">
        <v>11196</v>
      </c>
    </row>
    <row r="521" spans="1:2" ht="15">
      <c r="A521" s="77" t="s">
        <v>4462</v>
      </c>
      <c r="B521" s="76" t="s">
        <v>11196</v>
      </c>
    </row>
    <row r="522" spans="1:2" ht="15">
      <c r="A522" s="77" t="s">
        <v>4463</v>
      </c>
      <c r="B522" s="76" t="s">
        <v>11196</v>
      </c>
    </row>
    <row r="523" spans="1:2" ht="15">
      <c r="A523" s="77" t="s">
        <v>4464</v>
      </c>
      <c r="B523" s="76" t="s">
        <v>11196</v>
      </c>
    </row>
    <row r="524" spans="1:2" ht="15">
      <c r="A524" s="77" t="s">
        <v>4465</v>
      </c>
      <c r="B524" s="76" t="s">
        <v>11196</v>
      </c>
    </row>
    <row r="525" spans="1:2" ht="15">
      <c r="A525" s="77" t="s">
        <v>4466</v>
      </c>
      <c r="B525" s="76" t="s">
        <v>11196</v>
      </c>
    </row>
    <row r="526" spans="1:2" ht="15">
      <c r="A526" s="77" t="s">
        <v>4467</v>
      </c>
      <c r="B526" s="76" t="s">
        <v>11196</v>
      </c>
    </row>
    <row r="527" spans="1:2" ht="15">
      <c r="A527" s="77" t="s">
        <v>4468</v>
      </c>
      <c r="B527" s="76" t="s">
        <v>11196</v>
      </c>
    </row>
    <row r="528" spans="1:2" ht="15">
      <c r="A528" s="77" t="s">
        <v>4469</v>
      </c>
      <c r="B528" s="76" t="s">
        <v>11196</v>
      </c>
    </row>
    <row r="529" spans="1:2" ht="15">
      <c r="A529" s="77" t="s">
        <v>4470</v>
      </c>
      <c r="B529" s="76" t="s">
        <v>11196</v>
      </c>
    </row>
    <row r="530" spans="1:2" ht="15">
      <c r="A530" s="77" t="s">
        <v>4471</v>
      </c>
      <c r="B530" s="76" t="s">
        <v>11197</v>
      </c>
    </row>
    <row r="531" spans="1:2" ht="15">
      <c r="A531" s="77" t="s">
        <v>4472</v>
      </c>
      <c r="B531" s="76" t="s">
        <v>11197</v>
      </c>
    </row>
    <row r="532" spans="1:2" ht="15">
      <c r="A532" s="77" t="s">
        <v>4473</v>
      </c>
      <c r="B532" s="76" t="s">
        <v>11197</v>
      </c>
    </row>
    <row r="533" spans="1:2" ht="15">
      <c r="A533" s="77" t="s">
        <v>4474</v>
      </c>
      <c r="B533" s="76" t="s">
        <v>11197</v>
      </c>
    </row>
    <row r="534" spans="1:2" ht="15">
      <c r="A534" s="77" t="s">
        <v>4475</v>
      </c>
      <c r="B534" s="76" t="s">
        <v>11197</v>
      </c>
    </row>
    <row r="535" spans="1:2" ht="15">
      <c r="A535" s="77" t="s">
        <v>4476</v>
      </c>
      <c r="B535" s="76" t="s">
        <v>11197</v>
      </c>
    </row>
    <row r="536" spans="1:2" ht="15">
      <c r="A536" s="77" t="s">
        <v>4477</v>
      </c>
      <c r="B536" s="76" t="s">
        <v>11197</v>
      </c>
    </row>
    <row r="537" spans="1:2" ht="15">
      <c r="A537" s="77" t="s">
        <v>4478</v>
      </c>
      <c r="B537" s="76" t="s">
        <v>11197</v>
      </c>
    </row>
    <row r="538" spans="1:2" ht="15">
      <c r="A538" s="77" t="s">
        <v>4479</v>
      </c>
      <c r="B538" s="76" t="s">
        <v>11197</v>
      </c>
    </row>
    <row r="539" spans="1:2" ht="15">
      <c r="A539" s="77" t="s">
        <v>4480</v>
      </c>
      <c r="B539" s="76" t="s">
        <v>11197</v>
      </c>
    </row>
    <row r="540" spans="1:2" ht="15">
      <c r="A540" s="77" t="s">
        <v>4481</v>
      </c>
      <c r="B540" s="76" t="s">
        <v>11197</v>
      </c>
    </row>
    <row r="541" spans="1:2" ht="15">
      <c r="A541" s="77" t="s">
        <v>4482</v>
      </c>
      <c r="B541" s="76" t="s">
        <v>11197</v>
      </c>
    </row>
    <row r="542" spans="1:2" ht="15">
      <c r="A542" s="77" t="s">
        <v>4483</v>
      </c>
      <c r="B542" s="76" t="s">
        <v>11197</v>
      </c>
    </row>
    <row r="543" spans="1:2" ht="15">
      <c r="A543" s="77" t="s">
        <v>4484</v>
      </c>
      <c r="B543" s="76" t="s">
        <v>11197</v>
      </c>
    </row>
    <row r="544" spans="1:2" ht="15">
      <c r="A544" s="77" t="s">
        <v>4485</v>
      </c>
      <c r="B544" s="76" t="s">
        <v>11197</v>
      </c>
    </row>
    <row r="545" spans="1:2" ht="15">
      <c r="A545" s="77" t="s">
        <v>4486</v>
      </c>
      <c r="B545" s="76" t="s">
        <v>11197</v>
      </c>
    </row>
    <row r="546" spans="1:2" ht="15">
      <c r="A546" s="77" t="s">
        <v>4487</v>
      </c>
      <c r="B546" s="76" t="s">
        <v>11197</v>
      </c>
    </row>
    <row r="547" spans="1:2" ht="15">
      <c r="A547" s="77" t="s">
        <v>4488</v>
      </c>
      <c r="B547" s="76" t="s">
        <v>11197</v>
      </c>
    </row>
    <row r="548" spans="1:2" ht="15">
      <c r="A548" s="77" t="s">
        <v>4489</v>
      </c>
      <c r="B548" s="76" t="s">
        <v>11197</v>
      </c>
    </row>
    <row r="549" spans="1:2" ht="15">
      <c r="A549" s="77" t="s">
        <v>4490</v>
      </c>
      <c r="B549" s="76" t="s">
        <v>11197</v>
      </c>
    </row>
    <row r="550" spans="1:2" ht="15">
      <c r="A550" s="77" t="s">
        <v>4491</v>
      </c>
      <c r="B550" s="76" t="s">
        <v>11197</v>
      </c>
    </row>
    <row r="551" spans="1:2" ht="15">
      <c r="A551" s="77" t="s">
        <v>4492</v>
      </c>
      <c r="B551" s="76" t="s">
        <v>11197</v>
      </c>
    </row>
    <row r="552" spans="1:2" ht="15">
      <c r="A552" s="77" t="s">
        <v>4493</v>
      </c>
      <c r="B552" s="76" t="s">
        <v>11197</v>
      </c>
    </row>
    <row r="553" spans="1:2" ht="15">
      <c r="A553" s="77" t="s">
        <v>4494</v>
      </c>
      <c r="B553" s="76" t="s">
        <v>11197</v>
      </c>
    </row>
    <row r="554" spans="1:2" ht="15">
      <c r="A554" s="77" t="s">
        <v>4495</v>
      </c>
      <c r="B554" s="76" t="s">
        <v>11197</v>
      </c>
    </row>
    <row r="555" spans="1:2" ht="15">
      <c r="A555" s="77" t="s">
        <v>4496</v>
      </c>
      <c r="B555" s="76" t="s">
        <v>11197</v>
      </c>
    </row>
    <row r="556" spans="1:2" ht="15">
      <c r="A556" s="77" t="s">
        <v>4497</v>
      </c>
      <c r="B556" s="76" t="s">
        <v>11197</v>
      </c>
    </row>
    <row r="557" spans="1:2" ht="15">
      <c r="A557" s="77" t="s">
        <v>4498</v>
      </c>
      <c r="B557" s="76" t="s">
        <v>11197</v>
      </c>
    </row>
    <row r="558" spans="1:2" ht="15">
      <c r="A558" s="77" t="s">
        <v>4499</v>
      </c>
      <c r="B558" s="76" t="s">
        <v>11197</v>
      </c>
    </row>
    <row r="559" spans="1:2" ht="15">
      <c r="A559" s="77" t="s">
        <v>4500</v>
      </c>
      <c r="B559" s="76" t="s">
        <v>11197</v>
      </c>
    </row>
    <row r="560" spans="1:2" ht="15">
      <c r="A560" s="77" t="s">
        <v>4501</v>
      </c>
      <c r="B560" s="76" t="s">
        <v>11197</v>
      </c>
    </row>
    <row r="561" spans="1:2" ht="15">
      <c r="A561" s="77" t="s">
        <v>4502</v>
      </c>
      <c r="B561" s="76" t="s">
        <v>11197</v>
      </c>
    </row>
    <row r="562" spans="1:2" ht="15">
      <c r="A562" s="77" t="s">
        <v>4503</v>
      </c>
      <c r="B562" s="76" t="s">
        <v>11197</v>
      </c>
    </row>
    <row r="563" spans="1:2" ht="15">
      <c r="A563" s="77" t="s">
        <v>4504</v>
      </c>
      <c r="B563" s="76" t="s">
        <v>11197</v>
      </c>
    </row>
    <row r="564" spans="1:2" ht="15">
      <c r="A564" s="77" t="s">
        <v>4505</v>
      </c>
      <c r="B564" s="76" t="s">
        <v>11197</v>
      </c>
    </row>
    <row r="565" spans="1:2" ht="15">
      <c r="A565" s="77" t="s">
        <v>4506</v>
      </c>
      <c r="B565" s="76" t="s">
        <v>11197</v>
      </c>
    </row>
    <row r="566" spans="1:2" ht="15">
      <c r="A566" s="77" t="s">
        <v>4507</v>
      </c>
      <c r="B566" s="76" t="s">
        <v>11197</v>
      </c>
    </row>
    <row r="567" spans="1:2" ht="15">
      <c r="A567" s="77" t="s">
        <v>4508</v>
      </c>
      <c r="B567" s="76" t="s">
        <v>11197</v>
      </c>
    </row>
    <row r="568" spans="1:2" ht="15">
      <c r="A568" s="77" t="s">
        <v>4509</v>
      </c>
      <c r="B568" s="76" t="s">
        <v>11197</v>
      </c>
    </row>
    <row r="569" spans="1:2" ht="15">
      <c r="A569" s="77" t="s">
        <v>4510</v>
      </c>
      <c r="B569" s="76" t="s">
        <v>11197</v>
      </c>
    </row>
    <row r="570" spans="1:2" ht="15">
      <c r="A570" s="77" t="s">
        <v>4511</v>
      </c>
      <c r="B570" s="76" t="s">
        <v>11197</v>
      </c>
    </row>
    <row r="571" spans="1:2" ht="15">
      <c r="A571" s="77" t="s">
        <v>4512</v>
      </c>
      <c r="B571" s="76" t="s">
        <v>11197</v>
      </c>
    </row>
    <row r="572" spans="1:2" ht="15">
      <c r="A572" s="77" t="s">
        <v>4513</v>
      </c>
      <c r="B572" s="76" t="s">
        <v>11197</v>
      </c>
    </row>
    <row r="573" spans="1:2" ht="15">
      <c r="A573" s="77" t="s">
        <v>4514</v>
      </c>
      <c r="B573" s="76" t="s">
        <v>11197</v>
      </c>
    </row>
    <row r="574" spans="1:2" ht="15">
      <c r="A574" s="77" t="s">
        <v>4515</v>
      </c>
      <c r="B574" s="76" t="s">
        <v>11197</v>
      </c>
    </row>
    <row r="575" spans="1:2" ht="15">
      <c r="A575" s="77" t="s">
        <v>4516</v>
      </c>
      <c r="B575" s="76" t="s">
        <v>11197</v>
      </c>
    </row>
    <row r="576" spans="1:2" ht="15">
      <c r="A576" s="77" t="s">
        <v>4517</v>
      </c>
      <c r="B576" s="76" t="s">
        <v>11197</v>
      </c>
    </row>
    <row r="577" spans="1:2" ht="15">
      <c r="A577" s="77" t="s">
        <v>4518</v>
      </c>
      <c r="B577" s="76" t="s">
        <v>11197</v>
      </c>
    </row>
    <row r="578" spans="1:2" ht="15">
      <c r="A578" s="77" t="s">
        <v>4519</v>
      </c>
      <c r="B578" s="76" t="s">
        <v>11197</v>
      </c>
    </row>
    <row r="579" spans="1:2" ht="15">
      <c r="A579" s="77" t="s">
        <v>4520</v>
      </c>
      <c r="B579" s="76" t="s">
        <v>11197</v>
      </c>
    </row>
    <row r="580" spans="1:2" ht="15">
      <c r="A580" s="77" t="s">
        <v>4521</v>
      </c>
      <c r="B580" s="76" t="s">
        <v>11197</v>
      </c>
    </row>
    <row r="581" spans="1:2" ht="15">
      <c r="A581" s="77" t="s">
        <v>4522</v>
      </c>
      <c r="B581" s="76" t="s">
        <v>11197</v>
      </c>
    </row>
    <row r="582" spans="1:2" ht="15">
      <c r="A582" s="77" t="s">
        <v>4523</v>
      </c>
      <c r="B582" s="76" t="s">
        <v>11197</v>
      </c>
    </row>
    <row r="583" spans="1:2" ht="15">
      <c r="A583" s="77" t="s">
        <v>4524</v>
      </c>
      <c r="B583" s="76" t="s">
        <v>11197</v>
      </c>
    </row>
    <row r="584" spans="1:2" ht="15">
      <c r="A584" s="77" t="s">
        <v>4525</v>
      </c>
      <c r="B584" s="76" t="s">
        <v>11197</v>
      </c>
    </row>
    <row r="585" spans="1:2" ht="15">
      <c r="A585" s="77" t="s">
        <v>4526</v>
      </c>
      <c r="B585" s="76" t="s">
        <v>11197</v>
      </c>
    </row>
    <row r="586" spans="1:2" ht="15">
      <c r="A586" s="77" t="s">
        <v>4527</v>
      </c>
      <c r="B586" s="76" t="s">
        <v>11197</v>
      </c>
    </row>
    <row r="587" spans="1:2" ht="15">
      <c r="A587" s="77" t="s">
        <v>4528</v>
      </c>
      <c r="B587" s="76" t="s">
        <v>11197</v>
      </c>
    </row>
    <row r="588" spans="1:2" ht="15">
      <c r="A588" s="77" t="s">
        <v>4529</v>
      </c>
      <c r="B588" s="76" t="s">
        <v>11197</v>
      </c>
    </row>
    <row r="589" spans="1:2" ht="15">
      <c r="A589" s="77" t="s">
        <v>4530</v>
      </c>
      <c r="B589" s="76" t="s">
        <v>11197</v>
      </c>
    </row>
    <row r="590" spans="1:2" ht="15">
      <c r="A590" s="77" t="s">
        <v>4531</v>
      </c>
      <c r="B590" s="76" t="s">
        <v>11197</v>
      </c>
    </row>
    <row r="591" spans="1:2" ht="15">
      <c r="A591" s="77" t="s">
        <v>4532</v>
      </c>
      <c r="B591" s="76" t="s">
        <v>11197</v>
      </c>
    </row>
    <row r="592" spans="1:2" ht="15">
      <c r="A592" s="77" t="s">
        <v>4533</v>
      </c>
      <c r="B592" s="76" t="s">
        <v>11197</v>
      </c>
    </row>
    <row r="593" spans="1:2" ht="15">
      <c r="A593" s="77" t="s">
        <v>4534</v>
      </c>
      <c r="B593" s="76" t="s">
        <v>11197</v>
      </c>
    </row>
    <row r="594" spans="1:2" ht="15">
      <c r="A594" s="77" t="s">
        <v>4535</v>
      </c>
      <c r="B594" s="76" t="s">
        <v>11197</v>
      </c>
    </row>
    <row r="595" spans="1:2" ht="15">
      <c r="A595" s="77" t="s">
        <v>4536</v>
      </c>
      <c r="B595" s="76" t="s">
        <v>11197</v>
      </c>
    </row>
    <row r="596" spans="1:2" ht="15">
      <c r="A596" s="77" t="s">
        <v>4537</v>
      </c>
      <c r="B596" s="76" t="s">
        <v>11197</v>
      </c>
    </row>
    <row r="597" spans="1:2" ht="15">
      <c r="A597" s="77" t="s">
        <v>4538</v>
      </c>
      <c r="B597" s="76" t="s">
        <v>11197</v>
      </c>
    </row>
    <row r="598" spans="1:2" ht="15">
      <c r="A598" s="77" t="s">
        <v>4539</v>
      </c>
      <c r="B598" s="76" t="s">
        <v>11197</v>
      </c>
    </row>
    <row r="599" spans="1:2" ht="15">
      <c r="A599" s="77" t="s">
        <v>4540</v>
      </c>
      <c r="B599" s="76" t="s">
        <v>11197</v>
      </c>
    </row>
    <row r="600" spans="1:2" ht="15">
      <c r="A600" s="77" t="s">
        <v>4541</v>
      </c>
      <c r="B600" s="76" t="s">
        <v>11197</v>
      </c>
    </row>
    <row r="601" spans="1:2" ht="15">
      <c r="A601" s="77" t="s">
        <v>4542</v>
      </c>
      <c r="B601" s="76" t="s">
        <v>11197</v>
      </c>
    </row>
    <row r="602" spans="1:2" ht="15">
      <c r="A602" s="77" t="s">
        <v>4543</v>
      </c>
      <c r="B602" s="76" t="s">
        <v>11197</v>
      </c>
    </row>
    <row r="603" spans="1:2" ht="15">
      <c r="A603" s="77" t="s">
        <v>4544</v>
      </c>
      <c r="B603" s="76" t="s">
        <v>11197</v>
      </c>
    </row>
    <row r="604" spans="1:2" ht="15">
      <c r="A604" s="77" t="s">
        <v>4545</v>
      </c>
      <c r="B604" s="76" t="s">
        <v>11197</v>
      </c>
    </row>
    <row r="605" spans="1:2" ht="15">
      <c r="A605" s="77" t="s">
        <v>4546</v>
      </c>
      <c r="B605" s="76" t="s">
        <v>11197</v>
      </c>
    </row>
    <row r="606" spans="1:2" ht="15">
      <c r="A606" s="77" t="s">
        <v>4547</v>
      </c>
      <c r="B606" s="76" t="s">
        <v>11197</v>
      </c>
    </row>
    <row r="607" spans="1:2" ht="15">
      <c r="A607" s="77" t="s">
        <v>4548</v>
      </c>
      <c r="B607" s="76" t="s">
        <v>11197</v>
      </c>
    </row>
    <row r="608" spans="1:2" ht="15">
      <c r="A608" s="77" t="s">
        <v>4549</v>
      </c>
      <c r="B608" s="76" t="s">
        <v>11197</v>
      </c>
    </row>
    <row r="609" spans="1:2" ht="15">
      <c r="A609" s="77" t="s">
        <v>4550</v>
      </c>
      <c r="B609" s="76" t="s">
        <v>11197</v>
      </c>
    </row>
    <row r="610" spans="1:2" ht="15">
      <c r="A610" s="77" t="s">
        <v>4551</v>
      </c>
      <c r="B610" s="76" t="s">
        <v>11197</v>
      </c>
    </row>
    <row r="611" spans="1:2" ht="15">
      <c r="A611" s="77" t="s">
        <v>4552</v>
      </c>
      <c r="B611" s="76" t="s">
        <v>11197</v>
      </c>
    </row>
    <row r="612" spans="1:2" ht="15">
      <c r="A612" s="77" t="s">
        <v>4553</v>
      </c>
      <c r="B612" s="76" t="s">
        <v>11197</v>
      </c>
    </row>
    <row r="613" spans="1:2" ht="15">
      <c r="A613" s="77" t="s">
        <v>4554</v>
      </c>
      <c r="B613" s="76" t="s">
        <v>11197</v>
      </c>
    </row>
    <row r="614" spans="1:2" ht="15">
      <c r="A614" s="77" t="s">
        <v>4555</v>
      </c>
      <c r="B614" s="76" t="s">
        <v>11197</v>
      </c>
    </row>
    <row r="615" spans="1:2" ht="15">
      <c r="A615" s="77" t="s">
        <v>4556</v>
      </c>
      <c r="B615" s="76" t="s">
        <v>11197</v>
      </c>
    </row>
    <row r="616" spans="1:2" ht="15">
      <c r="A616" s="77" t="s">
        <v>4557</v>
      </c>
      <c r="B616" s="76" t="s">
        <v>11197</v>
      </c>
    </row>
    <row r="617" spans="1:2" ht="15">
      <c r="A617" s="77" t="s">
        <v>4558</v>
      </c>
      <c r="B617" s="76" t="s">
        <v>11197</v>
      </c>
    </row>
    <row r="618" spans="1:2" ht="15">
      <c r="A618" s="77" t="s">
        <v>4559</v>
      </c>
      <c r="B618" s="76" t="s">
        <v>11197</v>
      </c>
    </row>
    <row r="619" spans="1:2" ht="15">
      <c r="A619" s="77" t="s">
        <v>4560</v>
      </c>
      <c r="B619" s="76" t="s">
        <v>11197</v>
      </c>
    </row>
    <row r="620" spans="1:2" ht="15">
      <c r="A620" s="77" t="s">
        <v>4561</v>
      </c>
      <c r="B620" s="76" t="s">
        <v>11197</v>
      </c>
    </row>
    <row r="621" spans="1:2" ht="15">
      <c r="A621" s="77" t="s">
        <v>4562</v>
      </c>
      <c r="B621" s="76" t="s">
        <v>11197</v>
      </c>
    </row>
    <row r="622" spans="1:2" ht="15">
      <c r="A622" s="77" t="s">
        <v>4563</v>
      </c>
      <c r="B622" s="76" t="s">
        <v>11197</v>
      </c>
    </row>
    <row r="623" spans="1:2" ht="15">
      <c r="A623" s="77" t="s">
        <v>4564</v>
      </c>
      <c r="B623" s="76" t="s">
        <v>11197</v>
      </c>
    </row>
    <row r="624" spans="1:2" ht="15">
      <c r="A624" s="77" t="s">
        <v>4565</v>
      </c>
      <c r="B624" s="76" t="s">
        <v>11197</v>
      </c>
    </row>
    <row r="625" spans="1:2" ht="15">
      <c r="A625" s="77" t="s">
        <v>4566</v>
      </c>
      <c r="B625" s="76" t="s">
        <v>11197</v>
      </c>
    </row>
    <row r="626" spans="1:2" ht="15">
      <c r="A626" s="77" t="s">
        <v>4567</v>
      </c>
      <c r="B626" s="76" t="s">
        <v>11197</v>
      </c>
    </row>
    <row r="627" spans="1:2" ht="15">
      <c r="A627" s="77" t="s">
        <v>4568</v>
      </c>
      <c r="B627" s="76" t="s">
        <v>11197</v>
      </c>
    </row>
    <row r="628" spans="1:2" ht="15">
      <c r="A628" s="77" t="s">
        <v>4569</v>
      </c>
      <c r="B628" s="76" t="s">
        <v>11197</v>
      </c>
    </row>
    <row r="629" spans="1:2" ht="15">
      <c r="A629" s="77" t="s">
        <v>4570</v>
      </c>
      <c r="B629" s="76" t="s">
        <v>11197</v>
      </c>
    </row>
    <row r="630" spans="1:2" ht="15">
      <c r="A630" s="77" t="s">
        <v>4571</v>
      </c>
      <c r="B630" s="76" t="s">
        <v>11197</v>
      </c>
    </row>
    <row r="631" spans="1:2" ht="15">
      <c r="A631" s="77" t="s">
        <v>4572</v>
      </c>
      <c r="B631" s="76" t="s">
        <v>11197</v>
      </c>
    </row>
    <row r="632" spans="1:2" ht="15">
      <c r="A632" s="77" t="s">
        <v>4573</v>
      </c>
      <c r="B632" s="76" t="s">
        <v>11197</v>
      </c>
    </row>
    <row r="633" spans="1:2" ht="15">
      <c r="A633" s="77" t="s">
        <v>4574</v>
      </c>
      <c r="B633" s="76" t="s">
        <v>11197</v>
      </c>
    </row>
    <row r="634" spans="1:2" ht="15">
      <c r="A634" s="77" t="s">
        <v>4575</v>
      </c>
      <c r="B634" s="76" t="s">
        <v>11197</v>
      </c>
    </row>
    <row r="635" spans="1:2" ht="15">
      <c r="A635" s="77" t="s">
        <v>4576</v>
      </c>
      <c r="B635" s="76" t="s">
        <v>11197</v>
      </c>
    </row>
    <row r="636" spans="1:2" ht="15">
      <c r="A636" s="77" t="s">
        <v>4577</v>
      </c>
      <c r="B636" s="76" t="s">
        <v>11197</v>
      </c>
    </row>
    <row r="637" spans="1:2" ht="15">
      <c r="A637" s="77" t="s">
        <v>4578</v>
      </c>
      <c r="B637" s="76" t="s">
        <v>11197</v>
      </c>
    </row>
    <row r="638" spans="1:2" ht="15">
      <c r="A638" s="77" t="s">
        <v>4579</v>
      </c>
      <c r="B638" s="76" t="s">
        <v>11197</v>
      </c>
    </row>
    <row r="639" spans="1:2" ht="15">
      <c r="A639" s="77" t="s">
        <v>4580</v>
      </c>
      <c r="B639" s="76" t="s">
        <v>11197</v>
      </c>
    </row>
    <row r="640" spans="1:2" ht="15">
      <c r="A640" s="77" t="s">
        <v>4581</v>
      </c>
      <c r="B640" s="76" t="s">
        <v>11197</v>
      </c>
    </row>
    <row r="641" spans="1:2" ht="15">
      <c r="A641" s="77" t="s">
        <v>4582</v>
      </c>
      <c r="B641" s="76" t="s">
        <v>11197</v>
      </c>
    </row>
    <row r="642" spans="1:2" ht="15">
      <c r="A642" s="77" t="s">
        <v>4583</v>
      </c>
      <c r="B642" s="76" t="s">
        <v>11197</v>
      </c>
    </row>
    <row r="643" spans="1:2" ht="15">
      <c r="A643" s="77" t="s">
        <v>4584</v>
      </c>
      <c r="B643" s="76" t="s">
        <v>11197</v>
      </c>
    </row>
    <row r="644" spans="1:2" ht="15">
      <c r="A644" s="77" t="s">
        <v>3638</v>
      </c>
      <c r="B644" s="76" t="s">
        <v>11197</v>
      </c>
    </row>
    <row r="645" spans="1:2" ht="15">
      <c r="A645" s="77" t="s">
        <v>4585</v>
      </c>
      <c r="B645" s="76" t="s">
        <v>11197</v>
      </c>
    </row>
    <row r="646" spans="1:2" ht="15">
      <c r="A646" s="77" t="s">
        <v>4586</v>
      </c>
      <c r="B646" s="76" t="s">
        <v>11197</v>
      </c>
    </row>
    <row r="647" spans="1:2" ht="15">
      <c r="A647" s="77" t="s">
        <v>4587</v>
      </c>
      <c r="B647" s="76" t="s">
        <v>11197</v>
      </c>
    </row>
    <row r="648" spans="1:2" ht="15">
      <c r="A648" s="77" t="s">
        <v>4588</v>
      </c>
      <c r="B648" s="76" t="s">
        <v>11197</v>
      </c>
    </row>
    <row r="649" spans="1:2" ht="15">
      <c r="A649" s="77" t="s">
        <v>4589</v>
      </c>
      <c r="B649" s="76" t="s">
        <v>11197</v>
      </c>
    </row>
    <row r="650" spans="1:2" ht="15">
      <c r="A650" s="77" t="s">
        <v>4590</v>
      </c>
      <c r="B650" s="76" t="s">
        <v>11197</v>
      </c>
    </row>
    <row r="651" spans="1:2" ht="15">
      <c r="A651" s="77" t="s">
        <v>4591</v>
      </c>
      <c r="B651" s="76" t="s">
        <v>11197</v>
      </c>
    </row>
    <row r="652" spans="1:2" ht="15">
      <c r="A652" s="77" t="s">
        <v>4592</v>
      </c>
      <c r="B652" s="76" t="s">
        <v>11197</v>
      </c>
    </row>
    <row r="653" spans="1:2" ht="15">
      <c r="A653" s="77" t="s">
        <v>4593</v>
      </c>
      <c r="B653" s="76" t="s">
        <v>11197</v>
      </c>
    </row>
    <row r="654" spans="1:2" ht="15">
      <c r="A654" s="77" t="s">
        <v>4594</v>
      </c>
      <c r="B654" s="76" t="s">
        <v>11197</v>
      </c>
    </row>
    <row r="655" spans="1:2" ht="15">
      <c r="A655" s="77" t="s">
        <v>4595</v>
      </c>
      <c r="B655" s="76" t="s">
        <v>11197</v>
      </c>
    </row>
    <row r="656" spans="1:2" ht="15">
      <c r="A656" s="77" t="s">
        <v>4596</v>
      </c>
      <c r="B656" s="76" t="s">
        <v>11197</v>
      </c>
    </row>
    <row r="657" spans="1:2" ht="15">
      <c r="A657" s="77" t="s">
        <v>4597</v>
      </c>
      <c r="B657" s="76" t="s">
        <v>11197</v>
      </c>
    </row>
    <row r="658" spans="1:2" ht="15">
      <c r="A658" s="77" t="s">
        <v>4598</v>
      </c>
      <c r="B658" s="76" t="s">
        <v>11197</v>
      </c>
    </row>
    <row r="659" spans="1:2" ht="15">
      <c r="A659" s="77" t="s">
        <v>4599</v>
      </c>
      <c r="B659" s="76" t="s">
        <v>11197</v>
      </c>
    </row>
    <row r="660" spans="1:2" ht="15">
      <c r="A660" s="77" t="s">
        <v>4600</v>
      </c>
      <c r="B660" s="76" t="s">
        <v>11197</v>
      </c>
    </row>
    <row r="661" spans="1:2" ht="15">
      <c r="A661" s="77" t="s">
        <v>4601</v>
      </c>
      <c r="B661" s="76" t="s">
        <v>11197</v>
      </c>
    </row>
    <row r="662" spans="1:2" ht="15">
      <c r="A662" s="77" t="s">
        <v>4602</v>
      </c>
      <c r="B662" s="76" t="s">
        <v>11197</v>
      </c>
    </row>
    <row r="663" spans="1:2" ht="15">
      <c r="A663" s="77" t="s">
        <v>4603</v>
      </c>
      <c r="B663" s="76" t="s">
        <v>11197</v>
      </c>
    </row>
    <row r="664" spans="1:2" ht="15">
      <c r="A664" s="77" t="s">
        <v>4604</v>
      </c>
      <c r="B664" s="76" t="s">
        <v>11197</v>
      </c>
    </row>
    <row r="665" spans="1:2" ht="15">
      <c r="A665" s="77" t="s">
        <v>4605</v>
      </c>
      <c r="B665" s="76" t="s">
        <v>11197</v>
      </c>
    </row>
    <row r="666" spans="1:2" ht="15">
      <c r="A666" s="77" t="s">
        <v>4606</v>
      </c>
      <c r="B666" s="76" t="s">
        <v>11197</v>
      </c>
    </row>
    <row r="667" spans="1:2" ht="15">
      <c r="A667" s="77" t="s">
        <v>4607</v>
      </c>
      <c r="B667" s="76" t="s">
        <v>11197</v>
      </c>
    </row>
    <row r="668" spans="1:2" ht="15">
      <c r="A668" s="77" t="s">
        <v>4608</v>
      </c>
      <c r="B668" s="76" t="s">
        <v>11197</v>
      </c>
    </row>
    <row r="669" spans="1:2" ht="15">
      <c r="A669" s="77" t="s">
        <v>4609</v>
      </c>
      <c r="B669" s="76" t="s">
        <v>11197</v>
      </c>
    </row>
    <row r="670" spans="1:2" ht="15">
      <c r="A670" s="77" t="s">
        <v>4610</v>
      </c>
      <c r="B670" s="76" t="s">
        <v>11197</v>
      </c>
    </row>
    <row r="671" spans="1:2" ht="15">
      <c r="A671" s="77" t="s">
        <v>4611</v>
      </c>
      <c r="B671" s="76" t="s">
        <v>11197</v>
      </c>
    </row>
    <row r="672" spans="1:2" ht="15">
      <c r="A672" s="77" t="s">
        <v>4612</v>
      </c>
      <c r="B672" s="76" t="s">
        <v>11197</v>
      </c>
    </row>
    <row r="673" spans="1:2" ht="15">
      <c r="A673" s="77" t="s">
        <v>4613</v>
      </c>
      <c r="B673" s="76" t="s">
        <v>11197</v>
      </c>
    </row>
    <row r="674" spans="1:2" ht="15">
      <c r="A674" s="77" t="s">
        <v>4614</v>
      </c>
      <c r="B674" s="76" t="s">
        <v>11197</v>
      </c>
    </row>
    <row r="675" spans="1:2" ht="15">
      <c r="A675" s="77" t="s">
        <v>4615</v>
      </c>
      <c r="B675" s="76" t="s">
        <v>11197</v>
      </c>
    </row>
    <row r="676" spans="1:2" ht="15">
      <c r="A676" s="77" t="s">
        <v>4616</v>
      </c>
      <c r="B676" s="76" t="s">
        <v>11197</v>
      </c>
    </row>
    <row r="677" spans="1:2" ht="15">
      <c r="A677" s="77" t="s">
        <v>4617</v>
      </c>
      <c r="B677" s="76" t="s">
        <v>11197</v>
      </c>
    </row>
    <row r="678" spans="1:2" ht="15">
      <c r="A678" s="77" t="s">
        <v>4618</v>
      </c>
      <c r="B678" s="76" t="s">
        <v>11197</v>
      </c>
    </row>
    <row r="679" spans="1:2" ht="15">
      <c r="A679" s="77" t="s">
        <v>4619</v>
      </c>
      <c r="B679" s="76" t="s">
        <v>11197</v>
      </c>
    </row>
    <row r="680" spans="1:2" ht="15">
      <c r="A680" s="77" t="s">
        <v>4620</v>
      </c>
      <c r="B680" s="76" t="s">
        <v>11197</v>
      </c>
    </row>
    <row r="681" spans="1:2" ht="15">
      <c r="A681" s="77" t="s">
        <v>4621</v>
      </c>
      <c r="B681" s="76" t="s">
        <v>11197</v>
      </c>
    </row>
    <row r="682" spans="1:2" ht="15">
      <c r="A682" s="77" t="s">
        <v>4622</v>
      </c>
      <c r="B682" s="76" t="s">
        <v>11197</v>
      </c>
    </row>
    <row r="683" spans="1:2" ht="15">
      <c r="A683" s="77" t="s">
        <v>4623</v>
      </c>
      <c r="B683" s="76" t="s">
        <v>11197</v>
      </c>
    </row>
    <row r="684" spans="1:2" ht="15">
      <c r="A684" s="77" t="s">
        <v>4624</v>
      </c>
      <c r="B684" s="76" t="s">
        <v>11197</v>
      </c>
    </row>
    <row r="685" spans="1:2" ht="15">
      <c r="A685" s="77" t="s">
        <v>4625</v>
      </c>
      <c r="B685" s="76" t="s">
        <v>11197</v>
      </c>
    </row>
    <row r="686" spans="1:2" ht="15">
      <c r="A686" s="77" t="s">
        <v>4626</v>
      </c>
      <c r="B686" s="76" t="s">
        <v>11197</v>
      </c>
    </row>
    <row r="687" spans="1:2" ht="15">
      <c r="A687" s="77" t="s">
        <v>4627</v>
      </c>
      <c r="B687" s="76" t="s">
        <v>11197</v>
      </c>
    </row>
    <row r="688" spans="1:2" ht="15">
      <c r="A688" s="77" t="s">
        <v>4628</v>
      </c>
      <c r="B688" s="76" t="s">
        <v>11197</v>
      </c>
    </row>
    <row r="689" spans="1:2" ht="15">
      <c r="A689" s="77" t="s">
        <v>4629</v>
      </c>
      <c r="B689" s="76" t="s">
        <v>11197</v>
      </c>
    </row>
    <row r="690" spans="1:2" ht="15">
      <c r="A690" s="77" t="s">
        <v>4630</v>
      </c>
      <c r="B690" s="76" t="s">
        <v>11197</v>
      </c>
    </row>
    <row r="691" spans="1:2" ht="15">
      <c r="A691" s="77" t="s">
        <v>4631</v>
      </c>
      <c r="B691" s="76" t="s">
        <v>11197</v>
      </c>
    </row>
    <row r="692" spans="1:2" ht="15">
      <c r="A692" s="77" t="s">
        <v>4632</v>
      </c>
      <c r="B692" s="76" t="s">
        <v>11197</v>
      </c>
    </row>
    <row r="693" spans="1:2" ht="15">
      <c r="A693" s="77" t="s">
        <v>4633</v>
      </c>
      <c r="B693" s="76" t="s">
        <v>11197</v>
      </c>
    </row>
    <row r="694" spans="1:2" ht="15">
      <c r="A694" s="77" t="s">
        <v>4634</v>
      </c>
      <c r="B694" s="76" t="s">
        <v>11197</v>
      </c>
    </row>
    <row r="695" spans="1:2" ht="15">
      <c r="A695" s="77" t="s">
        <v>4635</v>
      </c>
      <c r="B695" s="76" t="s">
        <v>11197</v>
      </c>
    </row>
    <row r="696" spans="1:2" ht="15">
      <c r="A696" s="77" t="s">
        <v>4636</v>
      </c>
      <c r="B696" s="76" t="s">
        <v>11197</v>
      </c>
    </row>
    <row r="697" spans="1:2" ht="15">
      <c r="A697" s="77" t="s">
        <v>4637</v>
      </c>
      <c r="B697" s="76" t="s">
        <v>11197</v>
      </c>
    </row>
    <row r="698" spans="1:2" ht="15">
      <c r="A698" s="77" t="s">
        <v>4638</v>
      </c>
      <c r="B698" s="76" t="s">
        <v>11197</v>
      </c>
    </row>
    <row r="699" spans="1:2" ht="15">
      <c r="A699" s="77" t="s">
        <v>4639</v>
      </c>
      <c r="B699" s="76" t="s">
        <v>11197</v>
      </c>
    </row>
    <row r="700" spans="1:2" ht="15">
      <c r="A700" s="77" t="s">
        <v>4640</v>
      </c>
      <c r="B700" s="76" t="s">
        <v>11197</v>
      </c>
    </row>
    <row r="701" spans="1:2" ht="15">
      <c r="A701" s="77" t="s">
        <v>4641</v>
      </c>
      <c r="B701" s="76" t="s">
        <v>11197</v>
      </c>
    </row>
    <row r="702" spans="1:2" ht="15">
      <c r="A702" s="77" t="s">
        <v>4642</v>
      </c>
      <c r="B702" s="76" t="s">
        <v>11197</v>
      </c>
    </row>
    <row r="703" spans="1:2" ht="15">
      <c r="A703" s="77" t="s">
        <v>4643</v>
      </c>
      <c r="B703" s="76" t="s">
        <v>11197</v>
      </c>
    </row>
    <row r="704" spans="1:2" ht="15">
      <c r="A704" s="77" t="s">
        <v>4644</v>
      </c>
      <c r="B704" s="76" t="s">
        <v>11197</v>
      </c>
    </row>
    <row r="705" spans="1:2" ht="15">
      <c r="A705" s="77" t="s">
        <v>4645</v>
      </c>
      <c r="B705" s="76" t="s">
        <v>11197</v>
      </c>
    </row>
    <row r="706" spans="1:2" ht="15">
      <c r="A706" s="77" t="s">
        <v>4646</v>
      </c>
      <c r="B706" s="76" t="s">
        <v>11197</v>
      </c>
    </row>
    <row r="707" spans="1:2" ht="15">
      <c r="A707" s="77" t="s">
        <v>4647</v>
      </c>
      <c r="B707" s="76" t="s">
        <v>11197</v>
      </c>
    </row>
    <row r="708" spans="1:2" ht="15">
      <c r="A708" s="77" t="s">
        <v>4648</v>
      </c>
      <c r="B708" s="76" t="s">
        <v>11197</v>
      </c>
    </row>
    <row r="709" spans="1:2" ht="15">
      <c r="A709" s="77" t="s">
        <v>4649</v>
      </c>
      <c r="B709" s="76" t="s">
        <v>11197</v>
      </c>
    </row>
    <row r="710" spans="1:2" ht="15">
      <c r="A710" s="77" t="s">
        <v>4650</v>
      </c>
      <c r="B710" s="76" t="s">
        <v>11197</v>
      </c>
    </row>
    <row r="711" spans="1:2" ht="15">
      <c r="A711" s="77" t="s">
        <v>4651</v>
      </c>
      <c r="B711" s="76" t="s">
        <v>11197</v>
      </c>
    </row>
    <row r="712" spans="1:2" ht="15">
      <c r="A712" s="77" t="s">
        <v>4652</v>
      </c>
      <c r="B712" s="76" t="s">
        <v>11197</v>
      </c>
    </row>
    <row r="713" spans="1:2" ht="15">
      <c r="A713" s="77" t="s">
        <v>4653</v>
      </c>
      <c r="B713" s="76" t="s">
        <v>11197</v>
      </c>
    </row>
    <row r="714" spans="1:2" ht="15">
      <c r="A714" s="77" t="s">
        <v>4654</v>
      </c>
      <c r="B714" s="76" t="s">
        <v>11197</v>
      </c>
    </row>
    <row r="715" spans="1:2" ht="15">
      <c r="A715" s="77" t="s">
        <v>4655</v>
      </c>
      <c r="B715" s="76" t="s">
        <v>11197</v>
      </c>
    </row>
    <row r="716" spans="1:2" ht="15">
      <c r="A716" s="77" t="s">
        <v>4656</v>
      </c>
      <c r="B716" s="76" t="s">
        <v>11197</v>
      </c>
    </row>
    <row r="717" spans="1:2" ht="15">
      <c r="A717" s="77" t="s">
        <v>4657</v>
      </c>
      <c r="B717" s="76" t="s">
        <v>11197</v>
      </c>
    </row>
    <row r="718" spans="1:2" ht="15">
      <c r="A718" s="77" t="s">
        <v>4658</v>
      </c>
      <c r="B718" s="76" t="s">
        <v>11197</v>
      </c>
    </row>
    <row r="719" spans="1:2" ht="15">
      <c r="A719" s="77" t="s">
        <v>4659</v>
      </c>
      <c r="B719" s="76" t="s">
        <v>11197</v>
      </c>
    </row>
    <row r="720" spans="1:2" ht="15">
      <c r="A720" s="77" t="s">
        <v>4660</v>
      </c>
      <c r="B720" s="76" t="s">
        <v>11197</v>
      </c>
    </row>
    <row r="721" spans="1:2" ht="15">
      <c r="A721" s="77" t="s">
        <v>4661</v>
      </c>
      <c r="B721" s="76" t="s">
        <v>11197</v>
      </c>
    </row>
    <row r="722" spans="1:2" ht="15">
      <c r="A722" s="77" t="s">
        <v>4662</v>
      </c>
      <c r="B722" s="76" t="s">
        <v>11197</v>
      </c>
    </row>
    <row r="723" spans="1:2" ht="15">
      <c r="A723" s="77" t="s">
        <v>4663</v>
      </c>
      <c r="B723" s="76" t="s">
        <v>11197</v>
      </c>
    </row>
    <row r="724" spans="1:2" ht="15">
      <c r="A724" s="77" t="s">
        <v>4664</v>
      </c>
      <c r="B724" s="76" t="s">
        <v>11197</v>
      </c>
    </row>
    <row r="725" spans="1:2" ht="15">
      <c r="A725" s="77" t="s">
        <v>4665</v>
      </c>
      <c r="B725" s="76" t="s">
        <v>11197</v>
      </c>
    </row>
    <row r="726" spans="1:2" ht="15">
      <c r="A726" s="77" t="s">
        <v>4666</v>
      </c>
      <c r="B726" s="76" t="s">
        <v>11197</v>
      </c>
    </row>
    <row r="727" spans="1:2" ht="15">
      <c r="A727" s="77" t="s">
        <v>4667</v>
      </c>
      <c r="B727" s="76" t="s">
        <v>11197</v>
      </c>
    </row>
    <row r="728" spans="1:2" ht="15">
      <c r="A728" s="77" t="s">
        <v>4668</v>
      </c>
      <c r="B728" s="76" t="s">
        <v>11197</v>
      </c>
    </row>
    <row r="729" spans="1:2" ht="15">
      <c r="A729" s="77" t="s">
        <v>4669</v>
      </c>
      <c r="B729" s="76" t="s">
        <v>11197</v>
      </c>
    </row>
    <row r="730" spans="1:2" ht="15">
      <c r="A730" s="77" t="s">
        <v>4670</v>
      </c>
      <c r="B730" s="76" t="s">
        <v>11197</v>
      </c>
    </row>
    <row r="731" spans="1:2" ht="15">
      <c r="A731" s="77" t="s">
        <v>4671</v>
      </c>
      <c r="B731" s="76" t="s">
        <v>11197</v>
      </c>
    </row>
    <row r="732" spans="1:2" ht="15">
      <c r="A732" s="77" t="s">
        <v>4672</v>
      </c>
      <c r="B732" s="76" t="s">
        <v>11197</v>
      </c>
    </row>
    <row r="733" spans="1:2" ht="15">
      <c r="A733" s="77" t="s">
        <v>4673</v>
      </c>
      <c r="B733" s="76" t="s">
        <v>11197</v>
      </c>
    </row>
    <row r="734" spans="1:2" ht="15">
      <c r="A734" s="77" t="s">
        <v>4674</v>
      </c>
      <c r="B734" s="76" t="s">
        <v>11197</v>
      </c>
    </row>
    <row r="735" spans="1:2" ht="15">
      <c r="A735" s="77" t="s">
        <v>4675</v>
      </c>
      <c r="B735" s="76" t="s">
        <v>11197</v>
      </c>
    </row>
    <row r="736" spans="1:2" ht="15">
      <c r="A736" s="77" t="s">
        <v>4676</v>
      </c>
      <c r="B736" s="76" t="s">
        <v>11197</v>
      </c>
    </row>
    <row r="737" spans="1:2" ht="15">
      <c r="A737" s="77" t="s">
        <v>4677</v>
      </c>
      <c r="B737" s="76" t="s">
        <v>11197</v>
      </c>
    </row>
    <row r="738" spans="1:2" ht="15">
      <c r="A738" s="77" t="s">
        <v>4678</v>
      </c>
      <c r="B738" s="76" t="s">
        <v>11197</v>
      </c>
    </row>
    <row r="739" spans="1:2" ht="15">
      <c r="A739" s="77" t="s">
        <v>4679</v>
      </c>
      <c r="B739" s="76" t="s">
        <v>11197</v>
      </c>
    </row>
    <row r="740" spans="1:2" ht="15">
      <c r="A740" s="77" t="s">
        <v>4680</v>
      </c>
      <c r="B740" s="76" t="s">
        <v>11197</v>
      </c>
    </row>
    <row r="741" spans="1:2" ht="15">
      <c r="A741" s="77" t="s">
        <v>4681</v>
      </c>
      <c r="B741" s="76" t="s">
        <v>11197</v>
      </c>
    </row>
    <row r="742" spans="1:2" ht="15">
      <c r="A742" s="77" t="s">
        <v>4682</v>
      </c>
      <c r="B742" s="76" t="s">
        <v>11197</v>
      </c>
    </row>
    <row r="743" spans="1:2" ht="15">
      <c r="A743" s="77" t="s">
        <v>4683</v>
      </c>
      <c r="B743" s="76" t="s">
        <v>11197</v>
      </c>
    </row>
    <row r="744" spans="1:2" ht="15">
      <c r="A744" s="77" t="s">
        <v>4684</v>
      </c>
      <c r="B744" s="76" t="s">
        <v>11197</v>
      </c>
    </row>
    <row r="745" spans="1:2" ht="15">
      <c r="A745" s="77" t="s">
        <v>4685</v>
      </c>
      <c r="B745" s="76" t="s">
        <v>11197</v>
      </c>
    </row>
    <row r="746" spans="1:2" ht="15">
      <c r="A746" s="77" t="s">
        <v>4686</v>
      </c>
      <c r="B746" s="76" t="s">
        <v>11197</v>
      </c>
    </row>
    <row r="747" spans="1:2" ht="15">
      <c r="A747" s="77" t="s">
        <v>4687</v>
      </c>
      <c r="B747" s="76" t="s">
        <v>11197</v>
      </c>
    </row>
    <row r="748" spans="1:2" ht="15">
      <c r="A748" s="77" t="s">
        <v>4688</v>
      </c>
      <c r="B748" s="76" t="s">
        <v>11197</v>
      </c>
    </row>
    <row r="749" spans="1:2" ht="15">
      <c r="A749" s="77" t="s">
        <v>4689</v>
      </c>
      <c r="B749" s="76" t="s">
        <v>11197</v>
      </c>
    </row>
    <row r="750" spans="1:2" ht="15">
      <c r="A750" s="77" t="s">
        <v>4690</v>
      </c>
      <c r="B750" s="76" t="s">
        <v>11197</v>
      </c>
    </row>
    <row r="751" spans="1:2" ht="15">
      <c r="A751" s="77" t="s">
        <v>4691</v>
      </c>
      <c r="B751" s="76" t="s">
        <v>11197</v>
      </c>
    </row>
    <row r="752" spans="1:2" ht="15">
      <c r="A752" s="77" t="s">
        <v>4692</v>
      </c>
      <c r="B752" s="76" t="s">
        <v>11197</v>
      </c>
    </row>
    <row r="753" spans="1:2" ht="15">
      <c r="A753" s="77" t="s">
        <v>4693</v>
      </c>
      <c r="B753" s="76" t="s">
        <v>11197</v>
      </c>
    </row>
    <row r="754" spans="1:2" ht="15">
      <c r="A754" s="77" t="s">
        <v>4694</v>
      </c>
      <c r="B754" s="76" t="s">
        <v>11197</v>
      </c>
    </row>
    <row r="755" spans="1:2" ht="15">
      <c r="A755" s="77" t="s">
        <v>4695</v>
      </c>
      <c r="B755" s="76" t="s">
        <v>11197</v>
      </c>
    </row>
    <row r="756" spans="1:2" ht="15">
      <c r="A756" s="77" t="s">
        <v>4696</v>
      </c>
      <c r="B756" s="76" t="s">
        <v>11197</v>
      </c>
    </row>
    <row r="757" spans="1:2" ht="15">
      <c r="A757" s="77" t="s">
        <v>4697</v>
      </c>
      <c r="B757" s="76" t="s">
        <v>11197</v>
      </c>
    </row>
    <row r="758" spans="1:2" ht="15">
      <c r="A758" s="77" t="s">
        <v>4698</v>
      </c>
      <c r="B758" s="76" t="s">
        <v>11197</v>
      </c>
    </row>
    <row r="759" spans="1:2" ht="15">
      <c r="A759" s="77" t="s">
        <v>4699</v>
      </c>
      <c r="B759" s="76" t="s">
        <v>11197</v>
      </c>
    </row>
    <row r="760" spans="1:2" ht="15">
      <c r="A760" s="77" t="s">
        <v>4700</v>
      </c>
      <c r="B760" s="76" t="s">
        <v>11197</v>
      </c>
    </row>
    <row r="761" spans="1:2" ht="15">
      <c r="A761" s="77" t="s">
        <v>4701</v>
      </c>
      <c r="B761" s="76" t="s">
        <v>11197</v>
      </c>
    </row>
    <row r="762" spans="1:2" ht="15">
      <c r="A762" s="77" t="s">
        <v>4702</v>
      </c>
      <c r="B762" s="76" t="s">
        <v>11197</v>
      </c>
    </row>
    <row r="763" spans="1:2" ht="15">
      <c r="A763" s="77" t="s">
        <v>4703</v>
      </c>
      <c r="B763" s="76" t="s">
        <v>11197</v>
      </c>
    </row>
    <row r="764" spans="1:2" ht="15">
      <c r="A764" s="77" t="s">
        <v>4704</v>
      </c>
      <c r="B764" s="76" t="s">
        <v>11197</v>
      </c>
    </row>
    <row r="765" spans="1:2" ht="15">
      <c r="A765" s="77" t="s">
        <v>4705</v>
      </c>
      <c r="B765" s="76" t="s">
        <v>11197</v>
      </c>
    </row>
    <row r="766" spans="1:2" ht="15">
      <c r="A766" s="77" t="s">
        <v>4706</v>
      </c>
      <c r="B766" s="76" t="s">
        <v>11197</v>
      </c>
    </row>
    <row r="767" spans="1:2" ht="15">
      <c r="A767" s="77" t="s">
        <v>4707</v>
      </c>
      <c r="B767" s="76" t="s">
        <v>11197</v>
      </c>
    </row>
    <row r="768" spans="1:2" ht="15">
      <c r="A768" s="77" t="s">
        <v>4708</v>
      </c>
      <c r="B768" s="76" t="s">
        <v>11197</v>
      </c>
    </row>
    <row r="769" spans="1:2" ht="15">
      <c r="A769" s="77" t="s">
        <v>4709</v>
      </c>
      <c r="B769" s="76" t="s">
        <v>11197</v>
      </c>
    </row>
    <row r="770" spans="1:2" ht="15">
      <c r="A770" s="77" t="s">
        <v>4710</v>
      </c>
      <c r="B770" s="76" t="s">
        <v>11197</v>
      </c>
    </row>
    <row r="771" spans="1:2" ht="15">
      <c r="A771" s="77" t="s">
        <v>4711</v>
      </c>
      <c r="B771" s="76" t="s">
        <v>11197</v>
      </c>
    </row>
    <row r="772" spans="1:2" ht="15">
      <c r="A772" s="77" t="s">
        <v>4712</v>
      </c>
      <c r="B772" s="76" t="s">
        <v>11197</v>
      </c>
    </row>
    <row r="773" spans="1:2" ht="15">
      <c r="A773" s="77" t="s">
        <v>4713</v>
      </c>
      <c r="B773" s="76" t="s">
        <v>11197</v>
      </c>
    </row>
    <row r="774" spans="1:2" ht="15">
      <c r="A774" s="77" t="s">
        <v>4714</v>
      </c>
      <c r="B774" s="76" t="s">
        <v>11197</v>
      </c>
    </row>
    <row r="775" spans="1:2" ht="15">
      <c r="A775" s="77" t="s">
        <v>4715</v>
      </c>
      <c r="B775" s="76" t="s">
        <v>11197</v>
      </c>
    </row>
    <row r="776" spans="1:2" ht="15">
      <c r="A776" s="77" t="s">
        <v>4716</v>
      </c>
      <c r="B776" s="76" t="s">
        <v>11197</v>
      </c>
    </row>
    <row r="777" spans="1:2" ht="15">
      <c r="A777" s="77" t="s">
        <v>4717</v>
      </c>
      <c r="B777" s="76" t="s">
        <v>11197</v>
      </c>
    </row>
    <row r="778" spans="1:2" ht="15">
      <c r="A778" s="77" t="s">
        <v>4718</v>
      </c>
      <c r="B778" s="76" t="s">
        <v>11197</v>
      </c>
    </row>
    <row r="779" spans="1:2" ht="15">
      <c r="A779" s="77" t="s">
        <v>4719</v>
      </c>
      <c r="B779" s="76" t="s">
        <v>11197</v>
      </c>
    </row>
    <row r="780" spans="1:2" ht="15">
      <c r="A780" s="77" t="s">
        <v>4720</v>
      </c>
      <c r="B780" s="76" t="s">
        <v>11197</v>
      </c>
    </row>
    <row r="781" spans="1:2" ht="15">
      <c r="A781" s="77" t="s">
        <v>4721</v>
      </c>
      <c r="B781" s="76" t="s">
        <v>11197</v>
      </c>
    </row>
    <row r="782" spans="1:2" ht="15">
      <c r="A782" s="77" t="s">
        <v>4722</v>
      </c>
      <c r="B782" s="76" t="s">
        <v>11197</v>
      </c>
    </row>
    <row r="783" spans="1:2" ht="15">
      <c r="A783" s="77" t="s">
        <v>4723</v>
      </c>
      <c r="B783" s="76" t="s">
        <v>11197</v>
      </c>
    </row>
    <row r="784" spans="1:2" ht="15">
      <c r="A784" s="77" t="s">
        <v>4724</v>
      </c>
      <c r="B784" s="76" t="s">
        <v>11197</v>
      </c>
    </row>
    <row r="785" spans="1:2" ht="15">
      <c r="A785" s="77" t="s">
        <v>4725</v>
      </c>
      <c r="B785" s="76" t="s">
        <v>11197</v>
      </c>
    </row>
    <row r="786" spans="1:2" ht="15">
      <c r="A786" s="77" t="s">
        <v>4726</v>
      </c>
      <c r="B786" s="76" t="s">
        <v>11197</v>
      </c>
    </row>
    <row r="787" spans="1:2" ht="15">
      <c r="A787" s="77" t="s">
        <v>4727</v>
      </c>
      <c r="B787" s="76" t="s">
        <v>11197</v>
      </c>
    </row>
    <row r="788" spans="1:2" ht="15">
      <c r="A788" s="77" t="s">
        <v>4728</v>
      </c>
      <c r="B788" s="76" t="s">
        <v>11197</v>
      </c>
    </row>
    <row r="789" spans="1:2" ht="15">
      <c r="A789" s="77" t="s">
        <v>4729</v>
      </c>
      <c r="B789" s="76" t="s">
        <v>11197</v>
      </c>
    </row>
    <row r="790" spans="1:2" ht="15">
      <c r="A790" s="77" t="s">
        <v>4730</v>
      </c>
      <c r="B790" s="76" t="s">
        <v>11197</v>
      </c>
    </row>
    <row r="791" spans="1:2" ht="15">
      <c r="A791" s="77" t="s">
        <v>4731</v>
      </c>
      <c r="B791" s="76" t="s">
        <v>11197</v>
      </c>
    </row>
    <row r="792" spans="1:2" ht="15">
      <c r="A792" s="77" t="s">
        <v>4732</v>
      </c>
      <c r="B792" s="76" t="s">
        <v>11197</v>
      </c>
    </row>
    <row r="793" spans="1:2" ht="15">
      <c r="A793" s="77" t="s">
        <v>4733</v>
      </c>
      <c r="B793" s="76" t="s">
        <v>11197</v>
      </c>
    </row>
    <row r="794" spans="1:2" ht="15">
      <c r="A794" s="77" t="s">
        <v>4734</v>
      </c>
      <c r="B794" s="76" t="s">
        <v>11197</v>
      </c>
    </row>
    <row r="795" spans="1:2" ht="15">
      <c r="A795" s="77" t="s">
        <v>4735</v>
      </c>
      <c r="B795" s="76" t="s">
        <v>11197</v>
      </c>
    </row>
    <row r="796" spans="1:2" ht="15">
      <c r="A796" s="77" t="s">
        <v>4736</v>
      </c>
      <c r="B796" s="76" t="s">
        <v>11197</v>
      </c>
    </row>
    <row r="797" spans="1:2" ht="15">
      <c r="A797" s="77" t="s">
        <v>4737</v>
      </c>
      <c r="B797" s="76" t="s">
        <v>11197</v>
      </c>
    </row>
    <row r="798" spans="1:2" ht="15">
      <c r="A798" s="77" t="s">
        <v>4738</v>
      </c>
      <c r="B798" s="76" t="s">
        <v>11197</v>
      </c>
    </row>
    <row r="799" spans="1:2" ht="15">
      <c r="A799" s="77" t="s">
        <v>4739</v>
      </c>
      <c r="B799" s="76" t="s">
        <v>11197</v>
      </c>
    </row>
    <row r="800" spans="1:2" ht="15">
      <c r="A800" s="77" t="s">
        <v>4740</v>
      </c>
      <c r="B800" s="76" t="s">
        <v>11197</v>
      </c>
    </row>
    <row r="801" spans="1:2" ht="15">
      <c r="A801" s="77" t="s">
        <v>4741</v>
      </c>
      <c r="B801" s="76" t="s">
        <v>11197</v>
      </c>
    </row>
    <row r="802" spans="1:2" ht="15">
      <c r="A802" s="77" t="s">
        <v>4742</v>
      </c>
      <c r="B802" s="76" t="s">
        <v>11197</v>
      </c>
    </row>
    <row r="803" spans="1:2" ht="15">
      <c r="A803" s="77" t="s">
        <v>4743</v>
      </c>
      <c r="B803" s="76" t="s">
        <v>11197</v>
      </c>
    </row>
    <row r="804" spans="1:2" ht="15">
      <c r="A804" s="77" t="s">
        <v>4744</v>
      </c>
      <c r="B804" s="76" t="s">
        <v>11197</v>
      </c>
    </row>
    <row r="805" spans="1:2" ht="15">
      <c r="A805" s="77" t="s">
        <v>4745</v>
      </c>
      <c r="B805" s="76" t="s">
        <v>11197</v>
      </c>
    </row>
    <row r="806" spans="1:2" ht="15">
      <c r="A806" s="77" t="s">
        <v>4746</v>
      </c>
      <c r="B806" s="76" t="s">
        <v>11197</v>
      </c>
    </row>
    <row r="807" spans="1:2" ht="15">
      <c r="A807" s="77" t="s">
        <v>4747</v>
      </c>
      <c r="B807" s="76" t="s">
        <v>11197</v>
      </c>
    </row>
    <row r="808" spans="1:2" ht="15">
      <c r="A808" s="77" t="s">
        <v>4748</v>
      </c>
      <c r="B808" s="76" t="s">
        <v>11197</v>
      </c>
    </row>
    <row r="809" spans="1:2" ht="15">
      <c r="A809" s="77" t="s">
        <v>4749</v>
      </c>
      <c r="B809" s="76" t="s">
        <v>11197</v>
      </c>
    </row>
    <row r="810" spans="1:2" ht="15">
      <c r="A810" s="77" t="s">
        <v>4750</v>
      </c>
      <c r="B810" s="76" t="s">
        <v>11197</v>
      </c>
    </row>
    <row r="811" spans="1:2" ht="15">
      <c r="A811" s="77" t="s">
        <v>4751</v>
      </c>
      <c r="B811" s="76" t="s">
        <v>11197</v>
      </c>
    </row>
    <row r="812" spans="1:2" ht="15">
      <c r="A812" s="77" t="s">
        <v>4752</v>
      </c>
      <c r="B812" s="76" t="s">
        <v>11197</v>
      </c>
    </row>
    <row r="813" spans="1:2" ht="15">
      <c r="A813" s="77" t="s">
        <v>4753</v>
      </c>
      <c r="B813" s="76" t="s">
        <v>11197</v>
      </c>
    </row>
    <row r="814" spans="1:2" ht="15">
      <c r="A814" s="77" t="s">
        <v>4754</v>
      </c>
      <c r="B814" s="76" t="s">
        <v>11197</v>
      </c>
    </row>
    <row r="815" spans="1:2" ht="15">
      <c r="A815" s="77" t="s">
        <v>4755</v>
      </c>
      <c r="B815" s="76" t="s">
        <v>11197</v>
      </c>
    </row>
    <row r="816" spans="1:2" ht="15">
      <c r="A816" s="77" t="s">
        <v>4756</v>
      </c>
      <c r="B816" s="76" t="s">
        <v>11197</v>
      </c>
    </row>
    <row r="817" spans="1:2" ht="15">
      <c r="A817" s="77" t="s">
        <v>4757</v>
      </c>
      <c r="B817" s="76" t="s">
        <v>11197</v>
      </c>
    </row>
    <row r="818" spans="1:2" ht="15">
      <c r="A818" s="77" t="s">
        <v>4758</v>
      </c>
      <c r="B818" s="76" t="s">
        <v>11197</v>
      </c>
    </row>
    <row r="819" spans="1:2" ht="15">
      <c r="A819" s="77" t="s">
        <v>4759</v>
      </c>
      <c r="B819" s="76" t="s">
        <v>11197</v>
      </c>
    </row>
    <row r="820" spans="1:2" ht="15">
      <c r="A820" s="77" t="s">
        <v>4760</v>
      </c>
      <c r="B820" s="76" t="s">
        <v>11197</v>
      </c>
    </row>
    <row r="821" spans="1:2" ht="15">
      <c r="A821" s="77" t="s">
        <v>4761</v>
      </c>
      <c r="B821" s="76" t="s">
        <v>11197</v>
      </c>
    </row>
    <row r="822" spans="1:2" ht="15">
      <c r="A822" s="77" t="s">
        <v>4762</v>
      </c>
      <c r="B822" s="76" t="s">
        <v>11197</v>
      </c>
    </row>
    <row r="823" spans="1:2" ht="15">
      <c r="A823" s="77" t="s">
        <v>4763</v>
      </c>
      <c r="B823" s="76" t="s">
        <v>11197</v>
      </c>
    </row>
    <row r="824" spans="1:2" ht="15">
      <c r="A824" s="77" t="s">
        <v>4764</v>
      </c>
      <c r="B824" s="76" t="s">
        <v>11197</v>
      </c>
    </row>
    <row r="825" spans="1:2" ht="15">
      <c r="A825" s="77" t="s">
        <v>4765</v>
      </c>
      <c r="B825" s="76" t="s">
        <v>11197</v>
      </c>
    </row>
    <row r="826" spans="1:2" ht="15">
      <c r="A826" s="77" t="s">
        <v>4766</v>
      </c>
      <c r="B826" s="76" t="s">
        <v>11197</v>
      </c>
    </row>
    <row r="827" spans="1:2" ht="15">
      <c r="A827" s="77" t="s">
        <v>3481</v>
      </c>
      <c r="B827" s="76" t="s">
        <v>11197</v>
      </c>
    </row>
    <row r="828" spans="1:2" ht="15">
      <c r="A828" s="77" t="s">
        <v>4767</v>
      </c>
      <c r="B828" s="76" t="s">
        <v>11197</v>
      </c>
    </row>
    <row r="829" spans="1:2" ht="15">
      <c r="A829" s="77" t="s">
        <v>4768</v>
      </c>
      <c r="B829" s="76" t="s">
        <v>11197</v>
      </c>
    </row>
    <row r="830" spans="1:2" ht="15">
      <c r="A830" s="77" t="s">
        <v>4769</v>
      </c>
      <c r="B830" s="76" t="s">
        <v>11197</v>
      </c>
    </row>
    <row r="831" spans="1:2" ht="15">
      <c r="A831" s="77" t="s">
        <v>4770</v>
      </c>
      <c r="B831" s="76" t="s">
        <v>11197</v>
      </c>
    </row>
    <row r="832" spans="1:2" ht="15">
      <c r="A832" s="77" t="s">
        <v>4771</v>
      </c>
      <c r="B832" s="76" t="s">
        <v>11197</v>
      </c>
    </row>
    <row r="833" spans="1:2" ht="15">
      <c r="A833" s="77" t="s">
        <v>4772</v>
      </c>
      <c r="B833" s="76" t="s">
        <v>11197</v>
      </c>
    </row>
    <row r="834" spans="1:2" ht="15">
      <c r="A834" s="77" t="s">
        <v>4773</v>
      </c>
      <c r="B834" s="76" t="s">
        <v>11197</v>
      </c>
    </row>
    <row r="835" spans="1:2" ht="15">
      <c r="A835" s="77" t="s">
        <v>4774</v>
      </c>
      <c r="B835" s="76" t="s">
        <v>11197</v>
      </c>
    </row>
    <row r="836" spans="1:2" ht="15">
      <c r="A836" s="77" t="s">
        <v>4775</v>
      </c>
      <c r="B836" s="76" t="s">
        <v>11197</v>
      </c>
    </row>
    <row r="837" spans="1:2" ht="15">
      <c r="A837" s="77" t="s">
        <v>4776</v>
      </c>
      <c r="B837" s="76" t="s">
        <v>11197</v>
      </c>
    </row>
    <row r="838" spans="1:2" ht="15">
      <c r="A838" s="77" t="s">
        <v>4777</v>
      </c>
      <c r="B838" s="76" t="s">
        <v>11197</v>
      </c>
    </row>
    <row r="839" spans="1:2" ht="15">
      <c r="A839" s="77" t="s">
        <v>4778</v>
      </c>
      <c r="B839" s="76" t="s">
        <v>11197</v>
      </c>
    </row>
    <row r="840" spans="1:2" ht="15">
      <c r="A840" s="77" t="s">
        <v>4779</v>
      </c>
      <c r="B840" s="76" t="s">
        <v>11197</v>
      </c>
    </row>
    <row r="841" spans="1:2" ht="15">
      <c r="A841" s="77" t="s">
        <v>4780</v>
      </c>
      <c r="B841" s="76" t="s">
        <v>11197</v>
      </c>
    </row>
    <row r="842" spans="1:2" ht="15">
      <c r="A842" s="77" t="s">
        <v>4781</v>
      </c>
      <c r="B842" s="76" t="s">
        <v>11197</v>
      </c>
    </row>
    <row r="843" spans="1:2" ht="15">
      <c r="A843" s="77" t="s">
        <v>4782</v>
      </c>
      <c r="B843" s="76" t="s">
        <v>11197</v>
      </c>
    </row>
    <row r="844" spans="1:2" ht="15">
      <c r="A844" s="77" t="s">
        <v>4783</v>
      </c>
      <c r="B844" s="76" t="s">
        <v>11197</v>
      </c>
    </row>
    <row r="845" spans="1:2" ht="15">
      <c r="A845" s="77" t="s">
        <v>4784</v>
      </c>
      <c r="B845" s="76" t="s">
        <v>11197</v>
      </c>
    </row>
    <row r="846" spans="1:2" ht="15">
      <c r="A846" s="77" t="s">
        <v>4785</v>
      </c>
      <c r="B846" s="76" t="s">
        <v>11197</v>
      </c>
    </row>
    <row r="847" spans="1:2" ht="15">
      <c r="A847" s="77" t="s">
        <v>4786</v>
      </c>
      <c r="B847" s="76" t="s">
        <v>11197</v>
      </c>
    </row>
    <row r="848" spans="1:2" ht="15">
      <c r="A848" s="77" t="s">
        <v>4787</v>
      </c>
      <c r="B848" s="76" t="s">
        <v>11197</v>
      </c>
    </row>
    <row r="849" spans="1:2" ht="15">
      <c r="A849" s="77" t="s">
        <v>4788</v>
      </c>
      <c r="B849" s="76" t="s">
        <v>11197</v>
      </c>
    </row>
    <row r="850" spans="1:2" ht="15">
      <c r="A850" s="77" t="s">
        <v>4789</v>
      </c>
      <c r="B850" s="76" t="s">
        <v>11197</v>
      </c>
    </row>
    <row r="851" spans="1:2" ht="15">
      <c r="A851" s="77" t="s">
        <v>4790</v>
      </c>
      <c r="B851" s="76" t="s">
        <v>11197</v>
      </c>
    </row>
    <row r="852" spans="1:2" ht="15">
      <c r="A852" s="77" t="s">
        <v>4791</v>
      </c>
      <c r="B852" s="76" t="s">
        <v>11197</v>
      </c>
    </row>
    <row r="853" spans="1:2" ht="15">
      <c r="A853" s="77" t="s">
        <v>4792</v>
      </c>
      <c r="B853" s="76" t="s">
        <v>11197</v>
      </c>
    </row>
    <row r="854" spans="1:2" ht="15">
      <c r="A854" s="77" t="s">
        <v>4793</v>
      </c>
      <c r="B854" s="76" t="s">
        <v>11197</v>
      </c>
    </row>
    <row r="855" spans="1:2" ht="15">
      <c r="A855" s="77" t="s">
        <v>4794</v>
      </c>
      <c r="B855" s="76" t="s">
        <v>11197</v>
      </c>
    </row>
    <row r="856" spans="1:2" ht="15">
      <c r="A856" s="77" t="s">
        <v>4795</v>
      </c>
      <c r="B856" s="76" t="s">
        <v>11197</v>
      </c>
    </row>
    <row r="857" spans="1:2" ht="15">
      <c r="A857" s="77" t="s">
        <v>4796</v>
      </c>
      <c r="B857" s="76" t="s">
        <v>11197</v>
      </c>
    </row>
    <row r="858" spans="1:2" ht="15">
      <c r="A858" s="77" t="s">
        <v>4797</v>
      </c>
      <c r="B858" s="76" t="s">
        <v>11197</v>
      </c>
    </row>
    <row r="859" spans="1:2" ht="15">
      <c r="A859" s="77" t="s">
        <v>4798</v>
      </c>
      <c r="B859" s="76" t="s">
        <v>11197</v>
      </c>
    </row>
    <row r="860" spans="1:2" ht="15">
      <c r="A860" s="77" t="s">
        <v>4799</v>
      </c>
      <c r="B860" s="76" t="s">
        <v>11197</v>
      </c>
    </row>
    <row r="861" spans="1:2" ht="15">
      <c r="A861" s="77" t="s">
        <v>4800</v>
      </c>
      <c r="B861" s="76" t="s">
        <v>11197</v>
      </c>
    </row>
    <row r="862" spans="1:2" ht="15">
      <c r="A862" s="77" t="s">
        <v>4801</v>
      </c>
      <c r="B862" s="76" t="s">
        <v>11197</v>
      </c>
    </row>
    <row r="863" spans="1:2" ht="15">
      <c r="A863" s="77" t="s">
        <v>4802</v>
      </c>
      <c r="B863" s="76" t="s">
        <v>11197</v>
      </c>
    </row>
    <row r="864" spans="1:2" ht="15">
      <c r="A864" s="77" t="s">
        <v>4803</v>
      </c>
      <c r="B864" s="76" t="s">
        <v>11197</v>
      </c>
    </row>
    <row r="865" spans="1:2" ht="15">
      <c r="A865" s="77" t="s">
        <v>4804</v>
      </c>
      <c r="B865" s="76" t="s">
        <v>11197</v>
      </c>
    </row>
    <row r="866" spans="1:2" ht="15">
      <c r="A866" s="77" t="s">
        <v>4805</v>
      </c>
      <c r="B866" s="76" t="s">
        <v>11197</v>
      </c>
    </row>
    <row r="867" spans="1:2" ht="15">
      <c r="A867" s="77" t="s">
        <v>4806</v>
      </c>
      <c r="B867" s="76" t="s">
        <v>11197</v>
      </c>
    </row>
    <row r="868" spans="1:2" ht="15">
      <c r="A868" s="77" t="s">
        <v>4807</v>
      </c>
      <c r="B868" s="76" t="s">
        <v>11197</v>
      </c>
    </row>
    <row r="869" spans="1:2" ht="15">
      <c r="A869" s="77" t="s">
        <v>4808</v>
      </c>
      <c r="B869" s="76" t="s">
        <v>11197</v>
      </c>
    </row>
    <row r="870" spans="1:2" ht="15">
      <c r="A870" s="77" t="s">
        <v>4809</v>
      </c>
      <c r="B870" s="76" t="s">
        <v>11197</v>
      </c>
    </row>
    <row r="871" spans="1:2" ht="15">
      <c r="A871" s="77" t="s">
        <v>4810</v>
      </c>
      <c r="B871" s="76" t="s">
        <v>11197</v>
      </c>
    </row>
    <row r="872" spans="1:2" ht="15">
      <c r="A872" s="77" t="s">
        <v>4811</v>
      </c>
      <c r="B872" s="76" t="s">
        <v>11197</v>
      </c>
    </row>
    <row r="873" spans="1:2" ht="15">
      <c r="A873" s="77" t="s">
        <v>4812</v>
      </c>
      <c r="B873" s="76" t="s">
        <v>11197</v>
      </c>
    </row>
    <row r="874" spans="1:2" ht="15">
      <c r="A874" s="77" t="s">
        <v>4813</v>
      </c>
      <c r="B874" s="76" t="s">
        <v>11197</v>
      </c>
    </row>
    <row r="875" spans="1:2" ht="15">
      <c r="A875" s="77" t="s">
        <v>4814</v>
      </c>
      <c r="B875" s="76" t="s">
        <v>11197</v>
      </c>
    </row>
    <row r="876" spans="1:2" ht="15">
      <c r="A876" s="77" t="s">
        <v>4815</v>
      </c>
      <c r="B876" s="76" t="s">
        <v>11197</v>
      </c>
    </row>
    <row r="877" spans="1:2" ht="15">
      <c r="A877" s="77" t="s">
        <v>4816</v>
      </c>
      <c r="B877" s="76" t="s">
        <v>11197</v>
      </c>
    </row>
    <row r="878" spans="1:2" ht="15">
      <c r="A878" s="77" t="s">
        <v>4817</v>
      </c>
      <c r="B878" s="76" t="s">
        <v>11197</v>
      </c>
    </row>
    <row r="879" spans="1:2" ht="15">
      <c r="A879" s="77" t="s">
        <v>4818</v>
      </c>
      <c r="B879" s="76" t="s">
        <v>11197</v>
      </c>
    </row>
    <row r="880" spans="1:2" ht="15">
      <c r="A880" s="77" t="s">
        <v>4819</v>
      </c>
      <c r="B880" s="76" t="s">
        <v>11197</v>
      </c>
    </row>
    <row r="881" spans="1:2" ht="15">
      <c r="A881" s="77" t="s">
        <v>4820</v>
      </c>
      <c r="B881" s="76" t="s">
        <v>11197</v>
      </c>
    </row>
    <row r="882" spans="1:2" ht="15">
      <c r="A882" s="77" t="s">
        <v>4821</v>
      </c>
      <c r="B882" s="76" t="s">
        <v>11197</v>
      </c>
    </row>
    <row r="883" spans="1:2" ht="15">
      <c r="A883" s="77" t="s">
        <v>4822</v>
      </c>
      <c r="B883" s="76" t="s">
        <v>11197</v>
      </c>
    </row>
    <row r="884" spans="1:2" ht="15">
      <c r="A884" s="77" t="s">
        <v>4823</v>
      </c>
      <c r="B884" s="76" t="s">
        <v>11197</v>
      </c>
    </row>
    <row r="885" spans="1:2" ht="15">
      <c r="A885" s="77" t="s">
        <v>4824</v>
      </c>
      <c r="B885" s="76" t="s">
        <v>11197</v>
      </c>
    </row>
    <row r="886" spans="1:2" ht="15">
      <c r="A886" s="77" t="s">
        <v>4825</v>
      </c>
      <c r="B886" s="76" t="s">
        <v>11197</v>
      </c>
    </row>
    <row r="887" spans="1:2" ht="15">
      <c r="A887" s="77" t="s">
        <v>4826</v>
      </c>
      <c r="B887" s="76" t="s">
        <v>11197</v>
      </c>
    </row>
    <row r="888" spans="1:2" ht="15">
      <c r="A888" s="77" t="s">
        <v>4827</v>
      </c>
      <c r="B888" s="76" t="s">
        <v>11197</v>
      </c>
    </row>
    <row r="889" spans="1:2" ht="15">
      <c r="A889" s="77" t="s">
        <v>4828</v>
      </c>
      <c r="B889" s="76" t="s">
        <v>11197</v>
      </c>
    </row>
    <row r="890" spans="1:2" ht="15">
      <c r="A890" s="77" t="s">
        <v>4829</v>
      </c>
      <c r="B890" s="76" t="s">
        <v>11197</v>
      </c>
    </row>
    <row r="891" spans="1:2" ht="15">
      <c r="A891" s="77" t="s">
        <v>4830</v>
      </c>
      <c r="B891" s="76" t="s">
        <v>11197</v>
      </c>
    </row>
    <row r="892" spans="1:2" ht="15">
      <c r="A892" s="77" t="s">
        <v>4831</v>
      </c>
      <c r="B892" s="76" t="s">
        <v>11197</v>
      </c>
    </row>
    <row r="893" spans="1:2" ht="15">
      <c r="A893" s="77" t="s">
        <v>4832</v>
      </c>
      <c r="B893" s="76" t="s">
        <v>11197</v>
      </c>
    </row>
    <row r="894" spans="1:2" ht="15">
      <c r="A894" s="77" t="s">
        <v>4833</v>
      </c>
      <c r="B894" s="76" t="s">
        <v>11197</v>
      </c>
    </row>
    <row r="895" spans="1:2" ht="15">
      <c r="A895" s="77" t="s">
        <v>4834</v>
      </c>
      <c r="B895" s="76" t="s">
        <v>11197</v>
      </c>
    </row>
    <row r="896" spans="1:2" ht="15">
      <c r="A896" s="77" t="s">
        <v>4835</v>
      </c>
      <c r="B896" s="76" t="s">
        <v>11197</v>
      </c>
    </row>
    <row r="897" spans="1:2" ht="15">
      <c r="A897" s="77" t="s">
        <v>4836</v>
      </c>
      <c r="B897" s="76" t="s">
        <v>11197</v>
      </c>
    </row>
    <row r="898" spans="1:2" ht="15">
      <c r="A898" s="77" t="s">
        <v>4837</v>
      </c>
      <c r="B898" s="76" t="s">
        <v>11197</v>
      </c>
    </row>
    <row r="899" spans="1:2" ht="15">
      <c r="A899" s="77" t="s">
        <v>4838</v>
      </c>
      <c r="B899" s="76" t="s">
        <v>11197</v>
      </c>
    </row>
    <row r="900" spans="1:2" ht="15">
      <c r="A900" s="77" t="s">
        <v>4839</v>
      </c>
      <c r="B900" s="76" t="s">
        <v>11197</v>
      </c>
    </row>
    <row r="901" spans="1:2" ht="15">
      <c r="A901" s="77" t="s">
        <v>4840</v>
      </c>
      <c r="B901" s="76" t="s">
        <v>11197</v>
      </c>
    </row>
    <row r="902" spans="1:2" ht="15">
      <c r="A902" s="77" t="s">
        <v>4841</v>
      </c>
      <c r="B902" s="76" t="s">
        <v>11197</v>
      </c>
    </row>
    <row r="903" spans="1:2" ht="15">
      <c r="A903" s="77" t="s">
        <v>4842</v>
      </c>
      <c r="B903" s="76" t="s">
        <v>11197</v>
      </c>
    </row>
    <row r="904" spans="1:2" ht="15">
      <c r="A904" s="77" t="s">
        <v>4843</v>
      </c>
      <c r="B904" s="76" t="s">
        <v>11197</v>
      </c>
    </row>
    <row r="905" spans="1:2" ht="15">
      <c r="A905" s="77" t="s">
        <v>4844</v>
      </c>
      <c r="B905" s="76" t="s">
        <v>11197</v>
      </c>
    </row>
    <row r="906" spans="1:2" ht="15">
      <c r="A906" s="77" t="s">
        <v>4845</v>
      </c>
      <c r="B906" s="76" t="s">
        <v>11197</v>
      </c>
    </row>
    <row r="907" spans="1:2" ht="15">
      <c r="A907" s="77" t="s">
        <v>4846</v>
      </c>
      <c r="B907" s="76" t="s">
        <v>11197</v>
      </c>
    </row>
    <row r="908" spans="1:2" ht="15">
      <c r="A908" s="77" t="s">
        <v>4847</v>
      </c>
      <c r="B908" s="76" t="s">
        <v>11197</v>
      </c>
    </row>
    <row r="909" spans="1:2" ht="15">
      <c r="A909" s="77" t="s">
        <v>4848</v>
      </c>
      <c r="B909" s="76" t="s">
        <v>11197</v>
      </c>
    </row>
    <row r="910" spans="1:2" ht="15">
      <c r="A910" s="77" t="s">
        <v>4849</v>
      </c>
      <c r="B910" s="76" t="s">
        <v>11197</v>
      </c>
    </row>
    <row r="911" spans="1:2" ht="15">
      <c r="A911" s="77" t="s">
        <v>4850</v>
      </c>
      <c r="B911" s="76" t="s">
        <v>11197</v>
      </c>
    </row>
    <row r="912" spans="1:2" ht="15">
      <c r="A912" s="77" t="s">
        <v>4851</v>
      </c>
      <c r="B912" s="76" t="s">
        <v>11197</v>
      </c>
    </row>
    <row r="913" spans="1:2" ht="15">
      <c r="A913" s="77" t="s">
        <v>4852</v>
      </c>
      <c r="B913" s="76" t="s">
        <v>11197</v>
      </c>
    </row>
    <row r="914" spans="1:2" ht="15">
      <c r="A914" s="77" t="s">
        <v>4853</v>
      </c>
      <c r="B914" s="76" t="s">
        <v>11197</v>
      </c>
    </row>
    <row r="915" spans="1:2" ht="15">
      <c r="A915" s="77" t="s">
        <v>4854</v>
      </c>
      <c r="B915" s="76" t="s">
        <v>11197</v>
      </c>
    </row>
    <row r="916" spans="1:2" ht="15">
      <c r="A916" s="77" t="s">
        <v>4855</v>
      </c>
      <c r="B916" s="76" t="s">
        <v>11197</v>
      </c>
    </row>
    <row r="917" spans="1:2" ht="15">
      <c r="A917" s="77" t="s">
        <v>4856</v>
      </c>
      <c r="B917" s="76" t="s">
        <v>11197</v>
      </c>
    </row>
    <row r="918" spans="1:2" ht="15">
      <c r="A918" s="77" t="s">
        <v>4857</v>
      </c>
      <c r="B918" s="76" t="s">
        <v>11197</v>
      </c>
    </row>
    <row r="919" spans="1:2" ht="15">
      <c r="A919" s="77" t="s">
        <v>4858</v>
      </c>
      <c r="B919" s="76" t="s">
        <v>11197</v>
      </c>
    </row>
    <row r="920" spans="1:2" ht="15">
      <c r="A920" s="77" t="s">
        <v>4859</v>
      </c>
      <c r="B920" s="76" t="s">
        <v>11197</v>
      </c>
    </row>
    <row r="921" spans="1:2" ht="15">
      <c r="A921" s="77" t="s">
        <v>4860</v>
      </c>
      <c r="B921" s="76" t="s">
        <v>11197</v>
      </c>
    </row>
    <row r="922" spans="1:2" ht="15">
      <c r="A922" s="77" t="s">
        <v>4861</v>
      </c>
      <c r="B922" s="76" t="s">
        <v>11197</v>
      </c>
    </row>
    <row r="923" spans="1:2" ht="15">
      <c r="A923" s="77" t="s">
        <v>4862</v>
      </c>
      <c r="B923" s="76" t="s">
        <v>11197</v>
      </c>
    </row>
    <row r="924" spans="1:2" ht="15">
      <c r="A924" s="77" t="s">
        <v>4863</v>
      </c>
      <c r="B924" s="76" t="s">
        <v>11197</v>
      </c>
    </row>
    <row r="925" spans="1:2" ht="15">
      <c r="A925" s="77" t="s">
        <v>4864</v>
      </c>
      <c r="B925" s="76" t="s">
        <v>11197</v>
      </c>
    </row>
    <row r="926" spans="1:2" ht="15">
      <c r="A926" s="77" t="s">
        <v>4865</v>
      </c>
      <c r="B926" s="76" t="s">
        <v>11197</v>
      </c>
    </row>
    <row r="927" spans="1:2" ht="15">
      <c r="A927" s="77" t="s">
        <v>4866</v>
      </c>
      <c r="B927" s="76" t="s">
        <v>11197</v>
      </c>
    </row>
    <row r="928" spans="1:2" ht="15">
      <c r="A928" s="77" t="s">
        <v>4867</v>
      </c>
      <c r="B928" s="76" t="s">
        <v>11197</v>
      </c>
    </row>
    <row r="929" spans="1:2" ht="15">
      <c r="A929" s="77" t="s">
        <v>4868</v>
      </c>
      <c r="B929" s="76" t="s">
        <v>11197</v>
      </c>
    </row>
    <row r="930" spans="1:2" ht="15">
      <c r="A930" s="77" t="s">
        <v>4869</v>
      </c>
      <c r="B930" s="76" t="s">
        <v>11197</v>
      </c>
    </row>
    <row r="931" spans="1:2" ht="15">
      <c r="A931" s="77" t="s">
        <v>4870</v>
      </c>
      <c r="B931" s="76" t="s">
        <v>11197</v>
      </c>
    </row>
    <row r="932" spans="1:2" ht="15">
      <c r="A932" s="77" t="s">
        <v>4871</v>
      </c>
      <c r="B932" s="76" t="s">
        <v>11197</v>
      </c>
    </row>
    <row r="933" spans="1:2" ht="15">
      <c r="A933" s="77" t="s">
        <v>4872</v>
      </c>
      <c r="B933" s="76" t="s">
        <v>11197</v>
      </c>
    </row>
    <row r="934" spans="1:2" ht="15">
      <c r="A934" s="77" t="s">
        <v>4873</v>
      </c>
      <c r="B934" s="76" t="s">
        <v>11197</v>
      </c>
    </row>
    <row r="935" spans="1:2" ht="15">
      <c r="A935" s="77" t="s">
        <v>4874</v>
      </c>
      <c r="B935" s="76" t="s">
        <v>11197</v>
      </c>
    </row>
    <row r="936" spans="1:2" ht="15">
      <c r="A936" s="77" t="s">
        <v>4875</v>
      </c>
      <c r="B936" s="76" t="s">
        <v>11197</v>
      </c>
    </row>
    <row r="937" spans="1:2" ht="15">
      <c r="A937" s="77" t="s">
        <v>4876</v>
      </c>
      <c r="B937" s="76" t="s">
        <v>11197</v>
      </c>
    </row>
    <row r="938" spans="1:2" ht="15">
      <c r="A938" s="77" t="s">
        <v>4877</v>
      </c>
      <c r="B938" s="76" t="s">
        <v>11197</v>
      </c>
    </row>
    <row r="939" spans="1:2" ht="15">
      <c r="A939" s="77" t="s">
        <v>4878</v>
      </c>
      <c r="B939" s="76" t="s">
        <v>11197</v>
      </c>
    </row>
    <row r="940" spans="1:2" ht="15">
      <c r="A940" s="77" t="s">
        <v>4879</v>
      </c>
      <c r="B940" s="76" t="s">
        <v>11197</v>
      </c>
    </row>
    <row r="941" spans="1:2" ht="15">
      <c r="A941" s="77" t="s">
        <v>4880</v>
      </c>
      <c r="B941" s="76" t="s">
        <v>11197</v>
      </c>
    </row>
    <row r="942" spans="1:2" ht="15">
      <c r="A942" s="77" t="s">
        <v>4881</v>
      </c>
      <c r="B942" s="76" t="s">
        <v>11197</v>
      </c>
    </row>
    <row r="943" spans="1:2" ht="15">
      <c r="A943" s="77" t="s">
        <v>4882</v>
      </c>
      <c r="B943" s="76" t="s">
        <v>11197</v>
      </c>
    </row>
    <row r="944" spans="1:2" ht="15">
      <c r="A944" s="77" t="s">
        <v>4883</v>
      </c>
      <c r="B944" s="76" t="s">
        <v>11197</v>
      </c>
    </row>
    <row r="945" spans="1:2" ht="15">
      <c r="A945" s="77" t="s">
        <v>4884</v>
      </c>
      <c r="B945" s="76" t="s">
        <v>11197</v>
      </c>
    </row>
    <row r="946" spans="1:2" ht="15">
      <c r="A946" s="77" t="s">
        <v>4885</v>
      </c>
      <c r="B946" s="76" t="s">
        <v>11197</v>
      </c>
    </row>
    <row r="947" spans="1:2" ht="15">
      <c r="A947" s="77" t="s">
        <v>4886</v>
      </c>
      <c r="B947" s="76" t="s">
        <v>11197</v>
      </c>
    </row>
    <row r="948" spans="1:2" ht="15">
      <c r="A948" s="77" t="s">
        <v>4887</v>
      </c>
      <c r="B948" s="76" t="s">
        <v>11197</v>
      </c>
    </row>
    <row r="949" spans="1:2" ht="15">
      <c r="A949" s="77" t="s">
        <v>4888</v>
      </c>
      <c r="B949" s="76" t="s">
        <v>11197</v>
      </c>
    </row>
    <row r="950" spans="1:2" ht="15">
      <c r="A950" s="77" t="s">
        <v>4889</v>
      </c>
      <c r="B950" s="76" t="s">
        <v>11197</v>
      </c>
    </row>
    <row r="951" spans="1:2" ht="15">
      <c r="A951" s="77" t="s">
        <v>4890</v>
      </c>
      <c r="B951" s="76" t="s">
        <v>11197</v>
      </c>
    </row>
    <row r="952" spans="1:2" ht="15">
      <c r="A952" s="77" t="s">
        <v>4891</v>
      </c>
      <c r="B952" s="76" t="s">
        <v>11197</v>
      </c>
    </row>
    <row r="953" spans="1:2" ht="15">
      <c r="A953" s="77" t="s">
        <v>4892</v>
      </c>
      <c r="B953" s="76" t="s">
        <v>11197</v>
      </c>
    </row>
    <row r="954" spans="1:2" ht="15">
      <c r="A954" s="77" t="s">
        <v>4893</v>
      </c>
      <c r="B954" s="76" t="s">
        <v>11197</v>
      </c>
    </row>
    <row r="955" spans="1:2" ht="15">
      <c r="A955" s="77" t="s">
        <v>4894</v>
      </c>
      <c r="B955" s="76" t="s">
        <v>11197</v>
      </c>
    </row>
    <row r="956" spans="1:2" ht="15">
      <c r="A956" s="77" t="s">
        <v>4895</v>
      </c>
      <c r="B956" s="76" t="s">
        <v>11197</v>
      </c>
    </row>
    <row r="957" spans="1:2" ht="15">
      <c r="A957" s="77" t="s">
        <v>4896</v>
      </c>
      <c r="B957" s="76" t="s">
        <v>11197</v>
      </c>
    </row>
    <row r="958" spans="1:2" ht="15">
      <c r="A958" s="77" t="s">
        <v>4897</v>
      </c>
      <c r="B958" s="76" t="s">
        <v>11197</v>
      </c>
    </row>
    <row r="959" spans="1:2" ht="15">
      <c r="A959" s="77" t="s">
        <v>4898</v>
      </c>
      <c r="B959" s="76" t="s">
        <v>11197</v>
      </c>
    </row>
    <row r="960" spans="1:2" ht="15">
      <c r="A960" s="77" t="s">
        <v>4899</v>
      </c>
      <c r="B960" s="76" t="s">
        <v>11197</v>
      </c>
    </row>
    <row r="961" spans="1:2" ht="15">
      <c r="A961" s="77" t="s">
        <v>4900</v>
      </c>
      <c r="B961" s="76" t="s">
        <v>11197</v>
      </c>
    </row>
    <row r="962" spans="1:2" ht="15">
      <c r="A962" s="77" t="s">
        <v>4901</v>
      </c>
      <c r="B962" s="76" t="s">
        <v>11197</v>
      </c>
    </row>
    <row r="963" spans="1:2" ht="15">
      <c r="A963" s="77" t="s">
        <v>4902</v>
      </c>
      <c r="B963" s="76" t="s">
        <v>11197</v>
      </c>
    </row>
    <row r="964" spans="1:2" ht="15">
      <c r="A964" s="77" t="s">
        <v>4903</v>
      </c>
      <c r="B964" s="76" t="s">
        <v>11197</v>
      </c>
    </row>
    <row r="965" spans="1:2" ht="15">
      <c r="A965" s="77" t="s">
        <v>4904</v>
      </c>
      <c r="B965" s="76" t="s">
        <v>11197</v>
      </c>
    </row>
    <row r="966" spans="1:2" ht="15">
      <c r="A966" s="77" t="s">
        <v>4905</v>
      </c>
      <c r="B966" s="76" t="s">
        <v>11197</v>
      </c>
    </row>
    <row r="967" spans="1:2" ht="15">
      <c r="A967" s="77" t="s">
        <v>4906</v>
      </c>
      <c r="B967" s="76" t="s">
        <v>11197</v>
      </c>
    </row>
    <row r="968" spans="1:2" ht="15">
      <c r="A968" s="77" t="s">
        <v>4907</v>
      </c>
      <c r="B968" s="76" t="s">
        <v>11197</v>
      </c>
    </row>
    <row r="969" spans="1:2" ht="15">
      <c r="A969" s="77" t="s">
        <v>4908</v>
      </c>
      <c r="B969" s="76" t="s">
        <v>11197</v>
      </c>
    </row>
    <row r="970" spans="1:2" ht="15">
      <c r="A970" s="77" t="s">
        <v>4909</v>
      </c>
      <c r="B970" s="76" t="s">
        <v>11197</v>
      </c>
    </row>
    <row r="971" spans="1:2" ht="15">
      <c r="A971" s="77" t="s">
        <v>4910</v>
      </c>
      <c r="B971" s="76" t="s">
        <v>11197</v>
      </c>
    </row>
    <row r="972" spans="1:2" ht="15">
      <c r="A972" s="77" t="s">
        <v>4911</v>
      </c>
      <c r="B972" s="76" t="s">
        <v>11197</v>
      </c>
    </row>
    <row r="973" spans="1:2" ht="15">
      <c r="A973" s="77" t="s">
        <v>4912</v>
      </c>
      <c r="B973" s="76" t="s">
        <v>11197</v>
      </c>
    </row>
    <row r="974" spans="1:2" ht="15">
      <c r="A974" s="77" t="s">
        <v>4913</v>
      </c>
      <c r="B974" s="76" t="s">
        <v>11197</v>
      </c>
    </row>
    <row r="975" spans="1:2" ht="15">
      <c r="A975" s="77" t="s">
        <v>4914</v>
      </c>
      <c r="B975" s="76" t="s">
        <v>11197</v>
      </c>
    </row>
    <row r="976" spans="1:2" ht="15">
      <c r="A976" s="77" t="s">
        <v>4915</v>
      </c>
      <c r="B976" s="76" t="s">
        <v>11197</v>
      </c>
    </row>
    <row r="977" spans="1:2" ht="15">
      <c r="A977" s="77" t="s">
        <v>4916</v>
      </c>
      <c r="B977" s="76" t="s">
        <v>11197</v>
      </c>
    </row>
    <row r="978" spans="1:2" ht="15">
      <c r="A978" s="77" t="s">
        <v>4917</v>
      </c>
      <c r="B978" s="76" t="s">
        <v>11197</v>
      </c>
    </row>
    <row r="979" spans="1:2" ht="15">
      <c r="A979" s="77" t="s">
        <v>4918</v>
      </c>
      <c r="B979" s="76" t="s">
        <v>11197</v>
      </c>
    </row>
    <row r="980" spans="1:2" ht="15">
      <c r="A980" s="77" t="s">
        <v>4919</v>
      </c>
      <c r="B980" s="76" t="s">
        <v>11197</v>
      </c>
    </row>
    <row r="981" spans="1:2" ht="15">
      <c r="A981" s="77" t="s">
        <v>4920</v>
      </c>
      <c r="B981" s="76" t="s">
        <v>11197</v>
      </c>
    </row>
    <row r="982" spans="1:2" ht="15">
      <c r="A982" s="77" t="s">
        <v>4921</v>
      </c>
      <c r="B982" s="76" t="s">
        <v>11197</v>
      </c>
    </row>
    <row r="983" spans="1:2" ht="15">
      <c r="A983" s="77" t="s">
        <v>4922</v>
      </c>
      <c r="B983" s="76" t="s">
        <v>11197</v>
      </c>
    </row>
    <row r="984" spans="1:2" ht="15">
      <c r="A984" s="77" t="s">
        <v>4923</v>
      </c>
      <c r="B984" s="76" t="s">
        <v>11197</v>
      </c>
    </row>
    <row r="985" spans="1:2" ht="15">
      <c r="A985" s="77" t="s">
        <v>4924</v>
      </c>
      <c r="B985" s="76" t="s">
        <v>11197</v>
      </c>
    </row>
    <row r="986" spans="1:2" ht="15">
      <c r="A986" s="77" t="s">
        <v>4925</v>
      </c>
      <c r="B986" s="76" t="s">
        <v>11197</v>
      </c>
    </row>
    <row r="987" spans="1:2" ht="15">
      <c r="A987" s="77" t="s">
        <v>4926</v>
      </c>
      <c r="B987" s="76" t="s">
        <v>11197</v>
      </c>
    </row>
    <row r="988" spans="1:2" ht="15">
      <c r="A988" s="77" t="s">
        <v>4927</v>
      </c>
      <c r="B988" s="76" t="s">
        <v>11197</v>
      </c>
    </row>
    <row r="989" spans="1:2" ht="15">
      <c r="A989" s="77" t="s">
        <v>4928</v>
      </c>
      <c r="B989" s="76" t="s">
        <v>11197</v>
      </c>
    </row>
    <row r="990" spans="1:2" ht="15">
      <c r="A990" s="77" t="s">
        <v>4929</v>
      </c>
      <c r="B990" s="76" t="s">
        <v>11197</v>
      </c>
    </row>
    <row r="991" spans="1:2" ht="15">
      <c r="A991" s="77" t="s">
        <v>4930</v>
      </c>
      <c r="B991" s="76" t="s">
        <v>11197</v>
      </c>
    </row>
    <row r="992" spans="1:2" ht="15">
      <c r="A992" s="77" t="s">
        <v>4931</v>
      </c>
      <c r="B992" s="76" t="s">
        <v>11197</v>
      </c>
    </row>
    <row r="993" spans="1:2" ht="15">
      <c r="A993" s="77" t="s">
        <v>4932</v>
      </c>
      <c r="B993" s="76" t="s">
        <v>11197</v>
      </c>
    </row>
    <row r="994" spans="1:2" ht="15">
      <c r="A994" s="77" t="s">
        <v>4933</v>
      </c>
      <c r="B994" s="76" t="s">
        <v>11197</v>
      </c>
    </row>
    <row r="995" spans="1:2" ht="15">
      <c r="A995" s="77" t="s">
        <v>4934</v>
      </c>
      <c r="B995" s="76" t="s">
        <v>11197</v>
      </c>
    </row>
    <row r="996" spans="1:2" ht="15">
      <c r="A996" s="77" t="s">
        <v>4935</v>
      </c>
      <c r="B996" s="76" t="s">
        <v>11197</v>
      </c>
    </row>
    <row r="997" spans="1:2" ht="15">
      <c r="A997" s="77" t="s">
        <v>4936</v>
      </c>
      <c r="B997" s="76" t="s">
        <v>11197</v>
      </c>
    </row>
    <row r="998" spans="1:2" ht="15">
      <c r="A998" s="77" t="s">
        <v>4937</v>
      </c>
      <c r="B998" s="76" t="s">
        <v>11197</v>
      </c>
    </row>
    <row r="999" spans="1:2" ht="15">
      <c r="A999" s="77" t="s">
        <v>4938</v>
      </c>
      <c r="B999" s="76" t="s">
        <v>11197</v>
      </c>
    </row>
    <row r="1000" spans="1:2" ht="15">
      <c r="A1000" s="77" t="s">
        <v>4939</v>
      </c>
      <c r="B1000" s="76" t="s">
        <v>11197</v>
      </c>
    </row>
    <row r="1001" spans="1:2" ht="15">
      <c r="A1001" s="77" t="s">
        <v>4940</v>
      </c>
      <c r="B1001" s="76" t="s">
        <v>11197</v>
      </c>
    </row>
    <row r="1002" spans="1:2" ht="15">
      <c r="A1002" s="77" t="s">
        <v>4941</v>
      </c>
      <c r="B1002" s="76" t="s">
        <v>11197</v>
      </c>
    </row>
    <row r="1003" spans="1:2" ht="15">
      <c r="A1003" s="77" t="s">
        <v>4942</v>
      </c>
      <c r="B1003" s="76" t="s">
        <v>11197</v>
      </c>
    </row>
    <row r="1004" spans="1:2" ht="15">
      <c r="A1004" s="77" t="s">
        <v>4943</v>
      </c>
      <c r="B1004" s="76" t="s">
        <v>11197</v>
      </c>
    </row>
    <row r="1005" spans="1:2" ht="15">
      <c r="A1005" s="77" t="s">
        <v>4944</v>
      </c>
      <c r="B1005" s="76" t="s">
        <v>11197</v>
      </c>
    </row>
    <row r="1006" spans="1:2" ht="15">
      <c r="A1006" s="77" t="s">
        <v>4945</v>
      </c>
      <c r="B1006" s="76" t="s">
        <v>11197</v>
      </c>
    </row>
    <row r="1007" spans="1:2" ht="15">
      <c r="A1007" s="77" t="s">
        <v>4946</v>
      </c>
      <c r="B1007" s="76" t="s">
        <v>11197</v>
      </c>
    </row>
    <row r="1008" spans="1:2" ht="15">
      <c r="A1008" s="77" t="s">
        <v>4947</v>
      </c>
      <c r="B1008" s="76" t="s">
        <v>11197</v>
      </c>
    </row>
    <row r="1009" spans="1:2" ht="15">
      <c r="A1009" s="77" t="s">
        <v>4948</v>
      </c>
      <c r="B1009" s="76" t="s">
        <v>11197</v>
      </c>
    </row>
    <row r="1010" spans="1:2" ht="15">
      <c r="A1010" s="77" t="s">
        <v>4949</v>
      </c>
      <c r="B1010" s="76" t="s">
        <v>11197</v>
      </c>
    </row>
    <row r="1011" spans="1:2" ht="15">
      <c r="A1011" s="77" t="s">
        <v>4950</v>
      </c>
      <c r="B1011" s="76" t="s">
        <v>11197</v>
      </c>
    </row>
    <row r="1012" spans="1:2" ht="15">
      <c r="A1012" s="77" t="s">
        <v>4951</v>
      </c>
      <c r="B1012" s="76" t="s">
        <v>11197</v>
      </c>
    </row>
    <row r="1013" spans="1:2" ht="15">
      <c r="A1013" s="77" t="s">
        <v>4952</v>
      </c>
      <c r="B1013" s="76" t="s">
        <v>11197</v>
      </c>
    </row>
    <row r="1014" spans="1:2" ht="15">
      <c r="A1014" s="77" t="s">
        <v>4953</v>
      </c>
      <c r="B1014" s="76" t="s">
        <v>11197</v>
      </c>
    </row>
    <row r="1015" spans="1:2" ht="15">
      <c r="A1015" s="77" t="s">
        <v>4954</v>
      </c>
      <c r="B1015" s="76" t="s">
        <v>11197</v>
      </c>
    </row>
    <row r="1016" spans="1:2" ht="15">
      <c r="A1016" s="77" t="s">
        <v>4955</v>
      </c>
      <c r="B1016" s="76" t="s">
        <v>11197</v>
      </c>
    </row>
    <row r="1017" spans="1:2" ht="15">
      <c r="A1017" s="77" t="s">
        <v>4956</v>
      </c>
      <c r="B1017" s="76" t="s">
        <v>11197</v>
      </c>
    </row>
    <row r="1018" spans="1:2" ht="15">
      <c r="A1018" s="77" t="s">
        <v>4957</v>
      </c>
      <c r="B1018" s="76" t="s">
        <v>11197</v>
      </c>
    </row>
    <row r="1019" spans="1:2" ht="15">
      <c r="A1019" s="77" t="s">
        <v>4958</v>
      </c>
      <c r="B1019" s="76" t="s">
        <v>11197</v>
      </c>
    </row>
    <row r="1020" spans="1:2" ht="15">
      <c r="A1020" s="77" t="s">
        <v>4959</v>
      </c>
      <c r="B1020" s="76" t="s">
        <v>11197</v>
      </c>
    </row>
    <row r="1021" spans="1:2" ht="15">
      <c r="A1021" s="77" t="s">
        <v>4960</v>
      </c>
      <c r="B1021" s="76" t="s">
        <v>11197</v>
      </c>
    </row>
    <row r="1022" spans="1:2" ht="15">
      <c r="A1022" s="77" t="s">
        <v>4961</v>
      </c>
      <c r="B1022" s="76" t="s">
        <v>11197</v>
      </c>
    </row>
    <row r="1023" spans="1:2" ht="15">
      <c r="A1023" s="77" t="s">
        <v>4962</v>
      </c>
      <c r="B1023" s="76" t="s">
        <v>11197</v>
      </c>
    </row>
    <row r="1024" spans="1:2" ht="15">
      <c r="A1024" s="77" t="s">
        <v>4963</v>
      </c>
      <c r="B1024" s="76" t="s">
        <v>11197</v>
      </c>
    </row>
    <row r="1025" spans="1:2" ht="15">
      <c r="A1025" s="77" t="s">
        <v>4964</v>
      </c>
      <c r="B1025" s="76" t="s">
        <v>11197</v>
      </c>
    </row>
    <row r="1026" spans="1:2" ht="15">
      <c r="A1026" s="77" t="s">
        <v>4965</v>
      </c>
      <c r="B1026" s="76" t="s">
        <v>11197</v>
      </c>
    </row>
    <row r="1027" spans="1:2" ht="15">
      <c r="A1027" s="77" t="s">
        <v>4966</v>
      </c>
      <c r="B1027" s="76" t="s">
        <v>11197</v>
      </c>
    </row>
    <row r="1028" spans="1:2" ht="15">
      <c r="A1028" s="77" t="s">
        <v>4967</v>
      </c>
      <c r="B1028" s="76" t="s">
        <v>11197</v>
      </c>
    </row>
    <row r="1029" spans="1:2" ht="15">
      <c r="A1029" s="77" t="s">
        <v>4968</v>
      </c>
      <c r="B1029" s="76" t="s">
        <v>11197</v>
      </c>
    </row>
    <row r="1030" spans="1:2" ht="15">
      <c r="A1030" s="77" t="s">
        <v>4969</v>
      </c>
      <c r="B1030" s="76" t="s">
        <v>11197</v>
      </c>
    </row>
    <row r="1031" spans="1:2" ht="15">
      <c r="A1031" s="77" t="s">
        <v>4970</v>
      </c>
      <c r="B1031" s="76" t="s">
        <v>11197</v>
      </c>
    </row>
    <row r="1032" spans="1:2" ht="15">
      <c r="A1032" s="77" t="s">
        <v>4971</v>
      </c>
      <c r="B1032" s="76" t="s">
        <v>11197</v>
      </c>
    </row>
    <row r="1033" spans="1:2" ht="15">
      <c r="A1033" s="77" t="s">
        <v>4972</v>
      </c>
      <c r="B1033" s="76" t="s">
        <v>11197</v>
      </c>
    </row>
    <row r="1034" spans="1:2" ht="15">
      <c r="A1034" s="77" t="s">
        <v>4973</v>
      </c>
      <c r="B1034" s="76" t="s">
        <v>11197</v>
      </c>
    </row>
    <row r="1035" spans="1:2" ht="15">
      <c r="A1035" s="77" t="s">
        <v>4974</v>
      </c>
      <c r="B1035" s="76" t="s">
        <v>11197</v>
      </c>
    </row>
    <row r="1036" spans="1:2" ht="15">
      <c r="A1036" s="77" t="s">
        <v>4975</v>
      </c>
      <c r="B1036" s="76" t="s">
        <v>11197</v>
      </c>
    </row>
    <row r="1037" spans="1:2" ht="15">
      <c r="A1037" s="77" t="s">
        <v>4976</v>
      </c>
      <c r="B1037" s="76" t="s">
        <v>11197</v>
      </c>
    </row>
    <row r="1038" spans="1:2" ht="15">
      <c r="A1038" s="77" t="s">
        <v>4977</v>
      </c>
      <c r="B1038" s="76" t="s">
        <v>11197</v>
      </c>
    </row>
    <row r="1039" spans="1:2" ht="15">
      <c r="A1039" s="77" t="s">
        <v>4978</v>
      </c>
      <c r="B1039" s="76" t="s">
        <v>11197</v>
      </c>
    </row>
    <row r="1040" spans="1:2" ht="15">
      <c r="A1040" s="77" t="s">
        <v>4979</v>
      </c>
      <c r="B1040" s="76" t="s">
        <v>11197</v>
      </c>
    </row>
    <row r="1041" spans="1:2" ht="15">
      <c r="A1041" s="77" t="s">
        <v>4980</v>
      </c>
      <c r="B1041" s="76" t="s">
        <v>11197</v>
      </c>
    </row>
    <row r="1042" spans="1:2" ht="15">
      <c r="A1042" s="77" t="s">
        <v>4981</v>
      </c>
      <c r="B1042" s="76" t="s">
        <v>11197</v>
      </c>
    </row>
    <row r="1043" spans="1:2" ht="15">
      <c r="A1043" s="77" t="s">
        <v>4982</v>
      </c>
      <c r="B1043" s="76" t="s">
        <v>11197</v>
      </c>
    </row>
    <row r="1044" spans="1:2" ht="15">
      <c r="A1044" s="77" t="s">
        <v>4983</v>
      </c>
      <c r="B1044" s="76" t="s">
        <v>11197</v>
      </c>
    </row>
    <row r="1045" spans="1:2" ht="15">
      <c r="A1045" s="77" t="s">
        <v>4984</v>
      </c>
      <c r="B1045" s="76" t="s">
        <v>11197</v>
      </c>
    </row>
    <row r="1046" spans="1:2" ht="15">
      <c r="A1046" s="77" t="s">
        <v>4985</v>
      </c>
      <c r="B1046" s="76" t="s">
        <v>11197</v>
      </c>
    </row>
    <row r="1047" spans="1:2" ht="15">
      <c r="A1047" s="77" t="s">
        <v>4986</v>
      </c>
      <c r="B1047" s="76" t="s">
        <v>11197</v>
      </c>
    </row>
    <row r="1048" spans="1:2" ht="15">
      <c r="A1048" s="77" t="s">
        <v>4987</v>
      </c>
      <c r="B1048" s="76" t="s">
        <v>11197</v>
      </c>
    </row>
    <row r="1049" spans="1:2" ht="15">
      <c r="A1049" s="77" t="s">
        <v>4988</v>
      </c>
      <c r="B1049" s="76" t="s">
        <v>11197</v>
      </c>
    </row>
    <row r="1050" spans="1:2" ht="15">
      <c r="A1050" s="77" t="s">
        <v>4989</v>
      </c>
      <c r="B1050" s="76" t="s">
        <v>11197</v>
      </c>
    </row>
    <row r="1051" spans="1:2" ht="15">
      <c r="A1051" s="77" t="s">
        <v>4990</v>
      </c>
      <c r="B1051" s="76" t="s">
        <v>11197</v>
      </c>
    </row>
    <row r="1052" spans="1:2" ht="15">
      <c r="A1052" s="77" t="s">
        <v>4991</v>
      </c>
      <c r="B1052" s="76" t="s">
        <v>11197</v>
      </c>
    </row>
    <row r="1053" spans="1:2" ht="15">
      <c r="A1053" s="77" t="s">
        <v>4992</v>
      </c>
      <c r="B1053" s="76" t="s">
        <v>11197</v>
      </c>
    </row>
    <row r="1054" spans="1:2" ht="15">
      <c r="A1054" s="77" t="s">
        <v>4993</v>
      </c>
      <c r="B1054" s="76" t="s">
        <v>11197</v>
      </c>
    </row>
    <row r="1055" spans="1:2" ht="15">
      <c r="A1055" s="77" t="s">
        <v>4994</v>
      </c>
      <c r="B1055" s="76" t="s">
        <v>11197</v>
      </c>
    </row>
    <row r="1056" spans="1:2" ht="15">
      <c r="A1056" s="77" t="s">
        <v>4995</v>
      </c>
      <c r="B1056" s="76" t="s">
        <v>11197</v>
      </c>
    </row>
    <row r="1057" spans="1:2" ht="15">
      <c r="A1057" s="77" t="s">
        <v>4996</v>
      </c>
      <c r="B1057" s="76" t="s">
        <v>11197</v>
      </c>
    </row>
    <row r="1058" spans="1:2" ht="15">
      <c r="A1058" s="77" t="s">
        <v>4997</v>
      </c>
      <c r="B1058" s="76" t="s">
        <v>11197</v>
      </c>
    </row>
    <row r="1059" spans="1:2" ht="15">
      <c r="A1059" s="77" t="s">
        <v>4998</v>
      </c>
      <c r="B1059" s="76" t="s">
        <v>11197</v>
      </c>
    </row>
    <row r="1060" spans="1:2" ht="15">
      <c r="A1060" s="77" t="s">
        <v>4999</v>
      </c>
      <c r="B1060" s="76" t="s">
        <v>11197</v>
      </c>
    </row>
    <row r="1061" spans="1:2" ht="15">
      <c r="A1061" s="77" t="s">
        <v>5000</v>
      </c>
      <c r="B1061" s="76" t="s">
        <v>11197</v>
      </c>
    </row>
    <row r="1062" spans="1:2" ht="15">
      <c r="A1062" s="77" t="s">
        <v>5001</v>
      </c>
      <c r="B1062" s="76" t="s">
        <v>11197</v>
      </c>
    </row>
    <row r="1063" spans="1:2" ht="15">
      <c r="A1063" s="77" t="s">
        <v>5002</v>
      </c>
      <c r="B1063" s="76" t="s">
        <v>11197</v>
      </c>
    </row>
    <row r="1064" spans="1:2" ht="15">
      <c r="A1064" s="77" t="s">
        <v>5003</v>
      </c>
      <c r="B1064" s="76" t="s">
        <v>11197</v>
      </c>
    </row>
    <row r="1065" spans="1:2" ht="15">
      <c r="A1065" s="77" t="s">
        <v>5004</v>
      </c>
      <c r="B1065" s="76" t="s">
        <v>11197</v>
      </c>
    </row>
    <row r="1066" spans="1:2" ht="15">
      <c r="A1066" s="77" t="s">
        <v>5005</v>
      </c>
      <c r="B1066" s="76" t="s">
        <v>11197</v>
      </c>
    </row>
    <row r="1067" spans="1:2" ht="15">
      <c r="A1067" s="77" t="s">
        <v>5006</v>
      </c>
      <c r="B1067" s="76" t="s">
        <v>11197</v>
      </c>
    </row>
    <row r="1068" spans="1:2" ht="15">
      <c r="A1068" s="77" t="s">
        <v>5007</v>
      </c>
      <c r="B1068" s="76" t="s">
        <v>11197</v>
      </c>
    </row>
    <row r="1069" spans="1:2" ht="15">
      <c r="A1069" s="77" t="s">
        <v>5008</v>
      </c>
      <c r="B1069" s="76" t="s">
        <v>11197</v>
      </c>
    </row>
    <row r="1070" spans="1:2" ht="15">
      <c r="A1070" s="77" t="s">
        <v>5009</v>
      </c>
      <c r="B1070" s="76" t="s">
        <v>11197</v>
      </c>
    </row>
    <row r="1071" spans="1:2" ht="15">
      <c r="A1071" s="77" t="s">
        <v>5010</v>
      </c>
      <c r="B1071" s="76" t="s">
        <v>11197</v>
      </c>
    </row>
    <row r="1072" spans="1:2" ht="15">
      <c r="A1072" s="77" t="s">
        <v>5011</v>
      </c>
      <c r="B1072" s="76" t="s">
        <v>11197</v>
      </c>
    </row>
    <row r="1073" spans="1:2" ht="15">
      <c r="A1073" s="77" t="s">
        <v>5012</v>
      </c>
      <c r="B1073" s="76" t="s">
        <v>11197</v>
      </c>
    </row>
    <row r="1074" spans="1:2" ht="15">
      <c r="A1074" s="77" t="s">
        <v>5013</v>
      </c>
      <c r="B1074" s="76" t="s">
        <v>11197</v>
      </c>
    </row>
    <row r="1075" spans="1:2" ht="15">
      <c r="A1075" s="77" t="s">
        <v>5014</v>
      </c>
      <c r="B1075" s="76" t="s">
        <v>11197</v>
      </c>
    </row>
    <row r="1076" spans="1:2" ht="15">
      <c r="A1076" s="77" t="s">
        <v>5015</v>
      </c>
      <c r="B1076" s="76" t="s">
        <v>11197</v>
      </c>
    </row>
    <row r="1077" spans="1:2" ht="15">
      <c r="A1077" s="77" t="s">
        <v>5016</v>
      </c>
      <c r="B1077" s="76" t="s">
        <v>11197</v>
      </c>
    </row>
    <row r="1078" spans="1:2" ht="15">
      <c r="A1078" s="77" t="s">
        <v>5017</v>
      </c>
      <c r="B1078" s="76" t="s">
        <v>11197</v>
      </c>
    </row>
    <row r="1079" spans="1:2" ht="15">
      <c r="A1079" s="77" t="s">
        <v>5018</v>
      </c>
      <c r="B1079" s="76" t="s">
        <v>11197</v>
      </c>
    </row>
    <row r="1080" spans="1:2" ht="15">
      <c r="A1080" s="77" t="s">
        <v>5019</v>
      </c>
      <c r="B1080" s="76" t="s">
        <v>11197</v>
      </c>
    </row>
    <row r="1081" spans="1:2" ht="15">
      <c r="A1081" s="77" t="s">
        <v>5020</v>
      </c>
      <c r="B1081" s="76" t="s">
        <v>11197</v>
      </c>
    </row>
    <row r="1082" spans="1:2" ht="15">
      <c r="A1082" s="77" t="s">
        <v>5021</v>
      </c>
      <c r="B1082" s="76" t="s">
        <v>11197</v>
      </c>
    </row>
    <row r="1083" spans="1:2" ht="15">
      <c r="A1083" s="77" t="s">
        <v>5022</v>
      </c>
      <c r="B1083" s="76" t="s">
        <v>11197</v>
      </c>
    </row>
    <row r="1084" spans="1:2" ht="15">
      <c r="A1084" s="77" t="s">
        <v>5023</v>
      </c>
      <c r="B1084" s="76" t="s">
        <v>11197</v>
      </c>
    </row>
    <row r="1085" spans="1:2" ht="15">
      <c r="A1085" s="77" t="s">
        <v>5024</v>
      </c>
      <c r="B1085" s="76" t="s">
        <v>11197</v>
      </c>
    </row>
    <row r="1086" spans="1:2" ht="15">
      <c r="A1086" s="77" t="s">
        <v>5025</v>
      </c>
      <c r="B1086" s="76" t="s">
        <v>11197</v>
      </c>
    </row>
    <row r="1087" spans="1:2" ht="15">
      <c r="A1087" s="77" t="s">
        <v>5026</v>
      </c>
      <c r="B1087" s="76" t="s">
        <v>11197</v>
      </c>
    </row>
    <row r="1088" spans="1:2" ht="15">
      <c r="A1088" s="77" t="s">
        <v>5027</v>
      </c>
      <c r="B1088" s="76" t="s">
        <v>11197</v>
      </c>
    </row>
    <row r="1089" spans="1:2" ht="15">
      <c r="A1089" s="77" t="s">
        <v>5028</v>
      </c>
      <c r="B1089" s="76" t="s">
        <v>11197</v>
      </c>
    </row>
    <row r="1090" spans="1:2" ht="15">
      <c r="A1090" s="77" t="s">
        <v>5029</v>
      </c>
      <c r="B1090" s="76" t="s">
        <v>11197</v>
      </c>
    </row>
    <row r="1091" spans="1:2" ht="15">
      <c r="A1091" s="77" t="s">
        <v>5030</v>
      </c>
      <c r="B1091" s="76" t="s">
        <v>11197</v>
      </c>
    </row>
    <row r="1092" spans="1:2" ht="15">
      <c r="A1092" s="77" t="s">
        <v>5031</v>
      </c>
      <c r="B1092" s="76" t="s">
        <v>11197</v>
      </c>
    </row>
    <row r="1093" spans="1:2" ht="15">
      <c r="A1093" s="77" t="s">
        <v>5032</v>
      </c>
      <c r="B1093" s="76" t="s">
        <v>11197</v>
      </c>
    </row>
    <row r="1094" spans="1:2" ht="15">
      <c r="A1094" s="77" t="s">
        <v>5033</v>
      </c>
      <c r="B1094" s="76" t="s">
        <v>11197</v>
      </c>
    </row>
    <row r="1095" spans="1:2" ht="15">
      <c r="A1095" s="77" t="s">
        <v>5034</v>
      </c>
      <c r="B1095" s="76" t="s">
        <v>11197</v>
      </c>
    </row>
    <row r="1096" spans="1:2" ht="15">
      <c r="A1096" s="77" t="s">
        <v>5035</v>
      </c>
      <c r="B1096" s="76" t="s">
        <v>11197</v>
      </c>
    </row>
    <row r="1097" spans="1:2" ht="15">
      <c r="A1097" s="77" t="s">
        <v>5036</v>
      </c>
      <c r="B1097" s="76" t="s">
        <v>11197</v>
      </c>
    </row>
    <row r="1098" spans="1:2" ht="15">
      <c r="A1098" s="77" t="s">
        <v>5037</v>
      </c>
      <c r="B1098" s="76" t="s">
        <v>11197</v>
      </c>
    </row>
    <row r="1099" spans="1:2" ht="15">
      <c r="A1099" s="77" t="s">
        <v>5038</v>
      </c>
      <c r="B1099" s="76" t="s">
        <v>11197</v>
      </c>
    </row>
    <row r="1100" spans="1:2" ht="15">
      <c r="A1100" s="77" t="s">
        <v>5039</v>
      </c>
      <c r="B1100" s="76" t="s">
        <v>11197</v>
      </c>
    </row>
    <row r="1101" spans="1:2" ht="15">
      <c r="A1101" s="77" t="s">
        <v>5040</v>
      </c>
      <c r="B1101" s="76" t="s">
        <v>11197</v>
      </c>
    </row>
    <row r="1102" spans="1:2" ht="15">
      <c r="A1102" s="77" t="s">
        <v>5041</v>
      </c>
      <c r="B1102" s="76" t="s">
        <v>11197</v>
      </c>
    </row>
    <row r="1103" spans="1:2" ht="15">
      <c r="A1103" s="77" t="s">
        <v>5042</v>
      </c>
      <c r="B1103" s="76" t="s">
        <v>11197</v>
      </c>
    </row>
    <row r="1104" spans="1:2" ht="15">
      <c r="A1104" s="77" t="s">
        <v>5043</v>
      </c>
      <c r="B1104" s="76" t="s">
        <v>11197</v>
      </c>
    </row>
    <row r="1105" spans="1:2" ht="15">
      <c r="A1105" s="77" t="s">
        <v>5044</v>
      </c>
      <c r="B1105" s="76" t="s">
        <v>11197</v>
      </c>
    </row>
    <row r="1106" spans="1:2" ht="15">
      <c r="A1106" s="77" t="s">
        <v>5045</v>
      </c>
      <c r="B1106" s="76" t="s">
        <v>11197</v>
      </c>
    </row>
    <row r="1107" spans="1:2" ht="15">
      <c r="A1107" s="77" t="s">
        <v>5046</v>
      </c>
      <c r="B1107" s="76" t="s">
        <v>11197</v>
      </c>
    </row>
    <row r="1108" spans="1:2" ht="15">
      <c r="A1108" s="77" t="s">
        <v>5047</v>
      </c>
      <c r="B1108" s="76" t="s">
        <v>11197</v>
      </c>
    </row>
    <row r="1109" spans="1:2" ht="15">
      <c r="A1109" s="77" t="s">
        <v>5048</v>
      </c>
      <c r="B1109" s="76" t="s">
        <v>11197</v>
      </c>
    </row>
    <row r="1110" spans="1:2" ht="15">
      <c r="A1110" s="77" t="s">
        <v>5049</v>
      </c>
      <c r="B1110" s="76" t="s">
        <v>11197</v>
      </c>
    </row>
    <row r="1111" spans="1:2" ht="15">
      <c r="A1111" s="77" t="s">
        <v>5050</v>
      </c>
      <c r="B1111" s="76" t="s">
        <v>11197</v>
      </c>
    </row>
    <row r="1112" spans="1:2" ht="15">
      <c r="A1112" s="77" t="s">
        <v>5051</v>
      </c>
      <c r="B1112" s="76" t="s">
        <v>11197</v>
      </c>
    </row>
    <row r="1113" spans="1:2" ht="15">
      <c r="A1113" s="77" t="s">
        <v>5052</v>
      </c>
      <c r="B1113" s="76" t="s">
        <v>11197</v>
      </c>
    </row>
    <row r="1114" spans="1:2" ht="15">
      <c r="A1114" s="77" t="s">
        <v>5053</v>
      </c>
      <c r="B1114" s="76" t="s">
        <v>11197</v>
      </c>
    </row>
    <row r="1115" spans="1:2" ht="15">
      <c r="A1115" s="77" t="s">
        <v>5054</v>
      </c>
      <c r="B1115" s="76" t="s">
        <v>11197</v>
      </c>
    </row>
    <row r="1116" spans="1:2" ht="15">
      <c r="A1116" s="77" t="s">
        <v>5055</v>
      </c>
      <c r="B1116" s="76" t="s">
        <v>11197</v>
      </c>
    </row>
    <row r="1117" spans="1:2" ht="15">
      <c r="A1117" s="77" t="s">
        <v>5056</v>
      </c>
      <c r="B1117" s="76" t="s">
        <v>11197</v>
      </c>
    </row>
    <row r="1118" spans="1:2" ht="15">
      <c r="A1118" s="77" t="s">
        <v>5057</v>
      </c>
      <c r="B1118" s="76" t="s">
        <v>11197</v>
      </c>
    </row>
    <row r="1119" spans="1:2" ht="15">
      <c r="A1119" s="77" t="s">
        <v>5058</v>
      </c>
      <c r="B1119" s="76" t="s">
        <v>11197</v>
      </c>
    </row>
    <row r="1120" spans="1:2" ht="15">
      <c r="A1120" s="77" t="s">
        <v>5059</v>
      </c>
      <c r="B1120" s="76" t="s">
        <v>11197</v>
      </c>
    </row>
    <row r="1121" spans="1:2" ht="15">
      <c r="A1121" s="77" t="s">
        <v>5060</v>
      </c>
      <c r="B1121" s="76" t="s">
        <v>11197</v>
      </c>
    </row>
    <row r="1122" spans="1:2" ht="15">
      <c r="A1122" s="77" t="s">
        <v>5061</v>
      </c>
      <c r="B1122" s="76" t="s">
        <v>11197</v>
      </c>
    </row>
    <row r="1123" spans="1:2" ht="15">
      <c r="A1123" s="77" t="s">
        <v>5062</v>
      </c>
      <c r="B1123" s="76" t="s">
        <v>11197</v>
      </c>
    </row>
    <row r="1124" spans="1:2" ht="15">
      <c r="A1124" s="77" t="s">
        <v>5063</v>
      </c>
      <c r="B1124" s="76" t="s">
        <v>11197</v>
      </c>
    </row>
    <row r="1125" spans="1:2" ht="15">
      <c r="A1125" s="77" t="s">
        <v>5064</v>
      </c>
      <c r="B1125" s="76" t="s">
        <v>11197</v>
      </c>
    </row>
    <row r="1126" spans="1:2" ht="15">
      <c r="A1126" s="77" t="s">
        <v>5065</v>
      </c>
      <c r="B1126" s="76" t="s">
        <v>11197</v>
      </c>
    </row>
    <row r="1127" spans="1:2" ht="15">
      <c r="A1127" s="77" t="s">
        <v>5066</v>
      </c>
      <c r="B1127" s="76" t="s">
        <v>11197</v>
      </c>
    </row>
    <row r="1128" spans="1:2" ht="15">
      <c r="A1128" s="77" t="s">
        <v>5067</v>
      </c>
      <c r="B1128" s="76" t="s">
        <v>11197</v>
      </c>
    </row>
    <row r="1129" spans="1:2" ht="15">
      <c r="A1129" s="77" t="s">
        <v>5068</v>
      </c>
      <c r="B1129" s="76" t="s">
        <v>11197</v>
      </c>
    </row>
    <row r="1130" spans="1:2" ht="15">
      <c r="A1130" s="77" t="s">
        <v>5069</v>
      </c>
      <c r="B1130" s="76" t="s">
        <v>11197</v>
      </c>
    </row>
    <row r="1131" spans="1:2" ht="15">
      <c r="A1131" s="77" t="s">
        <v>5070</v>
      </c>
      <c r="B1131" s="76" t="s">
        <v>11197</v>
      </c>
    </row>
    <row r="1132" spans="1:2" ht="15">
      <c r="A1132" s="77" t="s">
        <v>5071</v>
      </c>
      <c r="B1132" s="76" t="s">
        <v>11197</v>
      </c>
    </row>
    <row r="1133" spans="1:2" ht="15">
      <c r="A1133" s="77" t="s">
        <v>5072</v>
      </c>
      <c r="B1133" s="76" t="s">
        <v>11197</v>
      </c>
    </row>
    <row r="1134" spans="1:2" ht="15">
      <c r="A1134" s="77" t="s">
        <v>5073</v>
      </c>
      <c r="B1134" s="76" t="s">
        <v>11197</v>
      </c>
    </row>
    <row r="1135" spans="1:2" ht="15">
      <c r="A1135" s="77" t="s">
        <v>5074</v>
      </c>
      <c r="B1135" s="76" t="s">
        <v>11197</v>
      </c>
    </row>
    <row r="1136" spans="1:2" ht="15">
      <c r="A1136" s="77" t="s">
        <v>5075</v>
      </c>
      <c r="B1136" s="76" t="s">
        <v>11197</v>
      </c>
    </row>
    <row r="1137" spans="1:2" ht="15">
      <c r="A1137" s="77" t="s">
        <v>5076</v>
      </c>
      <c r="B1137" s="76" t="s">
        <v>11197</v>
      </c>
    </row>
    <row r="1138" spans="1:2" ht="15">
      <c r="A1138" s="77" t="s">
        <v>5077</v>
      </c>
      <c r="B1138" s="76" t="s">
        <v>11197</v>
      </c>
    </row>
    <row r="1139" spans="1:2" ht="15">
      <c r="A1139" s="77" t="s">
        <v>5078</v>
      </c>
      <c r="B1139" s="76" t="s">
        <v>11197</v>
      </c>
    </row>
    <row r="1140" spans="1:2" ht="15">
      <c r="A1140" s="77" t="s">
        <v>5079</v>
      </c>
      <c r="B1140" s="76" t="s">
        <v>11197</v>
      </c>
    </row>
    <row r="1141" spans="1:2" ht="15">
      <c r="A1141" s="77" t="s">
        <v>5080</v>
      </c>
      <c r="B1141" s="76" t="s">
        <v>11197</v>
      </c>
    </row>
    <row r="1142" spans="1:2" ht="15">
      <c r="A1142" s="77" t="s">
        <v>5081</v>
      </c>
      <c r="B1142" s="76" t="s">
        <v>11197</v>
      </c>
    </row>
    <row r="1143" spans="1:2" ht="15">
      <c r="A1143" s="77" t="s">
        <v>5082</v>
      </c>
      <c r="B1143" s="76" t="s">
        <v>11197</v>
      </c>
    </row>
    <row r="1144" spans="1:2" ht="15">
      <c r="A1144" s="77" t="s">
        <v>5083</v>
      </c>
      <c r="B1144" s="76" t="s">
        <v>11197</v>
      </c>
    </row>
    <row r="1145" spans="1:2" ht="15">
      <c r="A1145" s="77" t="s">
        <v>5084</v>
      </c>
      <c r="B1145" s="76" t="s">
        <v>11197</v>
      </c>
    </row>
    <row r="1146" spans="1:2" ht="15">
      <c r="A1146" s="77" t="s">
        <v>5085</v>
      </c>
      <c r="B1146" s="76" t="s">
        <v>11197</v>
      </c>
    </row>
    <row r="1147" spans="1:2" ht="15">
      <c r="A1147" s="77" t="s">
        <v>5086</v>
      </c>
      <c r="B1147" s="76" t="s">
        <v>11197</v>
      </c>
    </row>
    <row r="1148" spans="1:2" ht="15">
      <c r="A1148" s="77" t="s">
        <v>3628</v>
      </c>
      <c r="B1148" s="76" t="s">
        <v>11197</v>
      </c>
    </row>
    <row r="1149" spans="1:2" ht="15">
      <c r="A1149" s="77" t="s">
        <v>5087</v>
      </c>
      <c r="B1149" s="76" t="s">
        <v>11197</v>
      </c>
    </row>
    <row r="1150" spans="1:2" ht="15">
      <c r="A1150" s="77" t="s">
        <v>5088</v>
      </c>
      <c r="B1150" s="76" t="s">
        <v>11197</v>
      </c>
    </row>
    <row r="1151" spans="1:2" ht="15">
      <c r="A1151" s="77" t="s">
        <v>5089</v>
      </c>
      <c r="B1151" s="76" t="s">
        <v>11197</v>
      </c>
    </row>
    <row r="1152" spans="1:2" ht="15">
      <c r="A1152" s="77" t="s">
        <v>5090</v>
      </c>
      <c r="B1152" s="76" t="s">
        <v>11197</v>
      </c>
    </row>
    <row r="1153" spans="1:2" ht="15">
      <c r="A1153" s="77" t="s">
        <v>3806</v>
      </c>
      <c r="B1153" s="76" t="s">
        <v>11197</v>
      </c>
    </row>
    <row r="1154" spans="1:2" ht="15">
      <c r="A1154" s="77" t="s">
        <v>5091</v>
      </c>
      <c r="B1154" s="76" t="s">
        <v>11197</v>
      </c>
    </row>
    <row r="1155" spans="1:2" ht="15">
      <c r="A1155" s="77" t="s">
        <v>5092</v>
      </c>
      <c r="B1155" s="76" t="s">
        <v>11197</v>
      </c>
    </row>
    <row r="1156" spans="1:2" ht="15">
      <c r="A1156" s="77" t="s">
        <v>5093</v>
      </c>
      <c r="B1156" s="76" t="s">
        <v>11197</v>
      </c>
    </row>
    <row r="1157" spans="1:2" ht="15">
      <c r="A1157" s="77" t="s">
        <v>5094</v>
      </c>
      <c r="B1157" s="76" t="s">
        <v>11197</v>
      </c>
    </row>
    <row r="1158" spans="1:2" ht="15">
      <c r="A1158" s="77" t="s">
        <v>5095</v>
      </c>
      <c r="B1158" s="76" t="s">
        <v>11197</v>
      </c>
    </row>
    <row r="1159" spans="1:2" ht="15">
      <c r="A1159" s="77" t="s">
        <v>5096</v>
      </c>
      <c r="B1159" s="76" t="s">
        <v>11197</v>
      </c>
    </row>
    <row r="1160" spans="1:2" ht="15">
      <c r="A1160" s="77" t="s">
        <v>5097</v>
      </c>
      <c r="B1160" s="76" t="s">
        <v>11197</v>
      </c>
    </row>
    <row r="1161" spans="1:2" ht="15">
      <c r="A1161" s="77" t="s">
        <v>5098</v>
      </c>
      <c r="B1161" s="76" t="s">
        <v>11197</v>
      </c>
    </row>
    <row r="1162" spans="1:2" ht="15">
      <c r="A1162" s="77" t="s">
        <v>5099</v>
      </c>
      <c r="B1162" s="76" t="s">
        <v>11197</v>
      </c>
    </row>
    <row r="1163" spans="1:2" ht="15">
      <c r="A1163" s="77" t="s">
        <v>5100</v>
      </c>
      <c r="B1163" s="76" t="s">
        <v>11197</v>
      </c>
    </row>
    <row r="1164" spans="1:2" ht="15">
      <c r="A1164" s="77" t="s">
        <v>5101</v>
      </c>
      <c r="B1164" s="76" t="s">
        <v>11197</v>
      </c>
    </row>
    <row r="1165" spans="1:2" ht="15">
      <c r="A1165" s="77" t="s">
        <v>5102</v>
      </c>
      <c r="B1165" s="76" t="s">
        <v>11197</v>
      </c>
    </row>
    <row r="1166" spans="1:2" ht="15">
      <c r="A1166" s="77" t="s">
        <v>3815</v>
      </c>
      <c r="B1166" s="76" t="s">
        <v>11197</v>
      </c>
    </row>
    <row r="1167" spans="1:2" ht="15">
      <c r="A1167" s="77" t="s">
        <v>5103</v>
      </c>
      <c r="B1167" s="76" t="s">
        <v>11197</v>
      </c>
    </row>
    <row r="1168" spans="1:2" ht="15">
      <c r="A1168" s="77" t="s">
        <v>5104</v>
      </c>
      <c r="B1168" s="76" t="s">
        <v>11197</v>
      </c>
    </row>
    <row r="1169" spans="1:2" ht="15">
      <c r="A1169" s="77" t="s">
        <v>5105</v>
      </c>
      <c r="B1169" s="76" t="s">
        <v>11197</v>
      </c>
    </row>
    <row r="1170" spans="1:2" ht="15">
      <c r="A1170" s="77" t="s">
        <v>5106</v>
      </c>
      <c r="B1170" s="76" t="s">
        <v>11197</v>
      </c>
    </row>
    <row r="1171" spans="1:2" ht="15">
      <c r="A1171" s="77" t="s">
        <v>5107</v>
      </c>
      <c r="B1171" s="76" t="s">
        <v>11197</v>
      </c>
    </row>
    <row r="1172" spans="1:2" ht="15">
      <c r="A1172" s="77" t="s">
        <v>5108</v>
      </c>
      <c r="B1172" s="76" t="s">
        <v>11197</v>
      </c>
    </row>
    <row r="1173" spans="1:2" ht="15">
      <c r="A1173" s="77" t="s">
        <v>5109</v>
      </c>
      <c r="B1173" s="76" t="s">
        <v>11197</v>
      </c>
    </row>
    <row r="1174" spans="1:2" ht="15">
      <c r="A1174" s="77" t="s">
        <v>5110</v>
      </c>
      <c r="B1174" s="76" t="s">
        <v>11197</v>
      </c>
    </row>
    <row r="1175" spans="1:2" ht="15">
      <c r="A1175" s="77" t="s">
        <v>5111</v>
      </c>
      <c r="B1175" s="76" t="s">
        <v>11197</v>
      </c>
    </row>
    <row r="1176" spans="1:2" ht="15">
      <c r="A1176" s="77" t="s">
        <v>5112</v>
      </c>
      <c r="B1176" s="76" t="s">
        <v>11197</v>
      </c>
    </row>
    <row r="1177" spans="1:2" ht="15">
      <c r="A1177" s="77" t="s">
        <v>5113</v>
      </c>
      <c r="B1177" s="76" t="s">
        <v>11197</v>
      </c>
    </row>
    <row r="1178" spans="1:2" ht="15">
      <c r="A1178" s="77" t="s">
        <v>5114</v>
      </c>
      <c r="B1178" s="76" t="s">
        <v>11197</v>
      </c>
    </row>
    <row r="1179" spans="1:2" ht="15">
      <c r="A1179" s="77" t="s">
        <v>5115</v>
      </c>
      <c r="B1179" s="76" t="s">
        <v>11197</v>
      </c>
    </row>
    <row r="1180" spans="1:2" ht="15">
      <c r="A1180" s="77" t="s">
        <v>5116</v>
      </c>
      <c r="B1180" s="76" t="s">
        <v>11197</v>
      </c>
    </row>
    <row r="1181" spans="1:2" ht="15">
      <c r="A1181" s="77" t="s">
        <v>5117</v>
      </c>
      <c r="B1181" s="76" t="s">
        <v>11197</v>
      </c>
    </row>
    <row r="1182" spans="1:2" ht="15">
      <c r="A1182" s="77" t="s">
        <v>5118</v>
      </c>
      <c r="B1182" s="76" t="s">
        <v>11197</v>
      </c>
    </row>
    <row r="1183" spans="1:2" ht="15">
      <c r="A1183" s="77" t="s">
        <v>5119</v>
      </c>
      <c r="B1183" s="76" t="s">
        <v>11197</v>
      </c>
    </row>
    <row r="1184" spans="1:2" ht="15">
      <c r="A1184" s="77" t="s">
        <v>5120</v>
      </c>
      <c r="B1184" s="76" t="s">
        <v>11197</v>
      </c>
    </row>
    <row r="1185" spans="1:2" ht="15">
      <c r="A1185" s="77" t="s">
        <v>5121</v>
      </c>
      <c r="B1185" s="76" t="s">
        <v>11197</v>
      </c>
    </row>
    <row r="1186" spans="1:2" ht="15">
      <c r="A1186" s="77" t="s">
        <v>5122</v>
      </c>
      <c r="B1186" s="76" t="s">
        <v>11197</v>
      </c>
    </row>
    <row r="1187" spans="1:2" ht="15">
      <c r="A1187" s="77" t="s">
        <v>5123</v>
      </c>
      <c r="B1187" s="76" t="s">
        <v>11197</v>
      </c>
    </row>
    <row r="1188" spans="1:2" ht="15">
      <c r="A1188" s="77" t="s">
        <v>5124</v>
      </c>
      <c r="B1188" s="76" t="s">
        <v>11197</v>
      </c>
    </row>
    <row r="1189" spans="1:2" ht="15">
      <c r="A1189" s="77" t="s">
        <v>5125</v>
      </c>
      <c r="B1189" s="76" t="s">
        <v>11197</v>
      </c>
    </row>
    <row r="1190" spans="1:2" ht="15">
      <c r="A1190" s="77" t="s">
        <v>5126</v>
      </c>
      <c r="B1190" s="76" t="s">
        <v>11197</v>
      </c>
    </row>
    <row r="1191" spans="1:2" ht="15">
      <c r="A1191" s="77" t="s">
        <v>5127</v>
      </c>
      <c r="B1191" s="76" t="s">
        <v>11197</v>
      </c>
    </row>
    <row r="1192" spans="1:2" ht="15">
      <c r="A1192" s="77" t="s">
        <v>5128</v>
      </c>
      <c r="B1192" s="76" t="s">
        <v>11197</v>
      </c>
    </row>
    <row r="1193" spans="1:2" ht="15">
      <c r="A1193" s="77" t="s">
        <v>5129</v>
      </c>
      <c r="B1193" s="76" t="s">
        <v>11197</v>
      </c>
    </row>
    <row r="1194" spans="1:2" ht="15">
      <c r="A1194" s="77" t="s">
        <v>5130</v>
      </c>
      <c r="B1194" s="76" t="s">
        <v>11197</v>
      </c>
    </row>
    <row r="1195" spans="1:2" ht="15">
      <c r="A1195" s="77" t="s">
        <v>5131</v>
      </c>
      <c r="B1195" s="76" t="s">
        <v>11197</v>
      </c>
    </row>
    <row r="1196" spans="1:2" ht="15">
      <c r="A1196" s="77" t="s">
        <v>5132</v>
      </c>
      <c r="B1196" s="76" t="s">
        <v>11197</v>
      </c>
    </row>
    <row r="1197" spans="1:2" ht="15">
      <c r="A1197" s="77" t="s">
        <v>5133</v>
      </c>
      <c r="B1197" s="76" t="s">
        <v>11197</v>
      </c>
    </row>
    <row r="1198" spans="1:2" ht="15">
      <c r="A1198" s="77" t="s">
        <v>5134</v>
      </c>
      <c r="B1198" s="76" t="s">
        <v>11197</v>
      </c>
    </row>
    <row r="1199" spans="1:2" ht="15">
      <c r="A1199" s="77" t="s">
        <v>5135</v>
      </c>
      <c r="B1199" s="76" t="s">
        <v>11197</v>
      </c>
    </row>
    <row r="1200" spans="1:2" ht="15">
      <c r="A1200" s="77" t="s">
        <v>5136</v>
      </c>
      <c r="B1200" s="76" t="s">
        <v>11197</v>
      </c>
    </row>
    <row r="1201" spans="1:2" ht="15">
      <c r="A1201" s="77" t="s">
        <v>5137</v>
      </c>
      <c r="B1201" s="76" t="s">
        <v>11197</v>
      </c>
    </row>
    <row r="1202" spans="1:2" ht="15">
      <c r="A1202" s="77" t="s">
        <v>5138</v>
      </c>
      <c r="B1202" s="76" t="s">
        <v>11197</v>
      </c>
    </row>
    <row r="1203" spans="1:2" ht="15">
      <c r="A1203" s="77" t="s">
        <v>5139</v>
      </c>
      <c r="B1203" s="76" t="s">
        <v>11197</v>
      </c>
    </row>
    <row r="1204" spans="1:2" ht="15">
      <c r="A1204" s="77" t="s">
        <v>5140</v>
      </c>
      <c r="B1204" s="76" t="s">
        <v>11197</v>
      </c>
    </row>
    <row r="1205" spans="1:2" ht="15">
      <c r="A1205" s="77" t="s">
        <v>5141</v>
      </c>
      <c r="B1205" s="76" t="s">
        <v>11197</v>
      </c>
    </row>
    <row r="1206" spans="1:2" ht="15">
      <c r="A1206" s="77" t="s">
        <v>5142</v>
      </c>
      <c r="B1206" s="76" t="s">
        <v>11197</v>
      </c>
    </row>
    <row r="1207" spans="1:2" ht="15">
      <c r="A1207" s="77" t="s">
        <v>5143</v>
      </c>
      <c r="B1207" s="76" t="s">
        <v>11197</v>
      </c>
    </row>
    <row r="1208" spans="1:2" ht="15">
      <c r="A1208" s="77" t="s">
        <v>5144</v>
      </c>
      <c r="B1208" s="76" t="s">
        <v>11197</v>
      </c>
    </row>
    <row r="1209" spans="1:2" ht="15">
      <c r="A1209" s="77" t="s">
        <v>5145</v>
      </c>
      <c r="B1209" s="76" t="s">
        <v>11197</v>
      </c>
    </row>
    <row r="1210" spans="1:2" ht="15">
      <c r="A1210" s="77" t="s">
        <v>5146</v>
      </c>
      <c r="B1210" s="76" t="s">
        <v>11197</v>
      </c>
    </row>
    <row r="1211" spans="1:2" ht="15">
      <c r="A1211" s="77" t="s">
        <v>5147</v>
      </c>
      <c r="B1211" s="76" t="s">
        <v>11197</v>
      </c>
    </row>
    <row r="1212" spans="1:2" ht="15">
      <c r="A1212" s="77" t="s">
        <v>5148</v>
      </c>
      <c r="B1212" s="76" t="s">
        <v>11197</v>
      </c>
    </row>
    <row r="1213" spans="1:2" ht="15">
      <c r="A1213" s="77" t="s">
        <v>5149</v>
      </c>
      <c r="B1213" s="76" t="s">
        <v>11197</v>
      </c>
    </row>
    <row r="1214" spans="1:2" ht="15">
      <c r="A1214" s="77" t="s">
        <v>5150</v>
      </c>
      <c r="B1214" s="76" t="s">
        <v>11197</v>
      </c>
    </row>
    <row r="1215" spans="1:2" ht="15">
      <c r="A1215" s="77" t="s">
        <v>5151</v>
      </c>
      <c r="B1215" s="76" t="s">
        <v>11197</v>
      </c>
    </row>
    <row r="1216" spans="1:2" ht="15">
      <c r="A1216" s="77" t="s">
        <v>5152</v>
      </c>
      <c r="B1216" s="76" t="s">
        <v>11197</v>
      </c>
    </row>
    <row r="1217" spans="1:2" ht="15">
      <c r="A1217" s="77" t="s">
        <v>5153</v>
      </c>
      <c r="B1217" s="76" t="s">
        <v>11197</v>
      </c>
    </row>
    <row r="1218" spans="1:2" ht="15">
      <c r="A1218" s="77" t="s">
        <v>5154</v>
      </c>
      <c r="B1218" s="76" t="s">
        <v>11197</v>
      </c>
    </row>
    <row r="1219" spans="1:2" ht="15">
      <c r="A1219" s="77" t="s">
        <v>5155</v>
      </c>
      <c r="B1219" s="76" t="s">
        <v>11197</v>
      </c>
    </row>
    <row r="1220" spans="1:2" ht="15">
      <c r="A1220" s="77" t="s">
        <v>5156</v>
      </c>
      <c r="B1220" s="76" t="s">
        <v>11197</v>
      </c>
    </row>
    <row r="1221" spans="1:2" ht="15">
      <c r="A1221" s="77" t="s">
        <v>5157</v>
      </c>
      <c r="B1221" s="76" t="s">
        <v>11197</v>
      </c>
    </row>
    <row r="1222" spans="1:2" ht="15">
      <c r="A1222" s="77" t="s">
        <v>5158</v>
      </c>
      <c r="B1222" s="76" t="s">
        <v>11197</v>
      </c>
    </row>
    <row r="1223" spans="1:2" ht="15">
      <c r="A1223" s="77" t="s">
        <v>5159</v>
      </c>
      <c r="B1223" s="76" t="s">
        <v>11197</v>
      </c>
    </row>
    <row r="1224" spans="1:2" ht="15">
      <c r="A1224" s="77" t="s">
        <v>5160</v>
      </c>
      <c r="B1224" s="76" t="s">
        <v>11197</v>
      </c>
    </row>
    <row r="1225" spans="1:2" ht="15">
      <c r="A1225" s="77" t="s">
        <v>5161</v>
      </c>
      <c r="B1225" s="76" t="s">
        <v>11197</v>
      </c>
    </row>
    <row r="1226" spans="1:2" ht="15">
      <c r="A1226" s="77" t="s">
        <v>5162</v>
      </c>
      <c r="B1226" s="76" t="s">
        <v>11197</v>
      </c>
    </row>
    <row r="1227" spans="1:2" ht="15">
      <c r="A1227" s="77" t="s">
        <v>5163</v>
      </c>
      <c r="B1227" s="76" t="s">
        <v>11197</v>
      </c>
    </row>
    <row r="1228" spans="1:2" ht="15">
      <c r="A1228" s="77" t="s">
        <v>5164</v>
      </c>
      <c r="B1228" s="76" t="s">
        <v>11197</v>
      </c>
    </row>
    <row r="1229" spans="1:2" ht="15">
      <c r="A1229" s="77" t="s">
        <v>5165</v>
      </c>
      <c r="B1229" s="76" t="s">
        <v>11197</v>
      </c>
    </row>
    <row r="1230" spans="1:2" ht="15">
      <c r="A1230" s="77" t="s">
        <v>5166</v>
      </c>
      <c r="B1230" s="76" t="s">
        <v>11197</v>
      </c>
    </row>
    <row r="1231" spans="1:2" ht="15">
      <c r="A1231" s="77" t="s">
        <v>5167</v>
      </c>
      <c r="B1231" s="76" t="s">
        <v>11197</v>
      </c>
    </row>
    <row r="1232" spans="1:2" ht="15">
      <c r="A1232" s="77" t="s">
        <v>5168</v>
      </c>
      <c r="B1232" s="76" t="s">
        <v>11197</v>
      </c>
    </row>
    <row r="1233" spans="1:2" ht="15">
      <c r="A1233" s="77" t="s">
        <v>5169</v>
      </c>
      <c r="B1233" s="76" t="s">
        <v>11197</v>
      </c>
    </row>
    <row r="1234" spans="1:2" ht="15">
      <c r="A1234" s="77" t="s">
        <v>5170</v>
      </c>
      <c r="B1234" s="76" t="s">
        <v>11197</v>
      </c>
    </row>
    <row r="1235" spans="1:2" ht="15">
      <c r="A1235" s="77" t="s">
        <v>5171</v>
      </c>
      <c r="B1235" s="76" t="s">
        <v>11197</v>
      </c>
    </row>
    <row r="1236" spans="1:2" ht="15">
      <c r="A1236" s="77" t="s">
        <v>5172</v>
      </c>
      <c r="B1236" s="76" t="s">
        <v>11197</v>
      </c>
    </row>
    <row r="1237" spans="1:2" ht="15">
      <c r="A1237" s="77" t="s">
        <v>5173</v>
      </c>
      <c r="B1237" s="76" t="s">
        <v>11197</v>
      </c>
    </row>
    <row r="1238" spans="1:2" ht="15">
      <c r="A1238" s="77" t="s">
        <v>5174</v>
      </c>
      <c r="B1238" s="76" t="s">
        <v>11197</v>
      </c>
    </row>
    <row r="1239" spans="1:2" ht="15">
      <c r="A1239" s="77" t="s">
        <v>5175</v>
      </c>
      <c r="B1239" s="76" t="s">
        <v>11197</v>
      </c>
    </row>
    <row r="1240" spans="1:2" ht="15">
      <c r="A1240" s="77" t="s">
        <v>5176</v>
      </c>
      <c r="B1240" s="76" t="s">
        <v>11197</v>
      </c>
    </row>
    <row r="1241" spans="1:2" ht="15">
      <c r="A1241" s="77" t="s">
        <v>5177</v>
      </c>
      <c r="B1241" s="76" t="s">
        <v>11197</v>
      </c>
    </row>
    <row r="1242" spans="1:2" ht="15">
      <c r="A1242" s="77" t="s">
        <v>5178</v>
      </c>
      <c r="B1242" s="76" t="s">
        <v>11197</v>
      </c>
    </row>
    <row r="1243" spans="1:2" ht="15">
      <c r="A1243" s="77" t="s">
        <v>5179</v>
      </c>
      <c r="B1243" s="76" t="s">
        <v>11197</v>
      </c>
    </row>
    <row r="1244" spans="1:2" ht="15">
      <c r="A1244" s="77" t="s">
        <v>5180</v>
      </c>
      <c r="B1244" s="76" t="s">
        <v>11197</v>
      </c>
    </row>
    <row r="1245" spans="1:2" ht="15">
      <c r="A1245" s="77" t="s">
        <v>5181</v>
      </c>
      <c r="B1245" s="76" t="s">
        <v>11197</v>
      </c>
    </row>
    <row r="1246" spans="1:2" ht="15">
      <c r="A1246" s="77" t="s">
        <v>5182</v>
      </c>
      <c r="B1246" s="76" t="s">
        <v>11197</v>
      </c>
    </row>
    <row r="1247" spans="1:2" ht="15">
      <c r="A1247" s="77" t="s">
        <v>5183</v>
      </c>
      <c r="B1247" s="76" t="s">
        <v>11197</v>
      </c>
    </row>
    <row r="1248" spans="1:2" ht="15">
      <c r="A1248" s="77" t="s">
        <v>5184</v>
      </c>
      <c r="B1248" s="76" t="s">
        <v>11197</v>
      </c>
    </row>
    <row r="1249" spans="1:2" ht="15">
      <c r="A1249" s="77" t="s">
        <v>5185</v>
      </c>
      <c r="B1249" s="76" t="s">
        <v>11197</v>
      </c>
    </row>
    <row r="1250" spans="1:2" ht="15">
      <c r="A1250" s="77" t="s">
        <v>5186</v>
      </c>
      <c r="B1250" s="76" t="s">
        <v>11197</v>
      </c>
    </row>
    <row r="1251" spans="1:2" ht="15">
      <c r="A1251" s="77" t="s">
        <v>5187</v>
      </c>
      <c r="B1251" s="76" t="s">
        <v>11197</v>
      </c>
    </row>
    <row r="1252" spans="1:2" ht="15">
      <c r="A1252" s="77" t="s">
        <v>5188</v>
      </c>
      <c r="B1252" s="76" t="s">
        <v>11197</v>
      </c>
    </row>
    <row r="1253" spans="1:2" ht="15">
      <c r="A1253" s="77" t="s">
        <v>5189</v>
      </c>
      <c r="B1253" s="76" t="s">
        <v>11197</v>
      </c>
    </row>
    <row r="1254" spans="1:2" ht="15">
      <c r="A1254" s="77" t="s">
        <v>5190</v>
      </c>
      <c r="B1254" s="76" t="s">
        <v>11197</v>
      </c>
    </row>
    <row r="1255" spans="1:2" ht="15">
      <c r="A1255" s="77" t="s">
        <v>5191</v>
      </c>
      <c r="B1255" s="76" t="s">
        <v>11197</v>
      </c>
    </row>
    <row r="1256" spans="1:2" ht="15">
      <c r="A1256" s="77" t="s">
        <v>5192</v>
      </c>
      <c r="B1256" s="76" t="s">
        <v>11197</v>
      </c>
    </row>
    <row r="1257" spans="1:2" ht="15">
      <c r="A1257" s="77" t="s">
        <v>5193</v>
      </c>
      <c r="B1257" s="76" t="s">
        <v>11197</v>
      </c>
    </row>
    <row r="1258" spans="1:2" ht="15">
      <c r="A1258" s="77" t="s">
        <v>5194</v>
      </c>
      <c r="B1258" s="76" t="s">
        <v>11197</v>
      </c>
    </row>
    <row r="1259" spans="1:2" ht="15">
      <c r="A1259" s="77" t="s">
        <v>5195</v>
      </c>
      <c r="B1259" s="76" t="s">
        <v>11197</v>
      </c>
    </row>
    <row r="1260" spans="1:2" ht="15">
      <c r="A1260" s="77" t="s">
        <v>5196</v>
      </c>
      <c r="B1260" s="76" t="s">
        <v>11197</v>
      </c>
    </row>
    <row r="1261" spans="1:2" ht="15">
      <c r="A1261" s="77" t="s">
        <v>5197</v>
      </c>
      <c r="B1261" s="76" t="s">
        <v>11197</v>
      </c>
    </row>
    <row r="1262" spans="1:2" ht="15">
      <c r="A1262" s="77" t="s">
        <v>5198</v>
      </c>
      <c r="B1262" s="76" t="s">
        <v>11197</v>
      </c>
    </row>
    <row r="1263" spans="1:2" ht="15">
      <c r="A1263" s="77" t="s">
        <v>5199</v>
      </c>
      <c r="B1263" s="76" t="s">
        <v>11197</v>
      </c>
    </row>
    <row r="1264" spans="1:2" ht="15">
      <c r="A1264" s="77" t="s">
        <v>5200</v>
      </c>
      <c r="B1264" s="76" t="s">
        <v>11197</v>
      </c>
    </row>
    <row r="1265" spans="1:2" ht="15">
      <c r="A1265" s="77" t="s">
        <v>5201</v>
      </c>
      <c r="B1265" s="76" t="s">
        <v>11197</v>
      </c>
    </row>
    <row r="1266" spans="1:2" ht="15">
      <c r="A1266" s="77" t="s">
        <v>5202</v>
      </c>
      <c r="B1266" s="76" t="s">
        <v>11197</v>
      </c>
    </row>
    <row r="1267" spans="1:2" ht="15">
      <c r="A1267" s="77" t="s">
        <v>5203</v>
      </c>
      <c r="B1267" s="76" t="s">
        <v>11197</v>
      </c>
    </row>
    <row r="1268" spans="1:2" ht="15">
      <c r="A1268" s="77" t="s">
        <v>5204</v>
      </c>
      <c r="B1268" s="76" t="s">
        <v>11197</v>
      </c>
    </row>
    <row r="1269" spans="1:2" ht="15">
      <c r="A1269" s="77" t="s">
        <v>5205</v>
      </c>
      <c r="B1269" s="76" t="s">
        <v>11197</v>
      </c>
    </row>
    <row r="1270" spans="1:2" ht="15">
      <c r="A1270" s="77" t="s">
        <v>5206</v>
      </c>
      <c r="B1270" s="76" t="s">
        <v>11197</v>
      </c>
    </row>
    <row r="1271" spans="1:2" ht="15">
      <c r="A1271" s="77" t="s">
        <v>5207</v>
      </c>
      <c r="B1271" s="76" t="s">
        <v>11197</v>
      </c>
    </row>
    <row r="1272" spans="1:2" ht="15">
      <c r="A1272" s="77" t="s">
        <v>5208</v>
      </c>
      <c r="B1272" s="76" t="s">
        <v>11197</v>
      </c>
    </row>
    <row r="1273" spans="1:2" ht="15">
      <c r="A1273" s="77" t="s">
        <v>5209</v>
      </c>
      <c r="B1273" s="76" t="s">
        <v>11197</v>
      </c>
    </row>
    <row r="1274" spans="1:2" ht="15">
      <c r="A1274" s="77" t="s">
        <v>5210</v>
      </c>
      <c r="B1274" s="76" t="s">
        <v>11197</v>
      </c>
    </row>
    <row r="1275" spans="1:2" ht="15">
      <c r="A1275" s="77" t="s">
        <v>5211</v>
      </c>
      <c r="B1275" s="76" t="s">
        <v>11197</v>
      </c>
    </row>
    <row r="1276" spans="1:2" ht="15">
      <c r="A1276" s="77" t="s">
        <v>5212</v>
      </c>
      <c r="B1276" s="76" t="s">
        <v>11197</v>
      </c>
    </row>
    <row r="1277" spans="1:2" ht="15">
      <c r="A1277" s="77" t="s">
        <v>5213</v>
      </c>
      <c r="B1277" s="76" t="s">
        <v>11197</v>
      </c>
    </row>
    <row r="1278" spans="1:2" ht="15">
      <c r="A1278" s="77" t="s">
        <v>5214</v>
      </c>
      <c r="B1278" s="76" t="s">
        <v>11197</v>
      </c>
    </row>
    <row r="1279" spans="1:2" ht="15">
      <c r="A1279" s="77" t="s">
        <v>5215</v>
      </c>
      <c r="B1279" s="76" t="s">
        <v>11197</v>
      </c>
    </row>
    <row r="1280" spans="1:2" ht="15">
      <c r="A1280" s="77" t="s">
        <v>5216</v>
      </c>
      <c r="B1280" s="76" t="s">
        <v>11197</v>
      </c>
    </row>
    <row r="1281" spans="1:2" ht="15">
      <c r="A1281" s="77" t="s">
        <v>5217</v>
      </c>
      <c r="B1281" s="76" t="s">
        <v>11197</v>
      </c>
    </row>
    <row r="1282" spans="1:2" ht="15">
      <c r="A1282" s="77" t="s">
        <v>5218</v>
      </c>
      <c r="B1282" s="76" t="s">
        <v>11197</v>
      </c>
    </row>
    <row r="1283" spans="1:2" ht="15">
      <c r="A1283" s="77" t="s">
        <v>5219</v>
      </c>
      <c r="B1283" s="76" t="s">
        <v>11197</v>
      </c>
    </row>
    <row r="1284" spans="1:2" ht="15">
      <c r="A1284" s="77" t="s">
        <v>5220</v>
      </c>
      <c r="B1284" s="76" t="s">
        <v>11197</v>
      </c>
    </row>
    <row r="1285" spans="1:2" ht="15">
      <c r="A1285" s="77" t="s">
        <v>5221</v>
      </c>
      <c r="B1285" s="76" t="s">
        <v>11197</v>
      </c>
    </row>
    <row r="1286" spans="1:2" ht="15">
      <c r="A1286" s="77" t="s">
        <v>5222</v>
      </c>
      <c r="B1286" s="76" t="s">
        <v>11197</v>
      </c>
    </row>
    <row r="1287" spans="1:2" ht="15">
      <c r="A1287" s="77" t="s">
        <v>5223</v>
      </c>
      <c r="B1287" s="76" t="s">
        <v>11197</v>
      </c>
    </row>
    <row r="1288" spans="1:2" ht="15">
      <c r="A1288" s="77" t="s">
        <v>5224</v>
      </c>
      <c r="B1288" s="76" t="s">
        <v>11197</v>
      </c>
    </row>
    <row r="1289" spans="1:2" ht="15">
      <c r="A1289" s="77" t="s">
        <v>5225</v>
      </c>
      <c r="B1289" s="76" t="s">
        <v>11197</v>
      </c>
    </row>
    <row r="1290" spans="1:2" ht="15">
      <c r="A1290" s="77" t="s">
        <v>5226</v>
      </c>
      <c r="B1290" s="76" t="s">
        <v>11197</v>
      </c>
    </row>
    <row r="1291" spans="1:2" ht="15">
      <c r="A1291" s="77" t="s">
        <v>5227</v>
      </c>
      <c r="B1291" s="76" t="s">
        <v>11197</v>
      </c>
    </row>
    <row r="1292" spans="1:2" ht="15">
      <c r="A1292" s="77" t="s">
        <v>5228</v>
      </c>
      <c r="B1292" s="76" t="s">
        <v>11197</v>
      </c>
    </row>
    <row r="1293" spans="1:2" ht="15">
      <c r="A1293" s="77" t="s">
        <v>3389</v>
      </c>
      <c r="B1293" s="76" t="s">
        <v>11197</v>
      </c>
    </row>
    <row r="1294" spans="1:2" ht="15">
      <c r="A1294" s="77" t="s">
        <v>5229</v>
      </c>
      <c r="B1294" s="76" t="s">
        <v>11197</v>
      </c>
    </row>
    <row r="1295" spans="1:2" ht="15">
      <c r="A1295" s="77" t="s">
        <v>5230</v>
      </c>
      <c r="B1295" s="76" t="s">
        <v>11197</v>
      </c>
    </row>
    <row r="1296" spans="1:2" ht="15">
      <c r="A1296" s="77" t="s">
        <v>5231</v>
      </c>
      <c r="B1296" s="76" t="s">
        <v>11197</v>
      </c>
    </row>
    <row r="1297" spans="1:2" ht="15">
      <c r="A1297" s="77" t="s">
        <v>5232</v>
      </c>
      <c r="B1297" s="76" t="s">
        <v>11197</v>
      </c>
    </row>
    <row r="1298" spans="1:2" ht="15">
      <c r="A1298" s="77" t="s">
        <v>5233</v>
      </c>
      <c r="B1298" s="76" t="s">
        <v>11197</v>
      </c>
    </row>
    <row r="1299" spans="1:2" ht="15">
      <c r="A1299" s="77" t="s">
        <v>5234</v>
      </c>
      <c r="B1299" s="76" t="s">
        <v>11197</v>
      </c>
    </row>
    <row r="1300" spans="1:2" ht="15">
      <c r="A1300" s="77" t="s">
        <v>5235</v>
      </c>
      <c r="B1300" s="76" t="s">
        <v>11197</v>
      </c>
    </row>
    <row r="1301" spans="1:2" ht="15">
      <c r="A1301" s="77" t="s">
        <v>5236</v>
      </c>
      <c r="B1301" s="76" t="s">
        <v>11197</v>
      </c>
    </row>
    <row r="1302" spans="1:2" ht="15">
      <c r="A1302" s="77" t="s">
        <v>5237</v>
      </c>
      <c r="B1302" s="76" t="s">
        <v>11197</v>
      </c>
    </row>
    <row r="1303" spans="1:2" ht="15">
      <c r="A1303" s="77" t="s">
        <v>5238</v>
      </c>
      <c r="B1303" s="76" t="s">
        <v>11197</v>
      </c>
    </row>
    <row r="1304" spans="1:2" ht="15">
      <c r="A1304" s="77" t="s">
        <v>5239</v>
      </c>
      <c r="B1304" s="76" t="s">
        <v>11197</v>
      </c>
    </row>
    <row r="1305" spans="1:2" ht="15">
      <c r="A1305" s="77" t="s">
        <v>5240</v>
      </c>
      <c r="B1305" s="76" t="s">
        <v>11197</v>
      </c>
    </row>
    <row r="1306" spans="1:2" ht="15">
      <c r="A1306" s="77" t="s">
        <v>5241</v>
      </c>
      <c r="B1306" s="76" t="s">
        <v>11197</v>
      </c>
    </row>
    <row r="1307" spans="1:2" ht="15">
      <c r="A1307" s="77" t="s">
        <v>5242</v>
      </c>
      <c r="B1307" s="76" t="s">
        <v>11197</v>
      </c>
    </row>
    <row r="1308" spans="1:2" ht="15">
      <c r="A1308" s="77" t="s">
        <v>5243</v>
      </c>
      <c r="B1308" s="76" t="s">
        <v>11197</v>
      </c>
    </row>
    <row r="1309" spans="1:2" ht="15">
      <c r="A1309" s="77" t="s">
        <v>5244</v>
      </c>
      <c r="B1309" s="76" t="s">
        <v>11197</v>
      </c>
    </row>
    <row r="1310" spans="1:2" ht="15">
      <c r="A1310" s="77" t="s">
        <v>5245</v>
      </c>
      <c r="B1310" s="76" t="s">
        <v>11197</v>
      </c>
    </row>
    <row r="1311" spans="1:2" ht="15">
      <c r="A1311" s="77" t="s">
        <v>5246</v>
      </c>
      <c r="B1311" s="76" t="s">
        <v>11197</v>
      </c>
    </row>
    <row r="1312" spans="1:2" ht="15">
      <c r="A1312" s="77" t="s">
        <v>5247</v>
      </c>
      <c r="B1312" s="76" t="s">
        <v>11197</v>
      </c>
    </row>
    <row r="1313" spans="1:2" ht="15">
      <c r="A1313" s="77" t="s">
        <v>5248</v>
      </c>
      <c r="B1313" s="76" t="s">
        <v>11197</v>
      </c>
    </row>
    <row r="1314" spans="1:2" ht="15">
      <c r="A1314" s="77" t="s">
        <v>5249</v>
      </c>
      <c r="B1314" s="76" t="s">
        <v>11197</v>
      </c>
    </row>
    <row r="1315" spans="1:2" ht="15">
      <c r="A1315" s="77" t="s">
        <v>5250</v>
      </c>
      <c r="B1315" s="76" t="s">
        <v>11197</v>
      </c>
    </row>
    <row r="1316" spans="1:2" ht="15">
      <c r="A1316" s="77" t="s">
        <v>5251</v>
      </c>
      <c r="B1316" s="76" t="s">
        <v>11197</v>
      </c>
    </row>
    <row r="1317" spans="1:2" ht="15">
      <c r="A1317" s="77" t="s">
        <v>5252</v>
      </c>
      <c r="B1317" s="76" t="s">
        <v>11197</v>
      </c>
    </row>
    <row r="1318" spans="1:2" ht="15">
      <c r="A1318" s="77" t="s">
        <v>5253</v>
      </c>
      <c r="B1318" s="76" t="s">
        <v>11197</v>
      </c>
    </row>
    <row r="1319" spans="1:2" ht="15">
      <c r="A1319" s="77" t="s">
        <v>5254</v>
      </c>
      <c r="B1319" s="76" t="s">
        <v>11197</v>
      </c>
    </row>
    <row r="1320" spans="1:2" ht="15">
      <c r="A1320" s="77" t="s">
        <v>5255</v>
      </c>
      <c r="B1320" s="76" t="s">
        <v>11197</v>
      </c>
    </row>
    <row r="1321" spans="1:2" ht="15">
      <c r="A1321" s="77" t="s">
        <v>5256</v>
      </c>
      <c r="B1321" s="76" t="s">
        <v>11197</v>
      </c>
    </row>
    <row r="1322" spans="1:2" ht="15">
      <c r="A1322" s="77" t="s">
        <v>5257</v>
      </c>
      <c r="B1322" s="76" t="s">
        <v>11197</v>
      </c>
    </row>
    <row r="1323" spans="1:2" ht="15">
      <c r="A1323" s="77" t="s">
        <v>5258</v>
      </c>
      <c r="B1323" s="76" t="s">
        <v>11197</v>
      </c>
    </row>
    <row r="1324" spans="1:2" ht="15">
      <c r="A1324" s="77" t="s">
        <v>5259</v>
      </c>
      <c r="B1324" s="76" t="s">
        <v>11197</v>
      </c>
    </row>
    <row r="1325" spans="1:2" ht="15">
      <c r="A1325" s="77" t="s">
        <v>5260</v>
      </c>
      <c r="B1325" s="76" t="s">
        <v>11197</v>
      </c>
    </row>
    <row r="1326" spans="1:2" ht="15">
      <c r="A1326" s="77" t="s">
        <v>5261</v>
      </c>
      <c r="B1326" s="76" t="s">
        <v>11197</v>
      </c>
    </row>
    <row r="1327" spans="1:2" ht="15">
      <c r="A1327" s="77" t="s">
        <v>5262</v>
      </c>
      <c r="B1327" s="76" t="s">
        <v>11197</v>
      </c>
    </row>
    <row r="1328" spans="1:2" ht="15">
      <c r="A1328" s="77" t="s">
        <v>5263</v>
      </c>
      <c r="B1328" s="76" t="s">
        <v>11197</v>
      </c>
    </row>
    <row r="1329" spans="1:2" ht="15">
      <c r="A1329" s="77" t="s">
        <v>5264</v>
      </c>
      <c r="B1329" s="76" t="s">
        <v>11197</v>
      </c>
    </row>
    <row r="1330" spans="1:2" ht="15">
      <c r="A1330" s="77" t="s">
        <v>5265</v>
      </c>
      <c r="B1330" s="76" t="s">
        <v>11197</v>
      </c>
    </row>
    <row r="1331" spans="1:2" ht="15">
      <c r="A1331" s="77" t="s">
        <v>5266</v>
      </c>
      <c r="B1331" s="76" t="s">
        <v>11197</v>
      </c>
    </row>
    <row r="1332" spans="1:2" ht="15">
      <c r="A1332" s="77" t="s">
        <v>5267</v>
      </c>
      <c r="B1332" s="76" t="s">
        <v>11197</v>
      </c>
    </row>
    <row r="1333" spans="1:2" ht="15">
      <c r="A1333" s="77" t="s">
        <v>5268</v>
      </c>
      <c r="B1333" s="76" t="s">
        <v>11197</v>
      </c>
    </row>
    <row r="1334" spans="1:2" ht="15">
      <c r="A1334" s="77" t="s">
        <v>5269</v>
      </c>
      <c r="B1334" s="76" t="s">
        <v>11197</v>
      </c>
    </row>
    <row r="1335" spans="1:2" ht="15">
      <c r="A1335" s="77" t="s">
        <v>5270</v>
      </c>
      <c r="B1335" s="76" t="s">
        <v>11197</v>
      </c>
    </row>
    <row r="1336" spans="1:2" ht="15">
      <c r="A1336" s="77" t="s">
        <v>5271</v>
      </c>
      <c r="B1336" s="76" t="s">
        <v>11197</v>
      </c>
    </row>
    <row r="1337" spans="1:2" ht="15">
      <c r="A1337" s="77" t="s">
        <v>5272</v>
      </c>
      <c r="B1337" s="76" t="s">
        <v>11197</v>
      </c>
    </row>
    <row r="1338" spans="1:2" ht="15">
      <c r="A1338" s="77" t="s">
        <v>5273</v>
      </c>
      <c r="B1338" s="76" t="s">
        <v>11197</v>
      </c>
    </row>
    <row r="1339" spans="1:2" ht="15">
      <c r="A1339" s="77" t="s">
        <v>5274</v>
      </c>
      <c r="B1339" s="76" t="s">
        <v>11197</v>
      </c>
    </row>
    <row r="1340" spans="1:2" ht="15">
      <c r="A1340" s="77" t="s">
        <v>5275</v>
      </c>
      <c r="B1340" s="76" t="s">
        <v>11197</v>
      </c>
    </row>
    <row r="1341" spans="1:2" ht="15">
      <c r="A1341" s="77" t="s">
        <v>5276</v>
      </c>
      <c r="B1341" s="76" t="s">
        <v>11197</v>
      </c>
    </row>
    <row r="1342" spans="1:2" ht="15">
      <c r="A1342" s="77" t="s">
        <v>5277</v>
      </c>
      <c r="B1342" s="76" t="s">
        <v>11197</v>
      </c>
    </row>
    <row r="1343" spans="1:2" ht="15">
      <c r="A1343" s="77" t="s">
        <v>5278</v>
      </c>
      <c r="B1343" s="76" t="s">
        <v>11197</v>
      </c>
    </row>
    <row r="1344" spans="1:2" ht="15">
      <c r="A1344" s="77" t="s">
        <v>5279</v>
      </c>
      <c r="B1344" s="76" t="s">
        <v>11197</v>
      </c>
    </row>
    <row r="1345" spans="1:2" ht="15">
      <c r="A1345" s="77" t="s">
        <v>5280</v>
      </c>
      <c r="B1345" s="76" t="s">
        <v>11197</v>
      </c>
    </row>
    <row r="1346" spans="1:2" ht="15">
      <c r="A1346" s="77" t="s">
        <v>5281</v>
      </c>
      <c r="B1346" s="76" t="s">
        <v>11197</v>
      </c>
    </row>
    <row r="1347" spans="1:2" ht="15">
      <c r="A1347" s="77" t="s">
        <v>5282</v>
      </c>
      <c r="B1347" s="76" t="s">
        <v>11197</v>
      </c>
    </row>
    <row r="1348" spans="1:2" ht="15">
      <c r="A1348" s="77" t="s">
        <v>5283</v>
      </c>
      <c r="B1348" s="76" t="s">
        <v>11197</v>
      </c>
    </row>
    <row r="1349" spans="1:2" ht="15">
      <c r="A1349" s="77" t="s">
        <v>5284</v>
      </c>
      <c r="B1349" s="76" t="s">
        <v>11197</v>
      </c>
    </row>
    <row r="1350" spans="1:2" ht="15">
      <c r="A1350" s="77" t="s">
        <v>5285</v>
      </c>
      <c r="B1350" s="76" t="s">
        <v>11197</v>
      </c>
    </row>
    <row r="1351" spans="1:2" ht="15">
      <c r="A1351" s="77" t="s">
        <v>5286</v>
      </c>
      <c r="B1351" s="76" t="s">
        <v>11197</v>
      </c>
    </row>
    <row r="1352" spans="1:2" ht="15">
      <c r="A1352" s="77" t="s">
        <v>5287</v>
      </c>
      <c r="B1352" s="76" t="s">
        <v>11197</v>
      </c>
    </row>
    <row r="1353" spans="1:2" ht="15">
      <c r="A1353" s="77" t="s">
        <v>5288</v>
      </c>
      <c r="B1353" s="76" t="s">
        <v>11197</v>
      </c>
    </row>
    <row r="1354" spans="1:2" ht="15">
      <c r="A1354" s="77" t="s">
        <v>5289</v>
      </c>
      <c r="B1354" s="76" t="s">
        <v>11197</v>
      </c>
    </row>
    <row r="1355" spans="1:2" ht="15">
      <c r="A1355" s="77" t="s">
        <v>5290</v>
      </c>
      <c r="B1355" s="76" t="s">
        <v>11197</v>
      </c>
    </row>
    <row r="1356" spans="1:2" ht="15">
      <c r="A1356" s="77" t="s">
        <v>5291</v>
      </c>
      <c r="B1356" s="76" t="s">
        <v>11197</v>
      </c>
    </row>
    <row r="1357" spans="1:2" ht="15">
      <c r="A1357" s="77" t="s">
        <v>5292</v>
      </c>
      <c r="B1357" s="76" t="s">
        <v>11197</v>
      </c>
    </row>
    <row r="1358" spans="1:2" ht="15">
      <c r="A1358" s="77" t="s">
        <v>5293</v>
      </c>
      <c r="B1358" s="76" t="s">
        <v>11197</v>
      </c>
    </row>
    <row r="1359" spans="1:2" ht="15">
      <c r="A1359" s="77" t="s">
        <v>5294</v>
      </c>
      <c r="B1359" s="76" t="s">
        <v>11197</v>
      </c>
    </row>
    <row r="1360" spans="1:2" ht="15">
      <c r="A1360" s="77" t="s">
        <v>5295</v>
      </c>
      <c r="B1360" s="76" t="s">
        <v>11197</v>
      </c>
    </row>
    <row r="1361" spans="1:2" ht="15">
      <c r="A1361" s="77" t="s">
        <v>3423</v>
      </c>
      <c r="B1361" s="76" t="s">
        <v>11197</v>
      </c>
    </row>
    <row r="1362" spans="1:2" ht="15">
      <c r="A1362" s="77" t="s">
        <v>5296</v>
      </c>
      <c r="B1362" s="76" t="s">
        <v>11197</v>
      </c>
    </row>
    <row r="1363" spans="1:2" ht="15">
      <c r="A1363" s="77" t="s">
        <v>5297</v>
      </c>
      <c r="B1363" s="76" t="s">
        <v>11197</v>
      </c>
    </row>
    <row r="1364" spans="1:2" ht="15">
      <c r="A1364" s="77" t="s">
        <v>5298</v>
      </c>
      <c r="B1364" s="76" t="s">
        <v>11197</v>
      </c>
    </row>
    <row r="1365" spans="1:2" ht="15">
      <c r="A1365" s="77" t="s">
        <v>5299</v>
      </c>
      <c r="B1365" s="76" t="s">
        <v>11197</v>
      </c>
    </row>
    <row r="1366" spans="1:2" ht="15">
      <c r="A1366" s="77" t="s">
        <v>5300</v>
      </c>
      <c r="B1366" s="76" t="s">
        <v>11197</v>
      </c>
    </row>
    <row r="1367" spans="1:2" ht="15">
      <c r="A1367" s="77" t="s">
        <v>5301</v>
      </c>
      <c r="B1367" s="76" t="s">
        <v>11197</v>
      </c>
    </row>
    <row r="1368" spans="1:2" ht="15">
      <c r="A1368" s="77" t="s">
        <v>5302</v>
      </c>
      <c r="B1368" s="76" t="s">
        <v>11197</v>
      </c>
    </row>
    <row r="1369" spans="1:2" ht="15">
      <c r="A1369" s="77" t="s">
        <v>5303</v>
      </c>
      <c r="B1369" s="76" t="s">
        <v>11197</v>
      </c>
    </row>
    <row r="1370" spans="1:2" ht="15">
      <c r="A1370" s="77" t="s">
        <v>5304</v>
      </c>
      <c r="B1370" s="76" t="s">
        <v>11197</v>
      </c>
    </row>
    <row r="1371" spans="1:2" ht="15">
      <c r="A1371" s="77" t="s">
        <v>5305</v>
      </c>
      <c r="B1371" s="76" t="s">
        <v>11197</v>
      </c>
    </row>
    <row r="1372" spans="1:2" ht="15">
      <c r="A1372" s="77" t="s">
        <v>3640</v>
      </c>
      <c r="B1372" s="76" t="s">
        <v>11197</v>
      </c>
    </row>
    <row r="1373" spans="1:2" ht="15">
      <c r="A1373" s="77" t="s">
        <v>5306</v>
      </c>
      <c r="B1373" s="76" t="s">
        <v>11197</v>
      </c>
    </row>
    <row r="1374" spans="1:2" ht="15">
      <c r="A1374" s="77" t="s">
        <v>5307</v>
      </c>
      <c r="B1374" s="76" t="s">
        <v>11197</v>
      </c>
    </row>
    <row r="1375" spans="1:2" ht="15">
      <c r="A1375" s="77" t="s">
        <v>5308</v>
      </c>
      <c r="B1375" s="76" t="s">
        <v>11197</v>
      </c>
    </row>
    <row r="1376" spans="1:2" ht="15">
      <c r="A1376" s="77" t="s">
        <v>5309</v>
      </c>
      <c r="B1376" s="76" t="s">
        <v>11197</v>
      </c>
    </row>
    <row r="1377" spans="1:2" ht="15">
      <c r="A1377" s="77" t="s">
        <v>5310</v>
      </c>
      <c r="B1377" s="76" t="s">
        <v>11197</v>
      </c>
    </row>
    <row r="1378" spans="1:2" ht="15">
      <c r="A1378" s="77" t="s">
        <v>5311</v>
      </c>
      <c r="B1378" s="76" t="s">
        <v>11197</v>
      </c>
    </row>
    <row r="1379" spans="1:2" ht="15">
      <c r="A1379" s="77" t="s">
        <v>5312</v>
      </c>
      <c r="B1379" s="76" t="s">
        <v>11197</v>
      </c>
    </row>
    <row r="1380" spans="1:2" ht="15">
      <c r="A1380" s="77" t="s">
        <v>5313</v>
      </c>
      <c r="B1380" s="76" t="s">
        <v>11197</v>
      </c>
    </row>
    <row r="1381" spans="1:2" ht="15">
      <c r="A1381" s="77" t="s">
        <v>5314</v>
      </c>
      <c r="B1381" s="76" t="s">
        <v>11197</v>
      </c>
    </row>
    <row r="1382" spans="1:2" ht="15">
      <c r="A1382" s="77" t="s">
        <v>5315</v>
      </c>
      <c r="B1382" s="76" t="s">
        <v>11197</v>
      </c>
    </row>
    <row r="1383" spans="1:2" ht="15">
      <c r="A1383" s="77" t="s">
        <v>5316</v>
      </c>
      <c r="B1383" s="76" t="s">
        <v>11197</v>
      </c>
    </row>
    <row r="1384" spans="1:2" ht="15">
      <c r="A1384" s="77" t="s">
        <v>5317</v>
      </c>
      <c r="B1384" s="76" t="s">
        <v>11197</v>
      </c>
    </row>
    <row r="1385" spans="1:2" ht="15">
      <c r="A1385" s="77" t="s">
        <v>5318</v>
      </c>
      <c r="B1385" s="76" t="s">
        <v>11197</v>
      </c>
    </row>
    <row r="1386" spans="1:2" ht="15">
      <c r="A1386" s="77" t="s">
        <v>3162</v>
      </c>
      <c r="B1386" s="76" t="s">
        <v>11197</v>
      </c>
    </row>
    <row r="1387" spans="1:2" ht="15">
      <c r="A1387" s="77" t="s">
        <v>5319</v>
      </c>
      <c r="B1387" s="76" t="s">
        <v>11197</v>
      </c>
    </row>
    <row r="1388" spans="1:2" ht="15">
      <c r="A1388" s="77" t="s">
        <v>5320</v>
      </c>
      <c r="B1388" s="76" t="s">
        <v>11197</v>
      </c>
    </row>
    <row r="1389" spans="1:2" ht="15">
      <c r="A1389" s="77" t="s">
        <v>5321</v>
      </c>
      <c r="B1389" s="76" t="s">
        <v>11197</v>
      </c>
    </row>
    <row r="1390" spans="1:2" ht="15">
      <c r="A1390" s="77" t="s">
        <v>5322</v>
      </c>
      <c r="B1390" s="76" t="s">
        <v>11197</v>
      </c>
    </row>
    <row r="1391" spans="1:2" ht="15">
      <c r="A1391" s="77" t="s">
        <v>5323</v>
      </c>
      <c r="B1391" s="76" t="s">
        <v>11197</v>
      </c>
    </row>
    <row r="1392" spans="1:2" ht="15">
      <c r="A1392" s="77" t="s">
        <v>5324</v>
      </c>
      <c r="B1392" s="76" t="s">
        <v>11197</v>
      </c>
    </row>
    <row r="1393" spans="1:2" ht="15">
      <c r="A1393" s="77" t="s">
        <v>5325</v>
      </c>
      <c r="B1393" s="76" t="s">
        <v>11197</v>
      </c>
    </row>
    <row r="1394" spans="1:2" ht="15">
      <c r="A1394" s="77" t="s">
        <v>5326</v>
      </c>
      <c r="B1394" s="76" t="s">
        <v>11197</v>
      </c>
    </row>
    <row r="1395" spans="1:2" ht="15">
      <c r="A1395" s="77" t="s">
        <v>5327</v>
      </c>
      <c r="B1395" s="76" t="s">
        <v>11197</v>
      </c>
    </row>
    <row r="1396" spans="1:2" ht="15">
      <c r="A1396" s="77" t="s">
        <v>5328</v>
      </c>
      <c r="B1396" s="76" t="s">
        <v>11197</v>
      </c>
    </row>
    <row r="1397" spans="1:2" ht="15">
      <c r="A1397" s="77" t="s">
        <v>5329</v>
      </c>
      <c r="B1397" s="76" t="s">
        <v>11197</v>
      </c>
    </row>
    <row r="1398" spans="1:2" ht="15">
      <c r="A1398" s="77" t="s">
        <v>5330</v>
      </c>
      <c r="B1398" s="76" t="s">
        <v>11197</v>
      </c>
    </row>
    <row r="1399" spans="1:2" ht="15">
      <c r="A1399" s="77" t="s">
        <v>5331</v>
      </c>
      <c r="B1399" s="76" t="s">
        <v>11197</v>
      </c>
    </row>
    <row r="1400" spans="1:2" ht="15">
      <c r="A1400" s="77" t="s">
        <v>5332</v>
      </c>
      <c r="B1400" s="76" t="s">
        <v>11197</v>
      </c>
    </row>
    <row r="1401" spans="1:2" ht="15">
      <c r="A1401" s="77" t="s">
        <v>5333</v>
      </c>
      <c r="B1401" s="76" t="s">
        <v>11197</v>
      </c>
    </row>
    <row r="1402" spans="1:2" ht="15">
      <c r="A1402" s="77" t="s">
        <v>5334</v>
      </c>
      <c r="B1402" s="76" t="s">
        <v>11197</v>
      </c>
    </row>
    <row r="1403" spans="1:2" ht="15">
      <c r="A1403" s="77" t="s">
        <v>5335</v>
      </c>
      <c r="B1403" s="76" t="s">
        <v>11197</v>
      </c>
    </row>
    <row r="1404" spans="1:2" ht="15">
      <c r="A1404" s="77" t="s">
        <v>5336</v>
      </c>
      <c r="B1404" s="76" t="s">
        <v>11197</v>
      </c>
    </row>
    <row r="1405" spans="1:2" ht="15">
      <c r="A1405" s="77" t="s">
        <v>5337</v>
      </c>
      <c r="B1405" s="76" t="s">
        <v>11197</v>
      </c>
    </row>
    <row r="1406" spans="1:2" ht="15">
      <c r="A1406" s="77" t="s">
        <v>5338</v>
      </c>
      <c r="B1406" s="76" t="s">
        <v>11197</v>
      </c>
    </row>
    <row r="1407" spans="1:2" ht="15">
      <c r="A1407" s="77" t="s">
        <v>5339</v>
      </c>
      <c r="B1407" s="76" t="s">
        <v>11197</v>
      </c>
    </row>
    <row r="1408" spans="1:2" ht="15">
      <c r="A1408" s="77" t="s">
        <v>5340</v>
      </c>
      <c r="B1408" s="76" t="s">
        <v>11197</v>
      </c>
    </row>
    <row r="1409" spans="1:2" ht="15">
      <c r="A1409" s="77" t="s">
        <v>5341</v>
      </c>
      <c r="B1409" s="76" t="s">
        <v>11197</v>
      </c>
    </row>
    <row r="1410" spans="1:2" ht="15">
      <c r="A1410" s="77" t="s">
        <v>5342</v>
      </c>
      <c r="B1410" s="76" t="s">
        <v>11197</v>
      </c>
    </row>
    <row r="1411" spans="1:2" ht="15">
      <c r="A1411" s="77" t="s">
        <v>5343</v>
      </c>
      <c r="B1411" s="76" t="s">
        <v>11197</v>
      </c>
    </row>
    <row r="1412" spans="1:2" ht="15">
      <c r="A1412" s="77" t="s">
        <v>5344</v>
      </c>
      <c r="B1412" s="76" t="s">
        <v>11197</v>
      </c>
    </row>
    <row r="1413" spans="1:2" ht="15">
      <c r="A1413" s="77" t="s">
        <v>5345</v>
      </c>
      <c r="B1413" s="76" t="s">
        <v>11197</v>
      </c>
    </row>
    <row r="1414" spans="1:2" ht="15">
      <c r="A1414" s="77" t="s">
        <v>5346</v>
      </c>
      <c r="B1414" s="76" t="s">
        <v>11197</v>
      </c>
    </row>
    <row r="1415" spans="1:2" ht="15">
      <c r="A1415" s="77" t="s">
        <v>5347</v>
      </c>
      <c r="B1415" s="76" t="s">
        <v>11197</v>
      </c>
    </row>
    <row r="1416" spans="1:2" ht="15">
      <c r="A1416" s="77" t="s">
        <v>5348</v>
      </c>
      <c r="B1416" s="76" t="s">
        <v>11197</v>
      </c>
    </row>
    <row r="1417" spans="1:2" ht="15">
      <c r="A1417" s="77" t="s">
        <v>5349</v>
      </c>
      <c r="B1417" s="76" t="s">
        <v>11197</v>
      </c>
    </row>
    <row r="1418" spans="1:2" ht="15">
      <c r="A1418" s="77" t="s">
        <v>5350</v>
      </c>
      <c r="B1418" s="76" t="s">
        <v>11197</v>
      </c>
    </row>
    <row r="1419" spans="1:2" ht="15">
      <c r="A1419" s="77" t="s">
        <v>5351</v>
      </c>
      <c r="B1419" s="76" t="s">
        <v>11197</v>
      </c>
    </row>
    <row r="1420" spans="1:2" ht="15">
      <c r="A1420" s="77" t="s">
        <v>5352</v>
      </c>
      <c r="B1420" s="76" t="s">
        <v>11197</v>
      </c>
    </row>
    <row r="1421" spans="1:2" ht="15">
      <c r="A1421" s="77" t="s">
        <v>5353</v>
      </c>
      <c r="B1421" s="76" t="s">
        <v>11197</v>
      </c>
    </row>
    <row r="1422" spans="1:2" ht="15">
      <c r="A1422" s="77" t="s">
        <v>5354</v>
      </c>
      <c r="B1422" s="76" t="s">
        <v>11197</v>
      </c>
    </row>
    <row r="1423" spans="1:2" ht="15">
      <c r="A1423" s="77" t="s">
        <v>5355</v>
      </c>
      <c r="B1423" s="76" t="s">
        <v>11197</v>
      </c>
    </row>
    <row r="1424" spans="1:2" ht="15">
      <c r="A1424" s="77" t="s">
        <v>5356</v>
      </c>
      <c r="B1424" s="76" t="s">
        <v>11197</v>
      </c>
    </row>
    <row r="1425" spans="1:2" ht="15">
      <c r="A1425" s="77" t="s">
        <v>5357</v>
      </c>
      <c r="B1425" s="76" t="s">
        <v>11197</v>
      </c>
    </row>
    <row r="1426" spans="1:2" ht="15">
      <c r="A1426" s="77" t="s">
        <v>5358</v>
      </c>
      <c r="B1426" s="76" t="s">
        <v>11197</v>
      </c>
    </row>
    <row r="1427" spans="1:2" ht="15">
      <c r="A1427" s="77" t="s">
        <v>5359</v>
      </c>
      <c r="B1427" s="76" t="s">
        <v>11197</v>
      </c>
    </row>
    <row r="1428" spans="1:2" ht="15">
      <c r="A1428" s="77" t="s">
        <v>5360</v>
      </c>
      <c r="B1428" s="76" t="s">
        <v>11197</v>
      </c>
    </row>
    <row r="1429" spans="1:2" ht="15">
      <c r="A1429" s="77" t="s">
        <v>5361</v>
      </c>
      <c r="B1429" s="76" t="s">
        <v>11197</v>
      </c>
    </row>
    <row r="1430" spans="1:2" ht="15">
      <c r="A1430" s="77" t="s">
        <v>5362</v>
      </c>
      <c r="B1430" s="76" t="s">
        <v>11197</v>
      </c>
    </row>
    <row r="1431" spans="1:2" ht="15">
      <c r="A1431" s="77" t="s">
        <v>5363</v>
      </c>
      <c r="B1431" s="76" t="s">
        <v>11197</v>
      </c>
    </row>
    <row r="1432" spans="1:2" ht="15">
      <c r="A1432" s="77" t="s">
        <v>5364</v>
      </c>
      <c r="B1432" s="76" t="s">
        <v>11197</v>
      </c>
    </row>
    <row r="1433" spans="1:2" ht="15">
      <c r="A1433" s="77" t="s">
        <v>5365</v>
      </c>
      <c r="B1433" s="76" t="s">
        <v>11197</v>
      </c>
    </row>
    <row r="1434" spans="1:2" ht="15">
      <c r="A1434" s="77" t="s">
        <v>5366</v>
      </c>
      <c r="B1434" s="76" t="s">
        <v>11197</v>
      </c>
    </row>
    <row r="1435" spans="1:2" ht="15">
      <c r="A1435" s="77" t="s">
        <v>5367</v>
      </c>
      <c r="B1435" s="76" t="s">
        <v>11197</v>
      </c>
    </row>
    <row r="1436" spans="1:2" ht="15">
      <c r="A1436" s="77" t="s">
        <v>5368</v>
      </c>
      <c r="B1436" s="76" t="s">
        <v>11197</v>
      </c>
    </row>
    <row r="1437" spans="1:2" ht="15">
      <c r="A1437" s="77" t="s">
        <v>5369</v>
      </c>
      <c r="B1437" s="76" t="s">
        <v>11197</v>
      </c>
    </row>
    <row r="1438" spans="1:2" ht="15">
      <c r="A1438" s="77" t="s">
        <v>5370</v>
      </c>
      <c r="B1438" s="76" t="s">
        <v>11197</v>
      </c>
    </row>
    <row r="1439" spans="1:2" ht="15">
      <c r="A1439" s="77" t="s">
        <v>5371</v>
      </c>
      <c r="B1439" s="76" t="s">
        <v>11197</v>
      </c>
    </row>
    <row r="1440" spans="1:2" ht="15">
      <c r="A1440" s="77" t="s">
        <v>5372</v>
      </c>
      <c r="B1440" s="76" t="s">
        <v>11197</v>
      </c>
    </row>
    <row r="1441" spans="1:2" ht="15">
      <c r="A1441" s="77" t="s">
        <v>5373</v>
      </c>
      <c r="B1441" s="76" t="s">
        <v>11197</v>
      </c>
    </row>
    <row r="1442" spans="1:2" ht="15">
      <c r="A1442" s="77" t="s">
        <v>5374</v>
      </c>
      <c r="B1442" s="76" t="s">
        <v>11197</v>
      </c>
    </row>
    <row r="1443" spans="1:2" ht="15">
      <c r="A1443" s="77" t="s">
        <v>5375</v>
      </c>
      <c r="B1443" s="76" t="s">
        <v>11197</v>
      </c>
    </row>
    <row r="1444" spans="1:2" ht="15">
      <c r="A1444" s="77" t="s">
        <v>5376</v>
      </c>
      <c r="B1444" s="76" t="s">
        <v>11197</v>
      </c>
    </row>
    <row r="1445" spans="1:2" ht="15">
      <c r="A1445" s="77" t="s">
        <v>5377</v>
      </c>
      <c r="B1445" s="76" t="s">
        <v>11197</v>
      </c>
    </row>
    <row r="1446" spans="1:2" ht="15">
      <c r="A1446" s="77" t="s">
        <v>5378</v>
      </c>
      <c r="B1446" s="76" t="s">
        <v>11197</v>
      </c>
    </row>
    <row r="1447" spans="1:2" ht="15">
      <c r="A1447" s="77" t="s">
        <v>5379</v>
      </c>
      <c r="B1447" s="76" t="s">
        <v>11197</v>
      </c>
    </row>
    <row r="1448" spans="1:2" ht="15">
      <c r="A1448" s="77" t="s">
        <v>5380</v>
      </c>
      <c r="B1448" s="76" t="s">
        <v>11197</v>
      </c>
    </row>
    <row r="1449" spans="1:2" ht="15">
      <c r="A1449" s="77" t="s">
        <v>5381</v>
      </c>
      <c r="B1449" s="76" t="s">
        <v>11197</v>
      </c>
    </row>
    <row r="1450" spans="1:2" ht="15">
      <c r="A1450" s="77" t="s">
        <v>5382</v>
      </c>
      <c r="B1450" s="76" t="s">
        <v>11197</v>
      </c>
    </row>
    <row r="1451" spans="1:2" ht="15">
      <c r="A1451" s="77" t="s">
        <v>5383</v>
      </c>
      <c r="B1451" s="76" t="s">
        <v>11197</v>
      </c>
    </row>
    <row r="1452" spans="1:2" ht="15">
      <c r="A1452" s="77" t="s">
        <v>5384</v>
      </c>
      <c r="B1452" s="76" t="s">
        <v>11197</v>
      </c>
    </row>
    <row r="1453" spans="1:2" ht="15">
      <c r="A1453" s="77" t="s">
        <v>5385</v>
      </c>
      <c r="B1453" s="76" t="s">
        <v>11197</v>
      </c>
    </row>
    <row r="1454" spans="1:2" ht="15">
      <c r="A1454" s="77" t="s">
        <v>5386</v>
      </c>
      <c r="B1454" s="76" t="s">
        <v>11197</v>
      </c>
    </row>
    <row r="1455" spans="1:2" ht="15">
      <c r="A1455" s="77" t="s">
        <v>5387</v>
      </c>
      <c r="B1455" s="76" t="s">
        <v>11197</v>
      </c>
    </row>
    <row r="1456" spans="1:2" ht="15">
      <c r="A1456" s="77" t="s">
        <v>5388</v>
      </c>
      <c r="B1456" s="76" t="s">
        <v>11197</v>
      </c>
    </row>
    <row r="1457" spans="1:2" ht="15">
      <c r="A1457" s="77" t="s">
        <v>5389</v>
      </c>
      <c r="B1457" s="76" t="s">
        <v>11197</v>
      </c>
    </row>
    <row r="1458" spans="1:2" ht="15">
      <c r="A1458" s="77" t="s">
        <v>5390</v>
      </c>
      <c r="B1458" s="76" t="s">
        <v>11197</v>
      </c>
    </row>
    <row r="1459" spans="1:2" ht="15">
      <c r="A1459" s="77" t="s">
        <v>5391</v>
      </c>
      <c r="B1459" s="76" t="s">
        <v>11197</v>
      </c>
    </row>
    <row r="1460" spans="1:2" ht="15">
      <c r="A1460" s="77" t="s">
        <v>5392</v>
      </c>
      <c r="B1460" s="76" t="s">
        <v>11197</v>
      </c>
    </row>
    <row r="1461" spans="1:2" ht="15">
      <c r="A1461" s="77" t="s">
        <v>5393</v>
      </c>
      <c r="B1461" s="76" t="s">
        <v>11197</v>
      </c>
    </row>
    <row r="1462" spans="1:2" ht="15">
      <c r="A1462" s="77" t="s">
        <v>5394</v>
      </c>
      <c r="B1462" s="76" t="s">
        <v>11197</v>
      </c>
    </row>
    <row r="1463" spans="1:2" ht="15">
      <c r="A1463" s="77" t="s">
        <v>5395</v>
      </c>
      <c r="B1463" s="76" t="s">
        <v>11197</v>
      </c>
    </row>
    <row r="1464" spans="1:2" ht="15">
      <c r="A1464" s="77" t="s">
        <v>5396</v>
      </c>
      <c r="B1464" s="76" t="s">
        <v>11197</v>
      </c>
    </row>
    <row r="1465" spans="1:2" ht="15">
      <c r="A1465" s="77" t="s">
        <v>5397</v>
      </c>
      <c r="B1465" s="76" t="s">
        <v>11197</v>
      </c>
    </row>
    <row r="1466" spans="1:2" ht="15">
      <c r="A1466" s="77" t="s">
        <v>5398</v>
      </c>
      <c r="B1466" s="76" t="s">
        <v>11197</v>
      </c>
    </row>
    <row r="1467" spans="1:2" ht="15">
      <c r="A1467" s="77" t="s">
        <v>5399</v>
      </c>
      <c r="B1467" s="76" t="s">
        <v>11197</v>
      </c>
    </row>
    <row r="1468" spans="1:2" ht="15">
      <c r="A1468" s="77" t="s">
        <v>5400</v>
      </c>
      <c r="B1468" s="76" t="s">
        <v>11197</v>
      </c>
    </row>
    <row r="1469" spans="1:2" ht="15">
      <c r="A1469" s="77" t="s">
        <v>5401</v>
      </c>
      <c r="B1469" s="76" t="s">
        <v>11197</v>
      </c>
    </row>
    <row r="1470" spans="1:2" ht="15">
      <c r="A1470" s="77" t="s">
        <v>5402</v>
      </c>
      <c r="B1470" s="76" t="s">
        <v>11197</v>
      </c>
    </row>
    <row r="1471" spans="1:2" ht="15">
      <c r="A1471" s="77" t="s">
        <v>5403</v>
      </c>
      <c r="B1471" s="76" t="s">
        <v>11197</v>
      </c>
    </row>
    <row r="1472" spans="1:2" ht="15">
      <c r="A1472" s="77" t="s">
        <v>5404</v>
      </c>
      <c r="B1472" s="76" t="s">
        <v>11197</v>
      </c>
    </row>
    <row r="1473" spans="1:2" ht="15">
      <c r="A1473" s="77" t="s">
        <v>5405</v>
      </c>
      <c r="B1473" s="76" t="s">
        <v>11197</v>
      </c>
    </row>
    <row r="1474" spans="1:2" ht="15">
      <c r="A1474" s="77" t="s">
        <v>5406</v>
      </c>
      <c r="B1474" s="76" t="s">
        <v>11197</v>
      </c>
    </row>
    <row r="1475" spans="1:2" ht="15">
      <c r="A1475" s="77" t="s">
        <v>5407</v>
      </c>
      <c r="B1475" s="76" t="s">
        <v>11197</v>
      </c>
    </row>
    <row r="1476" spans="1:2" ht="15">
      <c r="A1476" s="77" t="s">
        <v>5408</v>
      </c>
      <c r="B1476" s="76" t="s">
        <v>11197</v>
      </c>
    </row>
    <row r="1477" spans="1:2" ht="15">
      <c r="A1477" s="77" t="s">
        <v>5409</v>
      </c>
      <c r="B1477" s="76" t="s">
        <v>11197</v>
      </c>
    </row>
    <row r="1478" spans="1:2" ht="15">
      <c r="A1478" s="77" t="s">
        <v>5410</v>
      </c>
      <c r="B1478" s="76" t="s">
        <v>11197</v>
      </c>
    </row>
    <row r="1479" spans="1:2" ht="15">
      <c r="A1479" s="77" t="s">
        <v>5411</v>
      </c>
      <c r="B1479" s="76" t="s">
        <v>11197</v>
      </c>
    </row>
    <row r="1480" spans="1:2" ht="15">
      <c r="A1480" s="77" t="s">
        <v>5412</v>
      </c>
      <c r="B1480" s="76" t="s">
        <v>11197</v>
      </c>
    </row>
    <row r="1481" spans="1:2" ht="15">
      <c r="A1481" s="77" t="s">
        <v>5413</v>
      </c>
      <c r="B1481" s="76" t="s">
        <v>11197</v>
      </c>
    </row>
    <row r="1482" spans="1:2" ht="15">
      <c r="A1482" s="77" t="s">
        <v>5414</v>
      </c>
      <c r="B1482" s="76" t="s">
        <v>11197</v>
      </c>
    </row>
    <row r="1483" spans="1:2" ht="15">
      <c r="A1483" s="77" t="s">
        <v>5415</v>
      </c>
      <c r="B1483" s="76" t="s">
        <v>11197</v>
      </c>
    </row>
    <row r="1484" spans="1:2" ht="15">
      <c r="A1484" s="77" t="s">
        <v>5416</v>
      </c>
      <c r="B1484" s="76" t="s">
        <v>11197</v>
      </c>
    </row>
    <row r="1485" spans="1:2" ht="15">
      <c r="A1485" s="77" t="s">
        <v>5417</v>
      </c>
      <c r="B1485" s="76" t="s">
        <v>11197</v>
      </c>
    </row>
    <row r="1486" spans="1:2" ht="15">
      <c r="A1486" s="77" t="s">
        <v>5418</v>
      </c>
      <c r="B1486" s="76" t="s">
        <v>11197</v>
      </c>
    </row>
    <row r="1487" spans="1:2" ht="15">
      <c r="A1487" s="77" t="s">
        <v>5419</v>
      </c>
      <c r="B1487" s="76" t="s">
        <v>11197</v>
      </c>
    </row>
    <row r="1488" spans="1:2" ht="15">
      <c r="A1488" s="77" t="s">
        <v>5420</v>
      </c>
      <c r="B1488" s="76" t="s">
        <v>11197</v>
      </c>
    </row>
    <row r="1489" spans="1:2" ht="15">
      <c r="A1489" s="77" t="s">
        <v>5421</v>
      </c>
      <c r="B1489" s="76" t="s">
        <v>11197</v>
      </c>
    </row>
    <row r="1490" spans="1:2" ht="15">
      <c r="A1490" s="77" t="s">
        <v>5422</v>
      </c>
      <c r="B1490" s="76" t="s">
        <v>11197</v>
      </c>
    </row>
    <row r="1491" spans="1:2" ht="15">
      <c r="A1491" s="77" t="s">
        <v>5423</v>
      </c>
      <c r="B1491" s="76" t="s">
        <v>11197</v>
      </c>
    </row>
    <row r="1492" spans="1:2" ht="15">
      <c r="A1492" s="77" t="s">
        <v>5424</v>
      </c>
      <c r="B1492" s="76" t="s">
        <v>11197</v>
      </c>
    </row>
    <row r="1493" spans="1:2" ht="15">
      <c r="A1493" s="77" t="s">
        <v>3732</v>
      </c>
      <c r="B1493" s="76" t="s">
        <v>11197</v>
      </c>
    </row>
    <row r="1494" spans="1:2" ht="15">
      <c r="A1494" s="77" t="s">
        <v>5425</v>
      </c>
      <c r="B1494" s="76" t="s">
        <v>11197</v>
      </c>
    </row>
    <row r="1495" spans="1:2" ht="15">
      <c r="A1495" s="77" t="s">
        <v>5426</v>
      </c>
      <c r="B1495" s="76" t="s">
        <v>11197</v>
      </c>
    </row>
    <row r="1496" spans="1:2" ht="15">
      <c r="A1496" s="77" t="s">
        <v>5427</v>
      </c>
      <c r="B1496" s="76" t="s">
        <v>11197</v>
      </c>
    </row>
    <row r="1497" spans="1:2" ht="15">
      <c r="A1497" s="77" t="s">
        <v>5428</v>
      </c>
      <c r="B1497" s="76" t="s">
        <v>11197</v>
      </c>
    </row>
    <row r="1498" spans="1:2" ht="15">
      <c r="A1498" s="77" t="s">
        <v>5429</v>
      </c>
      <c r="B1498" s="76" t="s">
        <v>11197</v>
      </c>
    </row>
    <row r="1499" spans="1:2" ht="15">
      <c r="A1499" s="77" t="s">
        <v>5430</v>
      </c>
      <c r="B1499" s="76" t="s">
        <v>11197</v>
      </c>
    </row>
    <row r="1500" spans="1:2" ht="15">
      <c r="A1500" s="77" t="s">
        <v>5431</v>
      </c>
      <c r="B1500" s="76" t="s">
        <v>11197</v>
      </c>
    </row>
    <row r="1501" spans="1:2" ht="15">
      <c r="A1501" s="77" t="s">
        <v>5432</v>
      </c>
      <c r="B1501" s="76" t="s">
        <v>11197</v>
      </c>
    </row>
    <row r="1502" spans="1:2" ht="15">
      <c r="A1502" s="77" t="s">
        <v>5433</v>
      </c>
      <c r="B1502" s="76" t="s">
        <v>11197</v>
      </c>
    </row>
    <row r="1503" spans="1:2" ht="15">
      <c r="A1503" s="77" t="s">
        <v>5434</v>
      </c>
      <c r="B1503" s="76" t="s">
        <v>11197</v>
      </c>
    </row>
    <row r="1504" spans="1:2" ht="15">
      <c r="A1504" s="77" t="s">
        <v>5435</v>
      </c>
      <c r="B1504" s="76" t="s">
        <v>11197</v>
      </c>
    </row>
    <row r="1505" spans="1:2" ht="15">
      <c r="A1505" s="77" t="s">
        <v>5436</v>
      </c>
      <c r="B1505" s="76" t="s">
        <v>11197</v>
      </c>
    </row>
    <row r="1506" spans="1:2" ht="15">
      <c r="A1506" s="77" t="s">
        <v>5437</v>
      </c>
      <c r="B1506" s="76" t="s">
        <v>11197</v>
      </c>
    </row>
    <row r="1507" spans="1:2" ht="15">
      <c r="A1507" s="77" t="s">
        <v>5438</v>
      </c>
      <c r="B1507" s="76" t="s">
        <v>11197</v>
      </c>
    </row>
    <row r="1508" spans="1:2" ht="15">
      <c r="A1508" s="77" t="s">
        <v>5439</v>
      </c>
      <c r="B1508" s="76" t="s">
        <v>11197</v>
      </c>
    </row>
    <row r="1509" spans="1:2" ht="15">
      <c r="A1509" s="77" t="s">
        <v>5440</v>
      </c>
      <c r="B1509" s="76" t="s">
        <v>11197</v>
      </c>
    </row>
    <row r="1510" spans="1:2" ht="15">
      <c r="A1510" s="77" t="s">
        <v>5441</v>
      </c>
      <c r="B1510" s="76" t="s">
        <v>11197</v>
      </c>
    </row>
    <row r="1511" spans="1:2" ht="15">
      <c r="A1511" s="77" t="s">
        <v>5442</v>
      </c>
      <c r="B1511" s="76" t="s">
        <v>11197</v>
      </c>
    </row>
    <row r="1512" spans="1:2" ht="15">
      <c r="A1512" s="77" t="s">
        <v>5443</v>
      </c>
      <c r="B1512" s="76" t="s">
        <v>11197</v>
      </c>
    </row>
    <row r="1513" spans="1:2" ht="15">
      <c r="A1513" s="77" t="s">
        <v>5444</v>
      </c>
      <c r="B1513" s="76" t="s">
        <v>11197</v>
      </c>
    </row>
    <row r="1514" spans="1:2" ht="15">
      <c r="A1514" s="77" t="s">
        <v>5445</v>
      </c>
      <c r="B1514" s="76" t="s">
        <v>11197</v>
      </c>
    </row>
    <row r="1515" spans="1:2" ht="15">
      <c r="A1515" s="77" t="s">
        <v>5446</v>
      </c>
      <c r="B1515" s="76" t="s">
        <v>11197</v>
      </c>
    </row>
    <row r="1516" spans="1:2" ht="15">
      <c r="A1516" s="77" t="s">
        <v>5447</v>
      </c>
      <c r="B1516" s="76" t="s">
        <v>11197</v>
      </c>
    </row>
    <row r="1517" spans="1:2" ht="15">
      <c r="A1517" s="77" t="s">
        <v>5448</v>
      </c>
      <c r="B1517" s="76" t="s">
        <v>11197</v>
      </c>
    </row>
    <row r="1518" spans="1:2" ht="15">
      <c r="A1518" s="77" t="s">
        <v>5449</v>
      </c>
      <c r="B1518" s="76" t="s">
        <v>11197</v>
      </c>
    </row>
    <row r="1519" spans="1:2" ht="15">
      <c r="A1519" s="77" t="s">
        <v>5450</v>
      </c>
      <c r="B1519" s="76" t="s">
        <v>11197</v>
      </c>
    </row>
    <row r="1520" spans="1:2" ht="15">
      <c r="A1520" s="77" t="s">
        <v>5451</v>
      </c>
      <c r="B1520" s="76" t="s">
        <v>11197</v>
      </c>
    </row>
    <row r="1521" spans="1:2" ht="15">
      <c r="A1521" s="77" t="s">
        <v>5452</v>
      </c>
      <c r="B1521" s="76" t="s">
        <v>11197</v>
      </c>
    </row>
    <row r="1522" spans="1:2" ht="15">
      <c r="A1522" s="77" t="s">
        <v>5453</v>
      </c>
      <c r="B1522" s="76" t="s">
        <v>11197</v>
      </c>
    </row>
    <row r="1523" spans="1:2" ht="15">
      <c r="A1523" s="77" t="s">
        <v>5454</v>
      </c>
      <c r="B1523" s="76" t="s">
        <v>11197</v>
      </c>
    </row>
    <row r="1524" spans="1:2" ht="15">
      <c r="A1524" s="77" t="s">
        <v>5455</v>
      </c>
      <c r="B1524" s="76" t="s">
        <v>11197</v>
      </c>
    </row>
    <row r="1525" spans="1:2" ht="15">
      <c r="A1525" s="77" t="s">
        <v>5456</v>
      </c>
      <c r="B1525" s="76" t="s">
        <v>11197</v>
      </c>
    </row>
    <row r="1526" spans="1:2" ht="15">
      <c r="A1526" s="77" t="s">
        <v>5457</v>
      </c>
      <c r="B1526" s="76" t="s">
        <v>11197</v>
      </c>
    </row>
    <row r="1527" spans="1:2" ht="15">
      <c r="A1527" s="77" t="s">
        <v>5458</v>
      </c>
      <c r="B1527" s="76" t="s">
        <v>11197</v>
      </c>
    </row>
    <row r="1528" spans="1:2" ht="15">
      <c r="A1528" s="77" t="s">
        <v>5459</v>
      </c>
      <c r="B1528" s="76" t="s">
        <v>11197</v>
      </c>
    </row>
    <row r="1529" spans="1:2" ht="15">
      <c r="A1529" s="77" t="s">
        <v>5460</v>
      </c>
      <c r="B1529" s="76" t="s">
        <v>11197</v>
      </c>
    </row>
    <row r="1530" spans="1:2" ht="15">
      <c r="A1530" s="77" t="s">
        <v>5461</v>
      </c>
      <c r="B1530" s="76" t="s">
        <v>11197</v>
      </c>
    </row>
    <row r="1531" spans="1:2" ht="15">
      <c r="A1531" s="77" t="s">
        <v>5462</v>
      </c>
      <c r="B1531" s="76" t="s">
        <v>11197</v>
      </c>
    </row>
    <row r="1532" spans="1:2" ht="15">
      <c r="A1532" s="77" t="s">
        <v>5463</v>
      </c>
      <c r="B1532" s="76" t="s">
        <v>11197</v>
      </c>
    </row>
    <row r="1533" spans="1:2" ht="15">
      <c r="A1533" s="77" t="s">
        <v>5464</v>
      </c>
      <c r="B1533" s="76" t="s">
        <v>11197</v>
      </c>
    </row>
    <row r="1534" spans="1:2" ht="15">
      <c r="A1534" s="77" t="s">
        <v>5465</v>
      </c>
      <c r="B1534" s="76" t="s">
        <v>11197</v>
      </c>
    </row>
    <row r="1535" spans="1:2" ht="15">
      <c r="A1535" s="77" t="s">
        <v>5466</v>
      </c>
      <c r="B1535" s="76" t="s">
        <v>11197</v>
      </c>
    </row>
    <row r="1536" spans="1:2" ht="15">
      <c r="A1536" s="77" t="s">
        <v>5467</v>
      </c>
      <c r="B1536" s="76" t="s">
        <v>11197</v>
      </c>
    </row>
    <row r="1537" spans="1:2" ht="15">
      <c r="A1537" s="77" t="s">
        <v>5468</v>
      </c>
      <c r="B1537" s="76" t="s">
        <v>11197</v>
      </c>
    </row>
    <row r="1538" spans="1:2" ht="15">
      <c r="A1538" s="77" t="s">
        <v>5469</v>
      </c>
      <c r="B1538" s="76" t="s">
        <v>11197</v>
      </c>
    </row>
    <row r="1539" spans="1:2" ht="15">
      <c r="A1539" s="77" t="s">
        <v>5470</v>
      </c>
      <c r="B1539" s="76" t="s">
        <v>11197</v>
      </c>
    </row>
    <row r="1540" spans="1:2" ht="15">
      <c r="A1540" s="77" t="s">
        <v>3091</v>
      </c>
      <c r="B1540" s="76" t="s">
        <v>11197</v>
      </c>
    </row>
    <row r="1541" spans="1:2" ht="15">
      <c r="A1541" s="77" t="s">
        <v>3565</v>
      </c>
      <c r="B1541" s="76" t="s">
        <v>11197</v>
      </c>
    </row>
    <row r="1542" spans="1:2" ht="15">
      <c r="A1542" s="77" t="s">
        <v>5471</v>
      </c>
      <c r="B1542" s="76" t="s">
        <v>11197</v>
      </c>
    </row>
    <row r="1543" spans="1:2" ht="15">
      <c r="A1543" s="77" t="s">
        <v>5472</v>
      </c>
      <c r="B1543" s="76" t="s">
        <v>11197</v>
      </c>
    </row>
    <row r="1544" spans="1:2" ht="15">
      <c r="A1544" s="77" t="s">
        <v>5473</v>
      </c>
      <c r="B1544" s="76" t="s">
        <v>11197</v>
      </c>
    </row>
    <row r="1545" spans="1:2" ht="15">
      <c r="A1545" s="77" t="s">
        <v>5474</v>
      </c>
      <c r="B1545" s="76" t="s">
        <v>11197</v>
      </c>
    </row>
    <row r="1546" spans="1:2" ht="15">
      <c r="A1546" s="77" t="s">
        <v>5475</v>
      </c>
      <c r="B1546" s="76" t="s">
        <v>11197</v>
      </c>
    </row>
    <row r="1547" spans="1:2" ht="15">
      <c r="A1547" s="77" t="s">
        <v>5476</v>
      </c>
      <c r="B1547" s="76" t="s">
        <v>11197</v>
      </c>
    </row>
    <row r="1548" spans="1:2" ht="15">
      <c r="A1548" s="77" t="s">
        <v>5477</v>
      </c>
      <c r="B1548" s="76" t="s">
        <v>11197</v>
      </c>
    </row>
    <row r="1549" spans="1:2" ht="15">
      <c r="A1549" s="77" t="s">
        <v>5478</v>
      </c>
      <c r="B1549" s="76" t="s">
        <v>11197</v>
      </c>
    </row>
    <row r="1550" spans="1:2" ht="15">
      <c r="A1550" s="77" t="s">
        <v>5479</v>
      </c>
      <c r="B1550" s="76" t="s">
        <v>11197</v>
      </c>
    </row>
    <row r="1551" spans="1:2" ht="15">
      <c r="A1551" s="77" t="s">
        <v>5480</v>
      </c>
      <c r="B1551" s="76" t="s">
        <v>11197</v>
      </c>
    </row>
    <row r="1552" spans="1:2" ht="15">
      <c r="A1552" s="77" t="s">
        <v>5481</v>
      </c>
      <c r="B1552" s="76" t="s">
        <v>11197</v>
      </c>
    </row>
    <row r="1553" spans="1:2" ht="15">
      <c r="A1553" s="77" t="s">
        <v>5482</v>
      </c>
      <c r="B1553" s="76" t="s">
        <v>11197</v>
      </c>
    </row>
    <row r="1554" spans="1:2" ht="15">
      <c r="A1554" s="77" t="s">
        <v>5483</v>
      </c>
      <c r="B1554" s="76" t="s">
        <v>11197</v>
      </c>
    </row>
    <row r="1555" spans="1:2" ht="15">
      <c r="A1555" s="77" t="s">
        <v>5484</v>
      </c>
      <c r="B1555" s="76" t="s">
        <v>11197</v>
      </c>
    </row>
    <row r="1556" spans="1:2" ht="15">
      <c r="A1556" s="77" t="s">
        <v>5485</v>
      </c>
      <c r="B1556" s="76" t="s">
        <v>11197</v>
      </c>
    </row>
    <row r="1557" spans="1:2" ht="15">
      <c r="A1557" s="77" t="s">
        <v>5486</v>
      </c>
      <c r="B1557" s="76" t="s">
        <v>11197</v>
      </c>
    </row>
    <row r="1558" spans="1:2" ht="15">
      <c r="A1558" s="77" t="s">
        <v>5487</v>
      </c>
      <c r="B1558" s="76" t="s">
        <v>11197</v>
      </c>
    </row>
    <row r="1559" spans="1:2" ht="15">
      <c r="A1559" s="77" t="s">
        <v>5488</v>
      </c>
      <c r="B1559" s="76" t="s">
        <v>11197</v>
      </c>
    </row>
    <row r="1560" spans="1:2" ht="15">
      <c r="A1560" s="77" t="s">
        <v>5489</v>
      </c>
      <c r="B1560" s="76" t="s">
        <v>11197</v>
      </c>
    </row>
    <row r="1561" spans="1:2" ht="15">
      <c r="A1561" s="77" t="s">
        <v>5490</v>
      </c>
      <c r="B1561" s="76" t="s">
        <v>11197</v>
      </c>
    </row>
    <row r="1562" spans="1:2" ht="15">
      <c r="A1562" s="77" t="s">
        <v>5491</v>
      </c>
      <c r="B1562" s="76" t="s">
        <v>11197</v>
      </c>
    </row>
    <row r="1563" spans="1:2" ht="15">
      <c r="A1563" s="77" t="s">
        <v>5492</v>
      </c>
      <c r="B1563" s="76" t="s">
        <v>11197</v>
      </c>
    </row>
    <row r="1564" spans="1:2" ht="15">
      <c r="A1564" s="77" t="s">
        <v>5493</v>
      </c>
      <c r="B1564" s="76" t="s">
        <v>11197</v>
      </c>
    </row>
    <row r="1565" spans="1:2" ht="15">
      <c r="A1565" s="77" t="s">
        <v>5494</v>
      </c>
      <c r="B1565" s="76" t="s">
        <v>11197</v>
      </c>
    </row>
    <row r="1566" spans="1:2" ht="15">
      <c r="A1566" s="77" t="s">
        <v>5495</v>
      </c>
      <c r="B1566" s="76" t="s">
        <v>11197</v>
      </c>
    </row>
    <row r="1567" spans="1:2" ht="15">
      <c r="A1567" s="77" t="s">
        <v>5496</v>
      </c>
      <c r="B1567" s="76" t="s">
        <v>11197</v>
      </c>
    </row>
    <row r="1568" spans="1:2" ht="15">
      <c r="A1568" s="77" t="s">
        <v>5497</v>
      </c>
      <c r="B1568" s="76" t="s">
        <v>11197</v>
      </c>
    </row>
    <row r="1569" spans="1:2" ht="15">
      <c r="A1569" s="77" t="s">
        <v>5498</v>
      </c>
      <c r="B1569" s="76" t="s">
        <v>11197</v>
      </c>
    </row>
    <row r="1570" spans="1:2" ht="15">
      <c r="A1570" s="77" t="s">
        <v>5499</v>
      </c>
      <c r="B1570" s="76" t="s">
        <v>11197</v>
      </c>
    </row>
    <row r="1571" spans="1:2" ht="15">
      <c r="A1571" s="77" t="s">
        <v>5500</v>
      </c>
      <c r="B1571" s="76" t="s">
        <v>11197</v>
      </c>
    </row>
    <row r="1572" spans="1:2" ht="15">
      <c r="A1572" s="77" t="s">
        <v>5501</v>
      </c>
      <c r="B1572" s="76" t="s">
        <v>11197</v>
      </c>
    </row>
    <row r="1573" spans="1:2" ht="15">
      <c r="A1573" s="77" t="s">
        <v>5502</v>
      </c>
      <c r="B1573" s="76" t="s">
        <v>11197</v>
      </c>
    </row>
    <row r="1574" spans="1:2" ht="15">
      <c r="A1574" s="77" t="s">
        <v>5503</v>
      </c>
      <c r="B1574" s="76" t="s">
        <v>11197</v>
      </c>
    </row>
    <row r="1575" spans="1:2" ht="15">
      <c r="A1575" s="77" t="s">
        <v>5504</v>
      </c>
      <c r="B1575" s="76" t="s">
        <v>11197</v>
      </c>
    </row>
    <row r="1576" spans="1:2" ht="15">
      <c r="A1576" s="77" t="s">
        <v>5505</v>
      </c>
      <c r="B1576" s="76" t="s">
        <v>11197</v>
      </c>
    </row>
    <row r="1577" spans="1:2" ht="15">
      <c r="A1577" s="77" t="s">
        <v>5506</v>
      </c>
      <c r="B1577" s="76" t="s">
        <v>11197</v>
      </c>
    </row>
    <row r="1578" spans="1:2" ht="15">
      <c r="A1578" s="77" t="s">
        <v>5507</v>
      </c>
      <c r="B1578" s="76" t="s">
        <v>11197</v>
      </c>
    </row>
    <row r="1579" spans="1:2" ht="15">
      <c r="A1579" s="77" t="s">
        <v>5508</v>
      </c>
      <c r="B1579" s="76" t="s">
        <v>11197</v>
      </c>
    </row>
    <row r="1580" spans="1:2" ht="15">
      <c r="A1580" s="77" t="s">
        <v>5509</v>
      </c>
      <c r="B1580" s="76" t="s">
        <v>11197</v>
      </c>
    </row>
    <row r="1581" spans="1:2" ht="15">
      <c r="A1581" s="77" t="s">
        <v>5510</v>
      </c>
      <c r="B1581" s="76" t="s">
        <v>11197</v>
      </c>
    </row>
    <row r="1582" spans="1:2" ht="15">
      <c r="A1582" s="77" t="s">
        <v>5511</v>
      </c>
      <c r="B1582" s="76" t="s">
        <v>11197</v>
      </c>
    </row>
    <row r="1583" spans="1:2" ht="15">
      <c r="A1583" s="77" t="s">
        <v>5512</v>
      </c>
      <c r="B1583" s="76" t="s">
        <v>11197</v>
      </c>
    </row>
    <row r="1584" spans="1:2" ht="15">
      <c r="A1584" s="77" t="s">
        <v>5513</v>
      </c>
      <c r="B1584" s="76" t="s">
        <v>11197</v>
      </c>
    </row>
    <row r="1585" spans="1:2" ht="15">
      <c r="A1585" s="77" t="s">
        <v>5514</v>
      </c>
      <c r="B1585" s="76" t="s">
        <v>11197</v>
      </c>
    </row>
    <row r="1586" spans="1:2" ht="15">
      <c r="A1586" s="77" t="s">
        <v>5515</v>
      </c>
      <c r="B1586" s="76" t="s">
        <v>11197</v>
      </c>
    </row>
    <row r="1587" spans="1:2" ht="15">
      <c r="A1587" s="77" t="s">
        <v>5516</v>
      </c>
      <c r="B1587" s="76" t="s">
        <v>11197</v>
      </c>
    </row>
    <row r="1588" spans="1:2" ht="15">
      <c r="A1588" s="77" t="s">
        <v>5517</v>
      </c>
      <c r="B1588" s="76" t="s">
        <v>11197</v>
      </c>
    </row>
    <row r="1589" spans="1:2" ht="15">
      <c r="A1589" s="77" t="s">
        <v>5518</v>
      </c>
      <c r="B1589" s="76" t="s">
        <v>11197</v>
      </c>
    </row>
    <row r="1590" spans="1:2" ht="15">
      <c r="A1590" s="77" t="s">
        <v>5519</v>
      </c>
      <c r="B1590" s="76" t="s">
        <v>11197</v>
      </c>
    </row>
    <row r="1591" spans="1:2" ht="15">
      <c r="A1591" s="77" t="s">
        <v>5520</v>
      </c>
      <c r="B1591" s="76" t="s">
        <v>11197</v>
      </c>
    </row>
    <row r="1592" spans="1:2" ht="15">
      <c r="A1592" s="77" t="s">
        <v>5521</v>
      </c>
      <c r="B1592" s="76" t="s">
        <v>11197</v>
      </c>
    </row>
    <row r="1593" spans="1:2" ht="15">
      <c r="A1593" s="77" t="s">
        <v>5522</v>
      </c>
      <c r="B1593" s="76" t="s">
        <v>11197</v>
      </c>
    </row>
    <row r="1594" spans="1:2" ht="15">
      <c r="A1594" s="77" t="s">
        <v>5523</v>
      </c>
      <c r="B1594" s="76" t="s">
        <v>11197</v>
      </c>
    </row>
    <row r="1595" spans="1:2" ht="15">
      <c r="A1595" s="77" t="s">
        <v>5524</v>
      </c>
      <c r="B1595" s="76" t="s">
        <v>11197</v>
      </c>
    </row>
    <row r="1596" spans="1:2" ht="15">
      <c r="A1596" s="77" t="s">
        <v>5525</v>
      </c>
      <c r="B1596" s="76" t="s">
        <v>11197</v>
      </c>
    </row>
    <row r="1597" spans="1:2" ht="15">
      <c r="A1597" s="77" t="s">
        <v>5526</v>
      </c>
      <c r="B1597" s="76" t="s">
        <v>11197</v>
      </c>
    </row>
    <row r="1598" spans="1:2" ht="15">
      <c r="A1598" s="77" t="s">
        <v>5527</v>
      </c>
      <c r="B1598" s="76" t="s">
        <v>11197</v>
      </c>
    </row>
    <row r="1599" spans="1:2" ht="15">
      <c r="A1599" s="77" t="s">
        <v>5528</v>
      </c>
      <c r="B1599" s="76" t="s">
        <v>11197</v>
      </c>
    </row>
    <row r="1600" spans="1:2" ht="15">
      <c r="A1600" s="77" t="s">
        <v>5529</v>
      </c>
      <c r="B1600" s="76" t="s">
        <v>11197</v>
      </c>
    </row>
    <row r="1601" spans="1:2" ht="15">
      <c r="A1601" s="77" t="s">
        <v>5530</v>
      </c>
      <c r="B1601" s="76" t="s">
        <v>11197</v>
      </c>
    </row>
    <row r="1602" spans="1:2" ht="15">
      <c r="A1602" s="77" t="s">
        <v>5531</v>
      </c>
      <c r="B1602" s="76" t="s">
        <v>11197</v>
      </c>
    </row>
    <row r="1603" spans="1:2" ht="15">
      <c r="A1603" s="77" t="s">
        <v>5532</v>
      </c>
      <c r="B1603" s="76" t="s">
        <v>11197</v>
      </c>
    </row>
    <row r="1604" spans="1:2" ht="15">
      <c r="A1604" s="77" t="s">
        <v>5533</v>
      </c>
      <c r="B1604" s="76" t="s">
        <v>11197</v>
      </c>
    </row>
    <row r="1605" spans="1:2" ht="15">
      <c r="A1605" s="77" t="s">
        <v>5534</v>
      </c>
      <c r="B1605" s="76" t="s">
        <v>11197</v>
      </c>
    </row>
    <row r="1606" spans="1:2" ht="15">
      <c r="A1606" s="77" t="s">
        <v>5535</v>
      </c>
      <c r="B1606" s="76" t="s">
        <v>11197</v>
      </c>
    </row>
    <row r="1607" spans="1:2" ht="15">
      <c r="A1607" s="77" t="s">
        <v>5536</v>
      </c>
      <c r="B1607" s="76" t="s">
        <v>11197</v>
      </c>
    </row>
    <row r="1608" spans="1:2" ht="15">
      <c r="A1608" s="77" t="s">
        <v>5537</v>
      </c>
      <c r="B1608" s="76" t="s">
        <v>11197</v>
      </c>
    </row>
    <row r="1609" spans="1:2" ht="15">
      <c r="A1609" s="77" t="s">
        <v>5538</v>
      </c>
      <c r="B1609" s="76" t="s">
        <v>11197</v>
      </c>
    </row>
    <row r="1610" spans="1:2" ht="15">
      <c r="A1610" s="77" t="s">
        <v>5539</v>
      </c>
      <c r="B1610" s="76" t="s">
        <v>11197</v>
      </c>
    </row>
    <row r="1611" spans="1:2" ht="15">
      <c r="A1611" s="77" t="s">
        <v>5540</v>
      </c>
      <c r="B1611" s="76" t="s">
        <v>11197</v>
      </c>
    </row>
    <row r="1612" spans="1:2" ht="15">
      <c r="A1612" s="77" t="s">
        <v>5541</v>
      </c>
      <c r="B1612" s="76" t="s">
        <v>11197</v>
      </c>
    </row>
    <row r="1613" spans="1:2" ht="15">
      <c r="A1613" s="77" t="s">
        <v>5542</v>
      </c>
      <c r="B1613" s="76" t="s">
        <v>11197</v>
      </c>
    </row>
    <row r="1614" spans="1:2" ht="15">
      <c r="A1614" s="77" t="s">
        <v>5543</v>
      </c>
      <c r="B1614" s="76" t="s">
        <v>11197</v>
      </c>
    </row>
    <row r="1615" spans="1:2" ht="15">
      <c r="A1615" s="77" t="s">
        <v>5544</v>
      </c>
      <c r="B1615" s="76" t="s">
        <v>11197</v>
      </c>
    </row>
    <row r="1616" spans="1:2" ht="15">
      <c r="A1616" s="77" t="s">
        <v>5545</v>
      </c>
      <c r="B1616" s="76" t="s">
        <v>11197</v>
      </c>
    </row>
    <row r="1617" spans="1:2" ht="15">
      <c r="A1617" s="77" t="s">
        <v>5546</v>
      </c>
      <c r="B1617" s="76" t="s">
        <v>11197</v>
      </c>
    </row>
    <row r="1618" spans="1:2" ht="15">
      <c r="A1618" s="77" t="s">
        <v>5547</v>
      </c>
      <c r="B1618" s="76" t="s">
        <v>11197</v>
      </c>
    </row>
    <row r="1619" spans="1:2" ht="15">
      <c r="A1619" s="77" t="s">
        <v>5548</v>
      </c>
      <c r="B1619" s="76" t="s">
        <v>11197</v>
      </c>
    </row>
    <row r="1620" spans="1:2" ht="15">
      <c r="A1620" s="77" t="s">
        <v>5549</v>
      </c>
      <c r="B1620" s="76" t="s">
        <v>11197</v>
      </c>
    </row>
    <row r="1621" spans="1:2" ht="15">
      <c r="A1621" s="77" t="s">
        <v>5550</v>
      </c>
      <c r="B1621" s="76" t="s">
        <v>11197</v>
      </c>
    </row>
    <row r="1622" spans="1:2" ht="15">
      <c r="A1622" s="77" t="s">
        <v>5551</v>
      </c>
      <c r="B1622" s="76" t="s">
        <v>11197</v>
      </c>
    </row>
    <row r="1623" spans="1:2" ht="15">
      <c r="A1623" s="77" t="s">
        <v>5552</v>
      </c>
      <c r="B1623" s="76" t="s">
        <v>11197</v>
      </c>
    </row>
    <row r="1624" spans="1:2" ht="15">
      <c r="A1624" s="77" t="s">
        <v>5553</v>
      </c>
      <c r="B1624" s="76" t="s">
        <v>11197</v>
      </c>
    </row>
    <row r="1625" spans="1:2" ht="15">
      <c r="A1625" s="77" t="s">
        <v>5554</v>
      </c>
      <c r="B1625" s="76" t="s">
        <v>11197</v>
      </c>
    </row>
    <row r="1626" spans="1:2" ht="15">
      <c r="A1626" s="77" t="s">
        <v>3362</v>
      </c>
      <c r="B1626" s="76" t="s">
        <v>11197</v>
      </c>
    </row>
    <row r="1627" spans="1:2" ht="15">
      <c r="A1627" s="77" t="s">
        <v>5555</v>
      </c>
      <c r="B1627" s="76" t="s">
        <v>11197</v>
      </c>
    </row>
    <row r="1628" spans="1:2" ht="15">
      <c r="A1628" s="77" t="s">
        <v>5556</v>
      </c>
      <c r="B1628" s="76" t="s">
        <v>11197</v>
      </c>
    </row>
    <row r="1629" spans="1:2" ht="15">
      <c r="A1629" s="77" t="s">
        <v>5557</v>
      </c>
      <c r="B1629" s="76" t="s">
        <v>11197</v>
      </c>
    </row>
    <row r="1630" spans="1:2" ht="15">
      <c r="A1630" s="77" t="s">
        <v>5558</v>
      </c>
      <c r="B1630" s="76" t="s">
        <v>11197</v>
      </c>
    </row>
    <row r="1631" spans="1:2" ht="15">
      <c r="A1631" s="77" t="s">
        <v>5559</v>
      </c>
      <c r="B1631" s="76" t="s">
        <v>11197</v>
      </c>
    </row>
    <row r="1632" spans="1:2" ht="15">
      <c r="A1632" s="77" t="s">
        <v>5560</v>
      </c>
      <c r="B1632" s="76" t="s">
        <v>11197</v>
      </c>
    </row>
    <row r="1633" spans="1:2" ht="15">
      <c r="A1633" s="77" t="s">
        <v>5561</v>
      </c>
      <c r="B1633" s="76" t="s">
        <v>11197</v>
      </c>
    </row>
    <row r="1634" spans="1:2" ht="15">
      <c r="A1634" s="77" t="s">
        <v>5562</v>
      </c>
      <c r="B1634" s="76" t="s">
        <v>11197</v>
      </c>
    </row>
    <row r="1635" spans="1:2" ht="15">
      <c r="A1635" s="77" t="s">
        <v>5563</v>
      </c>
      <c r="B1635" s="76" t="s">
        <v>11197</v>
      </c>
    </row>
    <row r="1636" spans="1:2" ht="15">
      <c r="A1636" s="77" t="s">
        <v>5564</v>
      </c>
      <c r="B1636" s="76" t="s">
        <v>11197</v>
      </c>
    </row>
    <row r="1637" spans="1:2" ht="15">
      <c r="A1637" s="77" t="s">
        <v>5565</v>
      </c>
      <c r="B1637" s="76" t="s">
        <v>11197</v>
      </c>
    </row>
    <row r="1638" spans="1:2" ht="15">
      <c r="A1638" s="77" t="s">
        <v>5566</v>
      </c>
      <c r="B1638" s="76" t="s">
        <v>11197</v>
      </c>
    </row>
    <row r="1639" spans="1:2" ht="15">
      <c r="A1639" s="77" t="s">
        <v>5567</v>
      </c>
      <c r="B1639" s="76" t="s">
        <v>11197</v>
      </c>
    </row>
    <row r="1640" spans="1:2" ht="15">
      <c r="A1640" s="77" t="s">
        <v>5568</v>
      </c>
      <c r="B1640" s="76" t="s">
        <v>11197</v>
      </c>
    </row>
    <row r="1641" spans="1:2" ht="15">
      <c r="A1641" s="77" t="s">
        <v>5569</v>
      </c>
      <c r="B1641" s="76" t="s">
        <v>11197</v>
      </c>
    </row>
    <row r="1642" spans="1:2" ht="15">
      <c r="A1642" s="77" t="s">
        <v>5570</v>
      </c>
      <c r="B1642" s="76" t="s">
        <v>11197</v>
      </c>
    </row>
    <row r="1643" spans="1:2" ht="15">
      <c r="A1643" s="77" t="s">
        <v>5571</v>
      </c>
      <c r="B1643" s="76" t="s">
        <v>11197</v>
      </c>
    </row>
    <row r="1644" spans="1:2" ht="15">
      <c r="A1644" s="77" t="s">
        <v>5572</v>
      </c>
      <c r="B1644" s="76" t="s">
        <v>11197</v>
      </c>
    </row>
    <row r="1645" spans="1:2" ht="15">
      <c r="A1645" s="77" t="s">
        <v>5573</v>
      </c>
      <c r="B1645" s="76" t="s">
        <v>11197</v>
      </c>
    </row>
    <row r="1646" spans="1:2" ht="15">
      <c r="A1646" s="77" t="s">
        <v>5574</v>
      </c>
      <c r="B1646" s="76" t="s">
        <v>11197</v>
      </c>
    </row>
    <row r="1647" spans="1:2" ht="15">
      <c r="A1647" s="77" t="s">
        <v>5575</v>
      </c>
      <c r="B1647" s="76" t="s">
        <v>11197</v>
      </c>
    </row>
    <row r="1648" spans="1:2" ht="15">
      <c r="A1648" s="77" t="s">
        <v>5576</v>
      </c>
      <c r="B1648" s="76" t="s">
        <v>11197</v>
      </c>
    </row>
    <row r="1649" spans="1:2" ht="15">
      <c r="A1649" s="77" t="s">
        <v>5577</v>
      </c>
      <c r="B1649" s="76" t="s">
        <v>11197</v>
      </c>
    </row>
    <row r="1650" spans="1:2" ht="15">
      <c r="A1650" s="77" t="s">
        <v>5578</v>
      </c>
      <c r="B1650" s="76" t="s">
        <v>11197</v>
      </c>
    </row>
    <row r="1651" spans="1:2" ht="15">
      <c r="A1651" s="77" t="s">
        <v>5579</v>
      </c>
      <c r="B1651" s="76" t="s">
        <v>11197</v>
      </c>
    </row>
    <row r="1652" spans="1:2" ht="15">
      <c r="A1652" s="77" t="s">
        <v>5580</v>
      </c>
      <c r="B1652" s="76" t="s">
        <v>11197</v>
      </c>
    </row>
    <row r="1653" spans="1:2" ht="15">
      <c r="A1653" s="77" t="s">
        <v>5581</v>
      </c>
      <c r="B1653" s="76" t="s">
        <v>11197</v>
      </c>
    </row>
    <row r="1654" spans="1:2" ht="15">
      <c r="A1654" s="77" t="s">
        <v>5582</v>
      </c>
      <c r="B1654" s="76" t="s">
        <v>11197</v>
      </c>
    </row>
    <row r="1655" spans="1:2" ht="15">
      <c r="A1655" s="77" t="s">
        <v>5583</v>
      </c>
      <c r="B1655" s="76" t="s">
        <v>11197</v>
      </c>
    </row>
    <row r="1656" spans="1:2" ht="15">
      <c r="A1656" s="77" t="s">
        <v>5584</v>
      </c>
      <c r="B1656" s="76" t="s">
        <v>11197</v>
      </c>
    </row>
    <row r="1657" spans="1:2" ht="15">
      <c r="A1657" s="77" t="s">
        <v>5585</v>
      </c>
      <c r="B1657" s="76" t="s">
        <v>11197</v>
      </c>
    </row>
    <row r="1658" spans="1:2" ht="15">
      <c r="A1658" s="77" t="s">
        <v>5586</v>
      </c>
      <c r="B1658" s="76" t="s">
        <v>11197</v>
      </c>
    </row>
    <row r="1659" spans="1:2" ht="15">
      <c r="A1659" s="77" t="s">
        <v>5587</v>
      </c>
      <c r="B1659" s="76" t="s">
        <v>11197</v>
      </c>
    </row>
    <row r="1660" spans="1:2" ht="15">
      <c r="A1660" s="77" t="s">
        <v>5588</v>
      </c>
      <c r="B1660" s="76" t="s">
        <v>11197</v>
      </c>
    </row>
    <row r="1661" spans="1:2" ht="15">
      <c r="A1661" s="77" t="s">
        <v>5589</v>
      </c>
      <c r="B1661" s="76" t="s">
        <v>11197</v>
      </c>
    </row>
    <row r="1662" spans="1:2" ht="15">
      <c r="A1662" s="77" t="s">
        <v>5590</v>
      </c>
      <c r="B1662" s="76" t="s">
        <v>11197</v>
      </c>
    </row>
    <row r="1663" spans="1:2" ht="15">
      <c r="A1663" s="77" t="s">
        <v>5591</v>
      </c>
      <c r="B1663" s="76" t="s">
        <v>11197</v>
      </c>
    </row>
    <row r="1664" spans="1:2" ht="15">
      <c r="A1664" s="77" t="s">
        <v>5592</v>
      </c>
      <c r="B1664" s="76" t="s">
        <v>11197</v>
      </c>
    </row>
    <row r="1665" spans="1:2" ht="15">
      <c r="A1665" s="77" t="s">
        <v>5593</v>
      </c>
      <c r="B1665" s="76" t="s">
        <v>11197</v>
      </c>
    </row>
    <row r="1666" spans="1:2" ht="15">
      <c r="A1666" s="77" t="s">
        <v>5594</v>
      </c>
      <c r="B1666" s="76" t="s">
        <v>11197</v>
      </c>
    </row>
    <row r="1667" spans="1:2" ht="15">
      <c r="A1667" s="77" t="s">
        <v>5595</v>
      </c>
      <c r="B1667" s="76" t="s">
        <v>11197</v>
      </c>
    </row>
    <row r="1668" spans="1:2" ht="15">
      <c r="A1668" s="77" t="s">
        <v>5596</v>
      </c>
      <c r="B1668" s="76" t="s">
        <v>11197</v>
      </c>
    </row>
    <row r="1669" spans="1:2" ht="15">
      <c r="A1669" s="77" t="s">
        <v>5597</v>
      </c>
      <c r="B1669" s="76" t="s">
        <v>11197</v>
      </c>
    </row>
    <row r="1670" spans="1:2" ht="15">
      <c r="A1670" s="77" t="s">
        <v>5598</v>
      </c>
      <c r="B1670" s="76" t="s">
        <v>11197</v>
      </c>
    </row>
    <row r="1671" spans="1:2" ht="15">
      <c r="A1671" s="77" t="s">
        <v>5599</v>
      </c>
      <c r="B1671" s="76" t="s">
        <v>11197</v>
      </c>
    </row>
    <row r="1672" spans="1:2" ht="15">
      <c r="A1672" s="77" t="s">
        <v>5600</v>
      </c>
      <c r="B1672" s="76" t="s">
        <v>11197</v>
      </c>
    </row>
    <row r="1673" spans="1:2" ht="15">
      <c r="A1673" s="77" t="s">
        <v>5601</v>
      </c>
      <c r="B1673" s="76" t="s">
        <v>11197</v>
      </c>
    </row>
    <row r="1674" spans="1:2" ht="15">
      <c r="A1674" s="77" t="s">
        <v>5602</v>
      </c>
      <c r="B1674" s="76" t="s">
        <v>11197</v>
      </c>
    </row>
    <row r="1675" spans="1:2" ht="15">
      <c r="A1675" s="77" t="s">
        <v>5603</v>
      </c>
      <c r="B1675" s="76" t="s">
        <v>11197</v>
      </c>
    </row>
    <row r="1676" spans="1:2" ht="15">
      <c r="A1676" s="77" t="s">
        <v>5604</v>
      </c>
      <c r="B1676" s="76" t="s">
        <v>11197</v>
      </c>
    </row>
    <row r="1677" spans="1:2" ht="15">
      <c r="A1677" s="77" t="s">
        <v>5605</v>
      </c>
      <c r="B1677" s="76" t="s">
        <v>11197</v>
      </c>
    </row>
    <row r="1678" spans="1:2" ht="15">
      <c r="A1678" s="77" t="s">
        <v>5606</v>
      </c>
      <c r="B1678" s="76" t="s">
        <v>11197</v>
      </c>
    </row>
    <row r="1679" spans="1:2" ht="15">
      <c r="A1679" s="77" t="s">
        <v>5607</v>
      </c>
      <c r="B1679" s="76" t="s">
        <v>11197</v>
      </c>
    </row>
    <row r="1680" spans="1:2" ht="15">
      <c r="A1680" s="77" t="s">
        <v>5608</v>
      </c>
      <c r="B1680" s="76" t="s">
        <v>11197</v>
      </c>
    </row>
    <row r="1681" spans="1:2" ht="15">
      <c r="A1681" s="77" t="s">
        <v>5609</v>
      </c>
      <c r="B1681" s="76" t="s">
        <v>11197</v>
      </c>
    </row>
    <row r="1682" spans="1:2" ht="15">
      <c r="A1682" s="77" t="s">
        <v>5610</v>
      </c>
      <c r="B1682" s="76" t="s">
        <v>11197</v>
      </c>
    </row>
    <row r="1683" spans="1:2" ht="15">
      <c r="A1683" s="77" t="s">
        <v>5611</v>
      </c>
      <c r="B1683" s="76" t="s">
        <v>11197</v>
      </c>
    </row>
    <row r="1684" spans="1:2" ht="15">
      <c r="A1684" s="77" t="s">
        <v>5612</v>
      </c>
      <c r="B1684" s="76" t="s">
        <v>11197</v>
      </c>
    </row>
    <row r="1685" spans="1:2" ht="15">
      <c r="A1685" s="77" t="s">
        <v>5613</v>
      </c>
      <c r="B1685" s="76" t="s">
        <v>11197</v>
      </c>
    </row>
    <row r="1686" spans="1:2" ht="15">
      <c r="A1686" s="77" t="s">
        <v>5614</v>
      </c>
      <c r="B1686" s="76" t="s">
        <v>11197</v>
      </c>
    </row>
    <row r="1687" spans="1:2" ht="15">
      <c r="A1687" s="77" t="s">
        <v>5615</v>
      </c>
      <c r="B1687" s="76" t="s">
        <v>11197</v>
      </c>
    </row>
    <row r="1688" spans="1:2" ht="15">
      <c r="A1688" s="77" t="s">
        <v>5616</v>
      </c>
      <c r="B1688" s="76" t="s">
        <v>11197</v>
      </c>
    </row>
    <row r="1689" spans="1:2" ht="15">
      <c r="A1689" s="77" t="s">
        <v>5617</v>
      </c>
      <c r="B1689" s="76" t="s">
        <v>11197</v>
      </c>
    </row>
    <row r="1690" spans="1:2" ht="15">
      <c r="A1690" s="77" t="s">
        <v>5618</v>
      </c>
      <c r="B1690" s="76" t="s">
        <v>11197</v>
      </c>
    </row>
    <row r="1691" spans="1:2" ht="15">
      <c r="A1691" s="77" t="s">
        <v>5619</v>
      </c>
      <c r="B1691" s="76" t="s">
        <v>11197</v>
      </c>
    </row>
    <row r="1692" spans="1:2" ht="15">
      <c r="A1692" s="77" t="s">
        <v>5620</v>
      </c>
      <c r="B1692" s="76" t="s">
        <v>11197</v>
      </c>
    </row>
    <row r="1693" spans="1:2" ht="15">
      <c r="A1693" s="77" t="s">
        <v>5621</v>
      </c>
      <c r="B1693" s="76" t="s">
        <v>11197</v>
      </c>
    </row>
    <row r="1694" spans="1:2" ht="15">
      <c r="A1694" s="77" t="s">
        <v>5622</v>
      </c>
      <c r="B1694" s="76" t="s">
        <v>11197</v>
      </c>
    </row>
    <row r="1695" spans="1:2" ht="15">
      <c r="A1695" s="77" t="s">
        <v>5623</v>
      </c>
      <c r="B1695" s="76" t="s">
        <v>11197</v>
      </c>
    </row>
    <row r="1696" spans="1:2" ht="15">
      <c r="A1696" s="77" t="s">
        <v>5624</v>
      </c>
      <c r="B1696" s="76" t="s">
        <v>11197</v>
      </c>
    </row>
    <row r="1697" spans="1:2" ht="15">
      <c r="A1697" s="77" t="s">
        <v>5625</v>
      </c>
      <c r="B1697" s="76" t="s">
        <v>11197</v>
      </c>
    </row>
    <row r="1698" spans="1:2" ht="15">
      <c r="A1698" s="77" t="s">
        <v>5626</v>
      </c>
      <c r="B1698" s="76" t="s">
        <v>11197</v>
      </c>
    </row>
    <row r="1699" spans="1:2" ht="15">
      <c r="A1699" s="77" t="s">
        <v>5627</v>
      </c>
      <c r="B1699" s="76" t="s">
        <v>11197</v>
      </c>
    </row>
    <row r="1700" spans="1:2" ht="15">
      <c r="A1700" s="77" t="s">
        <v>5628</v>
      </c>
      <c r="B1700" s="76" t="s">
        <v>11197</v>
      </c>
    </row>
    <row r="1701" spans="1:2" ht="15">
      <c r="A1701" s="77" t="s">
        <v>5629</v>
      </c>
      <c r="B1701" s="76" t="s">
        <v>11197</v>
      </c>
    </row>
    <row r="1702" spans="1:2" ht="15">
      <c r="A1702" s="77" t="s">
        <v>5630</v>
      </c>
      <c r="B1702" s="76" t="s">
        <v>11197</v>
      </c>
    </row>
    <row r="1703" spans="1:2" ht="15">
      <c r="A1703" s="77" t="s">
        <v>5631</v>
      </c>
      <c r="B1703" s="76" t="s">
        <v>11197</v>
      </c>
    </row>
    <row r="1704" spans="1:2" ht="15">
      <c r="A1704" s="77" t="s">
        <v>5632</v>
      </c>
      <c r="B1704" s="76" t="s">
        <v>11197</v>
      </c>
    </row>
    <row r="1705" spans="1:2" ht="15">
      <c r="A1705" s="77" t="s">
        <v>5633</v>
      </c>
      <c r="B1705" s="76" t="s">
        <v>11197</v>
      </c>
    </row>
    <row r="1706" spans="1:2" ht="15">
      <c r="A1706" s="77" t="s">
        <v>5634</v>
      </c>
      <c r="B1706" s="76" t="s">
        <v>11197</v>
      </c>
    </row>
    <row r="1707" spans="1:2" ht="15">
      <c r="A1707" s="77" t="s">
        <v>5635</v>
      </c>
      <c r="B1707" s="76" t="s">
        <v>11197</v>
      </c>
    </row>
    <row r="1708" spans="1:2" ht="15">
      <c r="A1708" s="77" t="s">
        <v>5636</v>
      </c>
      <c r="B1708" s="76" t="s">
        <v>11197</v>
      </c>
    </row>
    <row r="1709" spans="1:2" ht="15">
      <c r="A1709" s="77" t="s">
        <v>5637</v>
      </c>
      <c r="B1709" s="76" t="s">
        <v>11197</v>
      </c>
    </row>
    <row r="1710" spans="1:2" ht="15">
      <c r="A1710" s="77" t="s">
        <v>5638</v>
      </c>
      <c r="B1710" s="76" t="s">
        <v>11197</v>
      </c>
    </row>
    <row r="1711" spans="1:2" ht="15">
      <c r="A1711" s="77" t="s">
        <v>5639</v>
      </c>
      <c r="B1711" s="76" t="s">
        <v>11197</v>
      </c>
    </row>
    <row r="1712" spans="1:2" ht="15">
      <c r="A1712" s="77" t="s">
        <v>5640</v>
      </c>
      <c r="B1712" s="76" t="s">
        <v>11197</v>
      </c>
    </row>
    <row r="1713" spans="1:2" ht="15">
      <c r="A1713" s="77" t="s">
        <v>5641</v>
      </c>
      <c r="B1713" s="76" t="s">
        <v>11197</v>
      </c>
    </row>
    <row r="1714" spans="1:2" ht="15">
      <c r="A1714" s="77" t="s">
        <v>5642</v>
      </c>
      <c r="B1714" s="76" t="s">
        <v>11197</v>
      </c>
    </row>
    <row r="1715" spans="1:2" ht="15">
      <c r="A1715" s="77" t="s">
        <v>5643</v>
      </c>
      <c r="B1715" s="76" t="s">
        <v>11197</v>
      </c>
    </row>
    <row r="1716" spans="1:2" ht="15">
      <c r="A1716" s="77" t="s">
        <v>5644</v>
      </c>
      <c r="B1716" s="76" t="s">
        <v>11197</v>
      </c>
    </row>
    <row r="1717" spans="1:2" ht="15">
      <c r="A1717" s="77" t="s">
        <v>5645</v>
      </c>
      <c r="B1717" s="76" t="s">
        <v>11197</v>
      </c>
    </row>
    <row r="1718" spans="1:2" ht="15">
      <c r="A1718" s="77" t="s">
        <v>5646</v>
      </c>
      <c r="B1718" s="76" t="s">
        <v>11197</v>
      </c>
    </row>
    <row r="1719" spans="1:2" ht="15">
      <c r="A1719" s="77" t="s">
        <v>5647</v>
      </c>
      <c r="B1719" s="76" t="s">
        <v>11197</v>
      </c>
    </row>
    <row r="1720" spans="1:2" ht="15">
      <c r="A1720" s="77" t="s">
        <v>5648</v>
      </c>
      <c r="B1720" s="76" t="s">
        <v>11197</v>
      </c>
    </row>
    <row r="1721" spans="1:2" ht="15">
      <c r="A1721" s="77" t="s">
        <v>5649</v>
      </c>
      <c r="B1721" s="76" t="s">
        <v>11197</v>
      </c>
    </row>
    <row r="1722" spans="1:2" ht="15">
      <c r="A1722" s="77" t="s">
        <v>5650</v>
      </c>
      <c r="B1722" s="76" t="s">
        <v>11197</v>
      </c>
    </row>
    <row r="1723" spans="1:2" ht="15">
      <c r="A1723" s="77" t="s">
        <v>5651</v>
      </c>
      <c r="B1723" s="76" t="s">
        <v>11197</v>
      </c>
    </row>
    <row r="1724" spans="1:2" ht="15">
      <c r="A1724" s="77" t="s">
        <v>5652</v>
      </c>
      <c r="B1724" s="76" t="s">
        <v>11197</v>
      </c>
    </row>
    <row r="1725" spans="1:2" ht="15">
      <c r="A1725" s="77" t="s">
        <v>5653</v>
      </c>
      <c r="B1725" s="76" t="s">
        <v>11197</v>
      </c>
    </row>
    <row r="1726" spans="1:2" ht="15">
      <c r="A1726" s="77" t="s">
        <v>5654</v>
      </c>
      <c r="B1726" s="76" t="s">
        <v>11197</v>
      </c>
    </row>
    <row r="1727" spans="1:2" ht="15">
      <c r="A1727" s="77" t="s">
        <v>5655</v>
      </c>
      <c r="B1727" s="76" t="s">
        <v>11197</v>
      </c>
    </row>
    <row r="1728" spans="1:2" ht="15">
      <c r="A1728" s="77" t="s">
        <v>5656</v>
      </c>
      <c r="B1728" s="76" t="s">
        <v>11197</v>
      </c>
    </row>
    <row r="1729" spans="1:2" ht="15">
      <c r="A1729" s="77" t="s">
        <v>5657</v>
      </c>
      <c r="B1729" s="76" t="s">
        <v>11197</v>
      </c>
    </row>
    <row r="1730" spans="1:2" ht="15">
      <c r="A1730" s="77" t="s">
        <v>5658</v>
      </c>
      <c r="B1730" s="76" t="s">
        <v>11197</v>
      </c>
    </row>
    <row r="1731" spans="1:2" ht="15">
      <c r="A1731" s="77" t="s">
        <v>5659</v>
      </c>
      <c r="B1731" s="76" t="s">
        <v>11197</v>
      </c>
    </row>
    <row r="1732" spans="1:2" ht="15">
      <c r="A1732" s="77" t="s">
        <v>5660</v>
      </c>
      <c r="B1732" s="76" t="s">
        <v>11197</v>
      </c>
    </row>
    <row r="1733" spans="1:2" ht="15">
      <c r="A1733" s="77" t="s">
        <v>5661</v>
      </c>
      <c r="B1733" s="76" t="s">
        <v>11197</v>
      </c>
    </row>
    <row r="1734" spans="1:2" ht="15">
      <c r="A1734" s="77" t="s">
        <v>5662</v>
      </c>
      <c r="B1734" s="76" t="s">
        <v>11197</v>
      </c>
    </row>
    <row r="1735" spans="1:2" ht="15">
      <c r="A1735" s="77" t="s">
        <v>5663</v>
      </c>
      <c r="B1735" s="76" t="s">
        <v>11197</v>
      </c>
    </row>
    <row r="1736" spans="1:2" ht="15">
      <c r="A1736" s="77" t="s">
        <v>5664</v>
      </c>
      <c r="B1736" s="76" t="s">
        <v>11197</v>
      </c>
    </row>
    <row r="1737" spans="1:2" ht="15">
      <c r="A1737" s="77" t="s">
        <v>5665</v>
      </c>
      <c r="B1737" s="76" t="s">
        <v>11197</v>
      </c>
    </row>
    <row r="1738" spans="1:2" ht="15">
      <c r="A1738" s="77" t="s">
        <v>5666</v>
      </c>
      <c r="B1738" s="76" t="s">
        <v>11197</v>
      </c>
    </row>
    <row r="1739" spans="1:2" ht="15">
      <c r="A1739" s="77" t="s">
        <v>5667</v>
      </c>
      <c r="B1739" s="76" t="s">
        <v>11197</v>
      </c>
    </row>
    <row r="1740" spans="1:2" ht="15">
      <c r="A1740" s="77" t="s">
        <v>5668</v>
      </c>
      <c r="B1740" s="76" t="s">
        <v>11197</v>
      </c>
    </row>
    <row r="1741" spans="1:2" ht="15">
      <c r="A1741" s="77" t="s">
        <v>5669</v>
      </c>
      <c r="B1741" s="76" t="s">
        <v>11197</v>
      </c>
    </row>
    <row r="1742" spans="1:2" ht="15">
      <c r="A1742" s="77" t="s">
        <v>5670</v>
      </c>
      <c r="B1742" s="76" t="s">
        <v>11197</v>
      </c>
    </row>
    <row r="1743" spans="1:2" ht="15">
      <c r="A1743" s="77" t="s">
        <v>5671</v>
      </c>
      <c r="B1743" s="76" t="s">
        <v>11197</v>
      </c>
    </row>
    <row r="1744" spans="1:2" ht="15">
      <c r="A1744" s="77" t="s">
        <v>5672</v>
      </c>
      <c r="B1744" s="76" t="s">
        <v>11197</v>
      </c>
    </row>
    <row r="1745" spans="1:2" ht="15">
      <c r="A1745" s="77" t="s">
        <v>5673</v>
      </c>
      <c r="B1745" s="76" t="s">
        <v>11197</v>
      </c>
    </row>
    <row r="1746" spans="1:2" ht="15">
      <c r="A1746" s="77" t="s">
        <v>5674</v>
      </c>
      <c r="B1746" s="76" t="s">
        <v>11197</v>
      </c>
    </row>
    <row r="1747" spans="1:2" ht="15">
      <c r="A1747" s="77" t="s">
        <v>5675</v>
      </c>
      <c r="B1747" s="76" t="s">
        <v>11197</v>
      </c>
    </row>
    <row r="1748" spans="1:2" ht="15">
      <c r="A1748" s="77" t="s">
        <v>5676</v>
      </c>
      <c r="B1748" s="76" t="s">
        <v>11197</v>
      </c>
    </row>
    <row r="1749" spans="1:2" ht="15">
      <c r="A1749" s="77" t="s">
        <v>5677</v>
      </c>
      <c r="B1749" s="76" t="s">
        <v>11197</v>
      </c>
    </row>
    <row r="1750" spans="1:2" ht="15">
      <c r="A1750" s="77" t="s">
        <v>5678</v>
      </c>
      <c r="B1750" s="76" t="s">
        <v>11197</v>
      </c>
    </row>
    <row r="1751" spans="1:2" ht="15">
      <c r="A1751" s="77" t="s">
        <v>5679</v>
      </c>
      <c r="B1751" s="76" t="s">
        <v>11197</v>
      </c>
    </row>
    <row r="1752" spans="1:2" ht="15">
      <c r="A1752" s="77" t="s">
        <v>5680</v>
      </c>
      <c r="B1752" s="76" t="s">
        <v>11197</v>
      </c>
    </row>
    <row r="1753" spans="1:2" ht="15">
      <c r="A1753" s="77" t="s">
        <v>5681</v>
      </c>
      <c r="B1753" s="76" t="s">
        <v>11197</v>
      </c>
    </row>
    <row r="1754" spans="1:2" ht="15">
      <c r="A1754" s="77" t="s">
        <v>5682</v>
      </c>
      <c r="B1754" s="76" t="s">
        <v>11197</v>
      </c>
    </row>
    <row r="1755" spans="1:2" ht="15">
      <c r="A1755" s="77" t="s">
        <v>5683</v>
      </c>
      <c r="B1755" s="76" t="s">
        <v>11197</v>
      </c>
    </row>
    <row r="1756" spans="1:2" ht="15">
      <c r="A1756" s="77" t="s">
        <v>5684</v>
      </c>
      <c r="B1756" s="76" t="s">
        <v>11197</v>
      </c>
    </row>
    <row r="1757" spans="1:2" ht="15">
      <c r="A1757" s="77" t="s">
        <v>5685</v>
      </c>
      <c r="B1757" s="76" t="s">
        <v>11197</v>
      </c>
    </row>
    <row r="1758" spans="1:2" ht="15">
      <c r="A1758" s="77" t="s">
        <v>5686</v>
      </c>
      <c r="B1758" s="76" t="s">
        <v>11197</v>
      </c>
    </row>
    <row r="1759" spans="1:2" ht="15">
      <c r="A1759" s="77" t="s">
        <v>5687</v>
      </c>
      <c r="B1759" s="76" t="s">
        <v>11197</v>
      </c>
    </row>
    <row r="1760" spans="1:2" ht="15">
      <c r="A1760" s="77" t="s">
        <v>5688</v>
      </c>
      <c r="B1760" s="76" t="s">
        <v>11197</v>
      </c>
    </row>
    <row r="1761" spans="1:2" ht="15">
      <c r="A1761" s="77" t="s">
        <v>5689</v>
      </c>
      <c r="B1761" s="76" t="s">
        <v>11197</v>
      </c>
    </row>
    <row r="1762" spans="1:2" ht="15">
      <c r="A1762" s="77" t="s">
        <v>5690</v>
      </c>
      <c r="B1762" s="76" t="s">
        <v>11197</v>
      </c>
    </row>
    <row r="1763" spans="1:2" ht="15">
      <c r="A1763" s="77" t="s">
        <v>5691</v>
      </c>
      <c r="B1763" s="76" t="s">
        <v>11197</v>
      </c>
    </row>
    <row r="1764" spans="1:2" ht="15">
      <c r="A1764" s="77" t="s">
        <v>5692</v>
      </c>
      <c r="B1764" s="76" t="s">
        <v>11197</v>
      </c>
    </row>
    <row r="1765" spans="1:2" ht="15">
      <c r="A1765" s="77" t="s">
        <v>5693</v>
      </c>
      <c r="B1765" s="76" t="s">
        <v>11197</v>
      </c>
    </row>
    <row r="1766" spans="1:2" ht="15">
      <c r="A1766" s="77" t="s">
        <v>5694</v>
      </c>
      <c r="B1766" s="76" t="s">
        <v>11197</v>
      </c>
    </row>
    <row r="1767" spans="1:2" ht="15">
      <c r="A1767" s="77" t="s">
        <v>5695</v>
      </c>
      <c r="B1767" s="76" t="s">
        <v>11197</v>
      </c>
    </row>
    <row r="1768" spans="1:2" ht="15">
      <c r="A1768" s="77" t="s">
        <v>5696</v>
      </c>
      <c r="B1768" s="76" t="s">
        <v>11197</v>
      </c>
    </row>
    <row r="1769" spans="1:2" ht="15">
      <c r="A1769" s="77" t="s">
        <v>5697</v>
      </c>
      <c r="B1769" s="76" t="s">
        <v>11197</v>
      </c>
    </row>
    <row r="1770" spans="1:2" ht="15">
      <c r="A1770" s="77" t="s">
        <v>5698</v>
      </c>
      <c r="B1770" s="76" t="s">
        <v>11197</v>
      </c>
    </row>
    <row r="1771" spans="1:2" ht="15">
      <c r="A1771" s="77" t="s">
        <v>5699</v>
      </c>
      <c r="B1771" s="76" t="s">
        <v>11197</v>
      </c>
    </row>
    <row r="1772" spans="1:2" ht="15">
      <c r="A1772" s="77" t="s">
        <v>5700</v>
      </c>
      <c r="B1772" s="76" t="s">
        <v>11197</v>
      </c>
    </row>
    <row r="1773" spans="1:2" ht="15">
      <c r="A1773" s="77" t="s">
        <v>5701</v>
      </c>
      <c r="B1773" s="76" t="s">
        <v>11197</v>
      </c>
    </row>
    <row r="1774" spans="1:2" ht="15">
      <c r="A1774" s="77" t="s">
        <v>5702</v>
      </c>
      <c r="B1774" s="76" t="s">
        <v>11197</v>
      </c>
    </row>
    <row r="1775" spans="1:2" ht="15">
      <c r="A1775" s="77" t="s">
        <v>5703</v>
      </c>
      <c r="B1775" s="76" t="s">
        <v>11197</v>
      </c>
    </row>
    <row r="1776" spans="1:2" ht="15">
      <c r="A1776" s="77" t="s">
        <v>5704</v>
      </c>
      <c r="B1776" s="76" t="s">
        <v>11197</v>
      </c>
    </row>
    <row r="1777" spans="1:2" ht="15">
      <c r="A1777" s="77" t="s">
        <v>5705</v>
      </c>
      <c r="B1777" s="76" t="s">
        <v>11197</v>
      </c>
    </row>
    <row r="1778" spans="1:2" ht="15">
      <c r="A1778" s="77" t="s">
        <v>5706</v>
      </c>
      <c r="B1778" s="76" t="s">
        <v>11197</v>
      </c>
    </row>
    <row r="1779" spans="1:2" ht="15">
      <c r="A1779" s="77" t="s">
        <v>5707</v>
      </c>
      <c r="B1779" s="76" t="s">
        <v>11197</v>
      </c>
    </row>
    <row r="1780" spans="1:2" ht="15">
      <c r="A1780" s="77" t="s">
        <v>5708</v>
      </c>
      <c r="B1780" s="76" t="s">
        <v>11197</v>
      </c>
    </row>
    <row r="1781" spans="1:2" ht="15">
      <c r="A1781" s="77" t="s">
        <v>5709</v>
      </c>
      <c r="B1781" s="76" t="s">
        <v>11197</v>
      </c>
    </row>
    <row r="1782" spans="1:2" ht="15">
      <c r="A1782" s="77" t="s">
        <v>5710</v>
      </c>
      <c r="B1782" s="76" t="s">
        <v>11197</v>
      </c>
    </row>
    <row r="1783" spans="1:2" ht="15">
      <c r="A1783" s="77" t="s">
        <v>5711</v>
      </c>
      <c r="B1783" s="76" t="s">
        <v>11197</v>
      </c>
    </row>
    <row r="1784" spans="1:2" ht="15">
      <c r="A1784" s="77" t="s">
        <v>5712</v>
      </c>
      <c r="B1784" s="76" t="s">
        <v>11197</v>
      </c>
    </row>
    <row r="1785" spans="1:2" ht="15">
      <c r="A1785" s="77" t="s">
        <v>5713</v>
      </c>
      <c r="B1785" s="76" t="s">
        <v>11197</v>
      </c>
    </row>
    <row r="1786" spans="1:2" ht="15">
      <c r="A1786" s="77" t="s">
        <v>5714</v>
      </c>
      <c r="B1786" s="76" t="s">
        <v>11197</v>
      </c>
    </row>
    <row r="1787" spans="1:2" ht="15">
      <c r="A1787" s="77" t="s">
        <v>5715</v>
      </c>
      <c r="B1787" s="76" t="s">
        <v>11197</v>
      </c>
    </row>
    <row r="1788" spans="1:2" ht="15">
      <c r="A1788" s="77" t="s">
        <v>5716</v>
      </c>
      <c r="B1788" s="76" t="s">
        <v>11197</v>
      </c>
    </row>
    <row r="1789" spans="1:2" ht="15">
      <c r="A1789" s="77" t="s">
        <v>5717</v>
      </c>
      <c r="B1789" s="76" t="s">
        <v>11197</v>
      </c>
    </row>
    <row r="1790" spans="1:2" ht="15">
      <c r="A1790" s="77" t="s">
        <v>5718</v>
      </c>
      <c r="B1790" s="76" t="s">
        <v>11197</v>
      </c>
    </row>
    <row r="1791" spans="1:2" ht="15">
      <c r="A1791" s="77" t="s">
        <v>5719</v>
      </c>
      <c r="B1791" s="76" t="s">
        <v>11197</v>
      </c>
    </row>
    <row r="1792" spans="1:2" ht="15">
      <c r="A1792" s="77" t="s">
        <v>5720</v>
      </c>
      <c r="B1792" s="76" t="s">
        <v>11197</v>
      </c>
    </row>
    <row r="1793" spans="1:2" ht="15">
      <c r="A1793" s="77" t="s">
        <v>5721</v>
      </c>
      <c r="B1793" s="76" t="s">
        <v>11197</v>
      </c>
    </row>
    <row r="1794" spans="1:2" ht="15">
      <c r="A1794" s="77" t="s">
        <v>5722</v>
      </c>
      <c r="B1794" s="76" t="s">
        <v>11197</v>
      </c>
    </row>
    <row r="1795" spans="1:2" ht="15">
      <c r="A1795" s="77" t="s">
        <v>5723</v>
      </c>
      <c r="B1795" s="76" t="s">
        <v>11197</v>
      </c>
    </row>
    <row r="1796" spans="1:2" ht="15">
      <c r="A1796" s="77" t="s">
        <v>5724</v>
      </c>
      <c r="B1796" s="76" t="s">
        <v>11197</v>
      </c>
    </row>
    <row r="1797" spans="1:2" ht="15">
      <c r="A1797" s="77" t="s">
        <v>5725</v>
      </c>
      <c r="B1797" s="76" t="s">
        <v>11197</v>
      </c>
    </row>
    <row r="1798" spans="1:2" ht="15">
      <c r="A1798" s="77" t="s">
        <v>5726</v>
      </c>
      <c r="B1798" s="76" t="s">
        <v>11197</v>
      </c>
    </row>
    <row r="1799" spans="1:2" ht="15">
      <c r="A1799" s="77" t="s">
        <v>5727</v>
      </c>
      <c r="B1799" s="76" t="s">
        <v>11197</v>
      </c>
    </row>
    <row r="1800" spans="1:2" ht="15">
      <c r="A1800" s="77" t="s">
        <v>5728</v>
      </c>
      <c r="B1800" s="76" t="s">
        <v>11197</v>
      </c>
    </row>
    <row r="1801" spans="1:2" ht="15">
      <c r="A1801" s="77" t="s">
        <v>5729</v>
      </c>
      <c r="B1801" s="76" t="s">
        <v>11197</v>
      </c>
    </row>
    <row r="1802" spans="1:2" ht="15">
      <c r="A1802" s="77" t="s">
        <v>5730</v>
      </c>
      <c r="B1802" s="76" t="s">
        <v>11197</v>
      </c>
    </row>
    <row r="1803" spans="1:2" ht="15">
      <c r="A1803" s="77" t="s">
        <v>5731</v>
      </c>
      <c r="B1803" s="76" t="s">
        <v>11197</v>
      </c>
    </row>
    <row r="1804" spans="1:2" ht="15">
      <c r="A1804" s="77" t="s">
        <v>5732</v>
      </c>
      <c r="B1804" s="76" t="s">
        <v>11197</v>
      </c>
    </row>
    <row r="1805" spans="1:2" ht="15">
      <c r="A1805" s="77" t="s">
        <v>5733</v>
      </c>
      <c r="B1805" s="76" t="s">
        <v>11197</v>
      </c>
    </row>
    <row r="1806" spans="1:2" ht="15">
      <c r="A1806" s="77" t="s">
        <v>5734</v>
      </c>
      <c r="B1806" s="76" t="s">
        <v>11197</v>
      </c>
    </row>
    <row r="1807" spans="1:2" ht="15">
      <c r="A1807" s="77" t="s">
        <v>5735</v>
      </c>
      <c r="B1807" s="76" t="s">
        <v>11197</v>
      </c>
    </row>
    <row r="1808" spans="1:2" ht="15">
      <c r="A1808" s="77" t="s">
        <v>5736</v>
      </c>
      <c r="B1808" s="76" t="s">
        <v>11197</v>
      </c>
    </row>
    <row r="1809" spans="1:2" ht="15">
      <c r="A1809" s="77" t="s">
        <v>5737</v>
      </c>
      <c r="B1809" s="76" t="s">
        <v>11197</v>
      </c>
    </row>
    <row r="1810" spans="1:2" ht="15">
      <c r="A1810" s="77" t="s">
        <v>5738</v>
      </c>
      <c r="B1810" s="76" t="s">
        <v>11197</v>
      </c>
    </row>
    <row r="1811" spans="1:2" ht="15">
      <c r="A1811" s="77" t="s">
        <v>3884</v>
      </c>
      <c r="B1811" s="76" t="s">
        <v>11197</v>
      </c>
    </row>
    <row r="1812" spans="1:2" ht="15">
      <c r="A1812" s="77" t="s">
        <v>5739</v>
      </c>
      <c r="B1812" s="76" t="s">
        <v>11197</v>
      </c>
    </row>
    <row r="1813" spans="1:2" ht="15">
      <c r="A1813" s="77" t="s">
        <v>5740</v>
      </c>
      <c r="B1813" s="76" t="s">
        <v>11197</v>
      </c>
    </row>
    <row r="1814" spans="1:2" ht="15">
      <c r="A1814" s="77" t="s">
        <v>5741</v>
      </c>
      <c r="B1814" s="76" t="s">
        <v>11197</v>
      </c>
    </row>
    <row r="1815" spans="1:2" ht="15">
      <c r="A1815" s="77" t="s">
        <v>5742</v>
      </c>
      <c r="B1815" s="76" t="s">
        <v>11197</v>
      </c>
    </row>
    <row r="1816" spans="1:2" ht="15">
      <c r="A1816" s="77" t="s">
        <v>5743</v>
      </c>
      <c r="B1816" s="76" t="s">
        <v>11197</v>
      </c>
    </row>
    <row r="1817" spans="1:2" ht="15">
      <c r="A1817" s="77" t="s">
        <v>5744</v>
      </c>
      <c r="B1817" s="76" t="s">
        <v>11197</v>
      </c>
    </row>
    <row r="1818" spans="1:2" ht="15">
      <c r="A1818" s="77" t="s">
        <v>5745</v>
      </c>
      <c r="B1818" s="76" t="s">
        <v>11197</v>
      </c>
    </row>
    <row r="1819" spans="1:2" ht="15">
      <c r="A1819" s="77" t="s">
        <v>5746</v>
      </c>
      <c r="B1819" s="76" t="s">
        <v>11197</v>
      </c>
    </row>
    <row r="1820" spans="1:2" ht="15">
      <c r="A1820" s="77" t="s">
        <v>5747</v>
      </c>
      <c r="B1820" s="76" t="s">
        <v>11197</v>
      </c>
    </row>
    <row r="1821" spans="1:2" ht="15">
      <c r="A1821" s="77" t="s">
        <v>5748</v>
      </c>
      <c r="B1821" s="76" t="s">
        <v>11197</v>
      </c>
    </row>
    <row r="1822" spans="1:2" ht="15">
      <c r="A1822" s="77" t="s">
        <v>5749</v>
      </c>
      <c r="B1822" s="76" t="s">
        <v>11197</v>
      </c>
    </row>
    <row r="1823" spans="1:2" ht="15">
      <c r="A1823" s="77" t="s">
        <v>5750</v>
      </c>
      <c r="B1823" s="76" t="s">
        <v>11197</v>
      </c>
    </row>
    <row r="1824" spans="1:2" ht="15">
      <c r="A1824" s="77" t="s">
        <v>5751</v>
      </c>
      <c r="B1824" s="76" t="s">
        <v>11197</v>
      </c>
    </row>
    <row r="1825" spans="1:2" ht="15">
      <c r="A1825" s="77" t="s">
        <v>5752</v>
      </c>
      <c r="B1825" s="76" t="s">
        <v>11197</v>
      </c>
    </row>
    <row r="1826" spans="1:2" ht="15">
      <c r="A1826" s="77" t="s">
        <v>5753</v>
      </c>
      <c r="B1826" s="76" t="s">
        <v>11197</v>
      </c>
    </row>
    <row r="1827" spans="1:2" ht="15">
      <c r="A1827" s="77" t="s">
        <v>5754</v>
      </c>
      <c r="B1827" s="76" t="s">
        <v>11197</v>
      </c>
    </row>
    <row r="1828" spans="1:2" ht="15">
      <c r="A1828" s="77" t="s">
        <v>5755</v>
      </c>
      <c r="B1828" s="76" t="s">
        <v>11197</v>
      </c>
    </row>
    <row r="1829" spans="1:2" ht="15">
      <c r="A1829" s="77" t="s">
        <v>5756</v>
      </c>
      <c r="B1829" s="76" t="s">
        <v>11197</v>
      </c>
    </row>
    <row r="1830" spans="1:2" ht="15">
      <c r="A1830" s="77" t="s">
        <v>5757</v>
      </c>
      <c r="B1830" s="76" t="s">
        <v>11197</v>
      </c>
    </row>
    <row r="1831" spans="1:2" ht="15">
      <c r="A1831" s="77" t="s">
        <v>5758</v>
      </c>
      <c r="B1831" s="76" t="s">
        <v>11197</v>
      </c>
    </row>
    <row r="1832" spans="1:2" ht="15">
      <c r="A1832" s="77" t="s">
        <v>5759</v>
      </c>
      <c r="B1832" s="76" t="s">
        <v>11197</v>
      </c>
    </row>
    <row r="1833" spans="1:2" ht="15">
      <c r="A1833" s="77" t="s">
        <v>5760</v>
      </c>
      <c r="B1833" s="76" t="s">
        <v>11197</v>
      </c>
    </row>
    <row r="1834" spans="1:2" ht="15">
      <c r="A1834" s="77" t="s">
        <v>5761</v>
      </c>
      <c r="B1834" s="76" t="s">
        <v>11197</v>
      </c>
    </row>
    <row r="1835" spans="1:2" ht="15">
      <c r="A1835" s="77" t="s">
        <v>5762</v>
      </c>
      <c r="B1835" s="76" t="s">
        <v>11197</v>
      </c>
    </row>
    <row r="1836" spans="1:2" ht="15">
      <c r="A1836" s="77" t="s">
        <v>5763</v>
      </c>
      <c r="B1836" s="76" t="s">
        <v>11197</v>
      </c>
    </row>
    <row r="1837" spans="1:2" ht="15">
      <c r="A1837" s="77" t="s">
        <v>5764</v>
      </c>
      <c r="B1837" s="76" t="s">
        <v>11197</v>
      </c>
    </row>
    <row r="1838" spans="1:2" ht="15">
      <c r="A1838" s="77" t="s">
        <v>5765</v>
      </c>
      <c r="B1838" s="76" t="s">
        <v>11197</v>
      </c>
    </row>
    <row r="1839" spans="1:2" ht="15">
      <c r="A1839" s="77" t="s">
        <v>5766</v>
      </c>
      <c r="B1839" s="76" t="s">
        <v>11197</v>
      </c>
    </row>
    <row r="1840" spans="1:2" ht="15">
      <c r="A1840" s="77" t="s">
        <v>5767</v>
      </c>
      <c r="B1840" s="76" t="s">
        <v>11197</v>
      </c>
    </row>
    <row r="1841" spans="1:2" ht="15">
      <c r="A1841" s="77" t="s">
        <v>5768</v>
      </c>
      <c r="B1841" s="76" t="s">
        <v>11197</v>
      </c>
    </row>
    <row r="1842" spans="1:2" ht="15">
      <c r="A1842" s="77" t="s">
        <v>5769</v>
      </c>
      <c r="B1842" s="76" t="s">
        <v>11197</v>
      </c>
    </row>
    <row r="1843" spans="1:2" ht="15">
      <c r="A1843" s="77" t="s">
        <v>5770</v>
      </c>
      <c r="B1843" s="76" t="s">
        <v>11197</v>
      </c>
    </row>
    <row r="1844" spans="1:2" ht="15">
      <c r="A1844" s="77" t="s">
        <v>5771</v>
      </c>
      <c r="B1844" s="76" t="s">
        <v>11197</v>
      </c>
    </row>
    <row r="1845" spans="1:2" ht="15">
      <c r="A1845" s="77" t="s">
        <v>5772</v>
      </c>
      <c r="B1845" s="76" t="s">
        <v>11197</v>
      </c>
    </row>
    <row r="1846" spans="1:2" ht="15">
      <c r="A1846" s="77" t="s">
        <v>5773</v>
      </c>
      <c r="B1846" s="76" t="s">
        <v>11197</v>
      </c>
    </row>
    <row r="1847" spans="1:2" ht="15">
      <c r="A1847" s="77" t="s">
        <v>5774</v>
      </c>
      <c r="B1847" s="76" t="s">
        <v>11197</v>
      </c>
    </row>
    <row r="1848" spans="1:2" ht="15">
      <c r="A1848" s="77" t="s">
        <v>5775</v>
      </c>
      <c r="B1848" s="76" t="s">
        <v>11197</v>
      </c>
    </row>
    <row r="1849" spans="1:2" ht="15">
      <c r="A1849" s="77" t="s">
        <v>5776</v>
      </c>
      <c r="B1849" s="76" t="s">
        <v>11197</v>
      </c>
    </row>
    <row r="1850" spans="1:2" ht="15">
      <c r="A1850" s="77" t="s">
        <v>5777</v>
      </c>
      <c r="B1850" s="76" t="s">
        <v>11197</v>
      </c>
    </row>
    <row r="1851" spans="1:2" ht="15">
      <c r="A1851" s="77" t="s">
        <v>5778</v>
      </c>
      <c r="B1851" s="76" t="s">
        <v>11197</v>
      </c>
    </row>
    <row r="1852" spans="1:2" ht="15">
      <c r="A1852" s="77" t="s">
        <v>5779</v>
      </c>
      <c r="B1852" s="76" t="s">
        <v>11197</v>
      </c>
    </row>
    <row r="1853" spans="1:2" ht="15">
      <c r="A1853" s="77" t="s">
        <v>3133</v>
      </c>
      <c r="B1853" s="76" t="s">
        <v>11197</v>
      </c>
    </row>
    <row r="1854" spans="1:2" ht="15">
      <c r="A1854" s="77" t="s">
        <v>5780</v>
      </c>
      <c r="B1854" s="76" t="s">
        <v>11197</v>
      </c>
    </row>
    <row r="1855" spans="1:2" ht="15">
      <c r="A1855" s="77" t="s">
        <v>5781</v>
      </c>
      <c r="B1855" s="76" t="s">
        <v>11197</v>
      </c>
    </row>
    <row r="1856" spans="1:2" ht="15">
      <c r="A1856" s="77" t="s">
        <v>5782</v>
      </c>
      <c r="B1856" s="76" t="s">
        <v>11197</v>
      </c>
    </row>
    <row r="1857" spans="1:2" ht="15">
      <c r="A1857" s="77" t="s">
        <v>5783</v>
      </c>
      <c r="B1857" s="76" t="s">
        <v>11197</v>
      </c>
    </row>
    <row r="1858" spans="1:2" ht="15">
      <c r="A1858" s="77" t="s">
        <v>5784</v>
      </c>
      <c r="B1858" s="76" t="s">
        <v>11197</v>
      </c>
    </row>
    <row r="1859" spans="1:2" ht="15">
      <c r="A1859" s="77" t="s">
        <v>5785</v>
      </c>
      <c r="B1859" s="76" t="s">
        <v>11197</v>
      </c>
    </row>
    <row r="1860" spans="1:2" ht="15">
      <c r="A1860" s="77" t="s">
        <v>5786</v>
      </c>
      <c r="B1860" s="76" t="s">
        <v>11197</v>
      </c>
    </row>
    <row r="1861" spans="1:2" ht="15">
      <c r="A1861" s="77" t="s">
        <v>5787</v>
      </c>
      <c r="B1861" s="76" t="s">
        <v>11197</v>
      </c>
    </row>
    <row r="1862" spans="1:2" ht="15">
      <c r="A1862" s="77" t="s">
        <v>5788</v>
      </c>
      <c r="B1862" s="76" t="s">
        <v>11197</v>
      </c>
    </row>
    <row r="1863" spans="1:2" ht="15">
      <c r="A1863" s="77" t="s">
        <v>5789</v>
      </c>
      <c r="B1863" s="76" t="s">
        <v>11197</v>
      </c>
    </row>
    <row r="1864" spans="1:2" ht="15">
      <c r="A1864" s="77" t="s">
        <v>5790</v>
      </c>
      <c r="B1864" s="76" t="s">
        <v>11197</v>
      </c>
    </row>
    <row r="1865" spans="1:2" ht="15">
      <c r="A1865" s="77" t="s">
        <v>5791</v>
      </c>
      <c r="B1865" s="76" t="s">
        <v>11197</v>
      </c>
    </row>
    <row r="1866" spans="1:2" ht="15">
      <c r="A1866" s="77" t="s">
        <v>5792</v>
      </c>
      <c r="B1866" s="76" t="s">
        <v>11197</v>
      </c>
    </row>
    <row r="1867" spans="1:2" ht="15">
      <c r="A1867" s="77" t="s">
        <v>5793</v>
      </c>
      <c r="B1867" s="76" t="s">
        <v>11197</v>
      </c>
    </row>
    <row r="1868" spans="1:2" ht="15">
      <c r="A1868" s="77" t="s">
        <v>5794</v>
      </c>
      <c r="B1868" s="76" t="s">
        <v>11197</v>
      </c>
    </row>
    <row r="1869" spans="1:2" ht="15">
      <c r="A1869" s="77" t="s">
        <v>5795</v>
      </c>
      <c r="B1869" s="76" t="s">
        <v>11197</v>
      </c>
    </row>
    <row r="1870" spans="1:2" ht="15">
      <c r="A1870" s="77" t="s">
        <v>5796</v>
      </c>
      <c r="B1870" s="76" t="s">
        <v>11197</v>
      </c>
    </row>
    <row r="1871" spans="1:2" ht="15">
      <c r="A1871" s="77" t="s">
        <v>5797</v>
      </c>
      <c r="B1871" s="76" t="s">
        <v>11197</v>
      </c>
    </row>
    <row r="1872" spans="1:2" ht="15">
      <c r="A1872" s="77" t="s">
        <v>5798</v>
      </c>
      <c r="B1872" s="76" t="s">
        <v>11197</v>
      </c>
    </row>
    <row r="1873" spans="1:2" ht="15">
      <c r="A1873" s="77" t="s">
        <v>5799</v>
      </c>
      <c r="B1873" s="76" t="s">
        <v>11197</v>
      </c>
    </row>
    <row r="1874" spans="1:2" ht="15">
      <c r="A1874" s="77" t="s">
        <v>5800</v>
      </c>
      <c r="B1874" s="76" t="s">
        <v>11197</v>
      </c>
    </row>
    <row r="1875" spans="1:2" ht="15">
      <c r="A1875" s="77" t="s">
        <v>5801</v>
      </c>
      <c r="B1875" s="76" t="s">
        <v>11197</v>
      </c>
    </row>
    <row r="1876" spans="1:2" ht="15">
      <c r="A1876" s="77" t="s">
        <v>5802</v>
      </c>
      <c r="B1876" s="76" t="s">
        <v>11197</v>
      </c>
    </row>
    <row r="1877" spans="1:2" ht="15">
      <c r="A1877" s="77" t="s">
        <v>5803</v>
      </c>
      <c r="B1877" s="76" t="s">
        <v>11197</v>
      </c>
    </row>
    <row r="1878" spans="1:2" ht="15">
      <c r="A1878" s="77" t="s">
        <v>5804</v>
      </c>
      <c r="B1878" s="76" t="s">
        <v>11197</v>
      </c>
    </row>
    <row r="1879" spans="1:2" ht="15">
      <c r="A1879" s="77" t="s">
        <v>5805</v>
      </c>
      <c r="B1879" s="76" t="s">
        <v>11197</v>
      </c>
    </row>
    <row r="1880" spans="1:2" ht="15">
      <c r="A1880" s="77" t="s">
        <v>5806</v>
      </c>
      <c r="B1880" s="76" t="s">
        <v>11197</v>
      </c>
    </row>
    <row r="1881" spans="1:2" ht="15">
      <c r="A1881" s="77" t="s">
        <v>5807</v>
      </c>
      <c r="B1881" s="76" t="s">
        <v>11197</v>
      </c>
    </row>
    <row r="1882" spans="1:2" ht="15">
      <c r="A1882" s="77" t="s">
        <v>5808</v>
      </c>
      <c r="B1882" s="76" t="s">
        <v>11197</v>
      </c>
    </row>
    <row r="1883" spans="1:2" ht="15">
      <c r="A1883" s="77" t="s">
        <v>5809</v>
      </c>
      <c r="B1883" s="76" t="s">
        <v>11197</v>
      </c>
    </row>
    <row r="1884" spans="1:2" ht="15">
      <c r="A1884" s="77" t="s">
        <v>5810</v>
      </c>
      <c r="B1884" s="76" t="s">
        <v>11197</v>
      </c>
    </row>
    <row r="1885" spans="1:2" ht="15">
      <c r="A1885" s="77" t="s">
        <v>5811</v>
      </c>
      <c r="B1885" s="76" t="s">
        <v>11197</v>
      </c>
    </row>
    <row r="1886" spans="1:2" ht="15">
      <c r="A1886" s="77" t="s">
        <v>5812</v>
      </c>
      <c r="B1886" s="76" t="s">
        <v>11197</v>
      </c>
    </row>
    <row r="1887" spans="1:2" ht="15">
      <c r="A1887" s="77" t="s">
        <v>5813</v>
      </c>
      <c r="B1887" s="76" t="s">
        <v>11197</v>
      </c>
    </row>
    <row r="1888" spans="1:2" ht="15">
      <c r="A1888" s="77" t="s">
        <v>5814</v>
      </c>
      <c r="B1888" s="76" t="s">
        <v>11197</v>
      </c>
    </row>
    <row r="1889" spans="1:2" ht="15">
      <c r="A1889" s="77" t="s">
        <v>5815</v>
      </c>
      <c r="B1889" s="76" t="s">
        <v>11197</v>
      </c>
    </row>
    <row r="1890" spans="1:2" ht="15">
      <c r="A1890" s="77" t="s">
        <v>5816</v>
      </c>
      <c r="B1890" s="76" t="s">
        <v>11197</v>
      </c>
    </row>
    <row r="1891" spans="1:2" ht="15">
      <c r="A1891" s="77" t="s">
        <v>5817</v>
      </c>
      <c r="B1891" s="76" t="s">
        <v>11197</v>
      </c>
    </row>
    <row r="1892" spans="1:2" ht="15">
      <c r="A1892" s="77" t="s">
        <v>5818</v>
      </c>
      <c r="B1892" s="76" t="s">
        <v>11197</v>
      </c>
    </row>
    <row r="1893" spans="1:2" ht="15">
      <c r="A1893" s="77" t="s">
        <v>5819</v>
      </c>
      <c r="B1893" s="76" t="s">
        <v>11197</v>
      </c>
    </row>
    <row r="1894" spans="1:2" ht="15">
      <c r="A1894" s="77" t="s">
        <v>5820</v>
      </c>
      <c r="B1894" s="76" t="s">
        <v>11197</v>
      </c>
    </row>
    <row r="1895" spans="1:2" ht="15">
      <c r="A1895" s="77" t="s">
        <v>5821</v>
      </c>
      <c r="B1895" s="76" t="s">
        <v>11197</v>
      </c>
    </row>
    <row r="1896" spans="1:2" ht="15">
      <c r="A1896" s="77" t="s">
        <v>5822</v>
      </c>
      <c r="B1896" s="76" t="s">
        <v>11197</v>
      </c>
    </row>
    <row r="1897" spans="1:2" ht="15">
      <c r="A1897" s="77" t="s">
        <v>5823</v>
      </c>
      <c r="B1897" s="76" t="s">
        <v>11197</v>
      </c>
    </row>
    <row r="1898" spans="1:2" ht="15">
      <c r="A1898" s="77" t="s">
        <v>5824</v>
      </c>
      <c r="B1898" s="76" t="s">
        <v>11197</v>
      </c>
    </row>
    <row r="1899" spans="1:2" ht="15">
      <c r="A1899" s="77" t="s">
        <v>5825</v>
      </c>
      <c r="B1899" s="76" t="s">
        <v>11197</v>
      </c>
    </row>
    <row r="1900" spans="1:2" ht="15">
      <c r="A1900" s="77" t="s">
        <v>5826</v>
      </c>
      <c r="B1900" s="76" t="s">
        <v>11197</v>
      </c>
    </row>
    <row r="1901" spans="1:2" ht="15">
      <c r="A1901" s="77" t="s">
        <v>5827</v>
      </c>
      <c r="B1901" s="76" t="s">
        <v>11197</v>
      </c>
    </row>
    <row r="1902" spans="1:2" ht="15">
      <c r="A1902" s="77" t="s">
        <v>5828</v>
      </c>
      <c r="B1902" s="76" t="s">
        <v>11197</v>
      </c>
    </row>
    <row r="1903" spans="1:2" ht="15">
      <c r="A1903" s="77" t="s">
        <v>5829</v>
      </c>
      <c r="B1903" s="76" t="s">
        <v>11197</v>
      </c>
    </row>
    <row r="1904" spans="1:2" ht="15">
      <c r="A1904" s="77" t="s">
        <v>5830</v>
      </c>
      <c r="B1904" s="76" t="s">
        <v>11197</v>
      </c>
    </row>
    <row r="1905" spans="1:2" ht="15">
      <c r="A1905" s="77" t="s">
        <v>5831</v>
      </c>
      <c r="B1905" s="76" t="s">
        <v>11197</v>
      </c>
    </row>
    <row r="1906" spans="1:2" ht="15">
      <c r="A1906" s="77" t="s">
        <v>5832</v>
      </c>
      <c r="B1906" s="76" t="s">
        <v>11197</v>
      </c>
    </row>
    <row r="1907" spans="1:2" ht="15">
      <c r="A1907" s="77" t="s">
        <v>5833</v>
      </c>
      <c r="B1907" s="76" t="s">
        <v>11197</v>
      </c>
    </row>
    <row r="1908" spans="1:2" ht="15">
      <c r="A1908" s="77" t="s">
        <v>5834</v>
      </c>
      <c r="B1908" s="76" t="s">
        <v>11197</v>
      </c>
    </row>
    <row r="1909" spans="1:2" ht="15">
      <c r="A1909" s="77" t="s">
        <v>5835</v>
      </c>
      <c r="B1909" s="76" t="s">
        <v>11197</v>
      </c>
    </row>
    <row r="1910" spans="1:2" ht="15">
      <c r="A1910" s="77" t="s">
        <v>5836</v>
      </c>
      <c r="B1910" s="76" t="s">
        <v>11197</v>
      </c>
    </row>
    <row r="1911" spans="1:2" ht="15">
      <c r="A1911" s="77" t="s">
        <v>5837</v>
      </c>
      <c r="B1911" s="76" t="s">
        <v>11197</v>
      </c>
    </row>
    <row r="1912" spans="1:2" ht="15">
      <c r="A1912" s="77" t="s">
        <v>5838</v>
      </c>
      <c r="B1912" s="76" t="s">
        <v>11197</v>
      </c>
    </row>
    <row r="1913" spans="1:2" ht="15">
      <c r="A1913" s="77" t="s">
        <v>5839</v>
      </c>
      <c r="B1913" s="76" t="s">
        <v>11197</v>
      </c>
    </row>
    <row r="1914" spans="1:2" ht="15">
      <c r="A1914" s="77" t="s">
        <v>5840</v>
      </c>
      <c r="B1914" s="76" t="s">
        <v>11197</v>
      </c>
    </row>
    <row r="1915" spans="1:2" ht="15">
      <c r="A1915" s="77" t="s">
        <v>5841</v>
      </c>
      <c r="B1915" s="76" t="s">
        <v>11197</v>
      </c>
    </row>
    <row r="1916" spans="1:2" ht="15">
      <c r="A1916" s="77" t="s">
        <v>5842</v>
      </c>
      <c r="B1916" s="76" t="s">
        <v>11197</v>
      </c>
    </row>
    <row r="1917" spans="1:2" ht="15">
      <c r="A1917" s="77" t="s">
        <v>5843</v>
      </c>
      <c r="B1917" s="76" t="s">
        <v>11197</v>
      </c>
    </row>
    <row r="1918" spans="1:2" ht="15">
      <c r="A1918" s="77" t="s">
        <v>3857</v>
      </c>
      <c r="B1918" s="76" t="s">
        <v>11197</v>
      </c>
    </row>
    <row r="1919" spans="1:2" ht="15">
      <c r="A1919" s="77" t="s">
        <v>5844</v>
      </c>
      <c r="B1919" s="76" t="s">
        <v>11197</v>
      </c>
    </row>
    <row r="1920" spans="1:2" ht="15">
      <c r="A1920" s="77" t="s">
        <v>5845</v>
      </c>
      <c r="B1920" s="76" t="s">
        <v>11197</v>
      </c>
    </row>
    <row r="1921" spans="1:2" ht="15">
      <c r="A1921" s="77" t="s">
        <v>5846</v>
      </c>
      <c r="B1921" s="76" t="s">
        <v>11197</v>
      </c>
    </row>
    <row r="1922" spans="1:2" ht="15">
      <c r="A1922" s="77" t="s">
        <v>5847</v>
      </c>
      <c r="B1922" s="76" t="s">
        <v>11197</v>
      </c>
    </row>
    <row r="1923" spans="1:2" ht="15">
      <c r="A1923" s="77" t="s">
        <v>5848</v>
      </c>
      <c r="B1923" s="76" t="s">
        <v>11197</v>
      </c>
    </row>
    <row r="1924" spans="1:2" ht="15">
      <c r="A1924" s="77" t="s">
        <v>5849</v>
      </c>
      <c r="B1924" s="76" t="s">
        <v>11197</v>
      </c>
    </row>
    <row r="1925" spans="1:2" ht="15">
      <c r="A1925" s="77" t="s">
        <v>5850</v>
      </c>
      <c r="B1925" s="76" t="s">
        <v>11197</v>
      </c>
    </row>
    <row r="1926" spans="1:2" ht="15">
      <c r="A1926" s="77" t="s">
        <v>5851</v>
      </c>
      <c r="B1926" s="76" t="s">
        <v>11197</v>
      </c>
    </row>
    <row r="1927" spans="1:2" ht="15">
      <c r="A1927" s="77" t="s">
        <v>5852</v>
      </c>
      <c r="B1927" s="76" t="s">
        <v>11197</v>
      </c>
    </row>
    <row r="1928" spans="1:2" ht="15">
      <c r="A1928" s="77" t="s">
        <v>5853</v>
      </c>
      <c r="B1928" s="76" t="s">
        <v>11197</v>
      </c>
    </row>
    <row r="1929" spans="1:2" ht="15">
      <c r="A1929" s="77" t="s">
        <v>5854</v>
      </c>
      <c r="B1929" s="76" t="s">
        <v>11197</v>
      </c>
    </row>
    <row r="1930" spans="1:2" ht="15">
      <c r="A1930" s="77" t="s">
        <v>5855</v>
      </c>
      <c r="B1930" s="76" t="s">
        <v>11197</v>
      </c>
    </row>
    <row r="1931" spans="1:2" ht="15">
      <c r="A1931" s="77" t="s">
        <v>5856</v>
      </c>
      <c r="B1931" s="76" t="s">
        <v>11197</v>
      </c>
    </row>
    <row r="1932" spans="1:2" ht="15">
      <c r="A1932" s="77" t="s">
        <v>5857</v>
      </c>
      <c r="B1932" s="76" t="s">
        <v>11197</v>
      </c>
    </row>
    <row r="1933" spans="1:2" ht="15">
      <c r="A1933" s="77" t="s">
        <v>5858</v>
      </c>
      <c r="B1933" s="76" t="s">
        <v>11197</v>
      </c>
    </row>
    <row r="1934" spans="1:2" ht="15">
      <c r="A1934" s="77" t="s">
        <v>5859</v>
      </c>
      <c r="B1934" s="76" t="s">
        <v>11197</v>
      </c>
    </row>
    <row r="1935" spans="1:2" ht="15">
      <c r="A1935" s="77" t="s">
        <v>5860</v>
      </c>
      <c r="B1935" s="76" t="s">
        <v>11197</v>
      </c>
    </row>
    <row r="1936" spans="1:2" ht="15">
      <c r="A1936" s="77" t="s">
        <v>5861</v>
      </c>
      <c r="B1936" s="76" t="s">
        <v>11197</v>
      </c>
    </row>
    <row r="1937" spans="1:2" ht="15">
      <c r="A1937" s="77" t="s">
        <v>5862</v>
      </c>
      <c r="B1937" s="76" t="s">
        <v>11197</v>
      </c>
    </row>
    <row r="1938" spans="1:2" ht="15">
      <c r="A1938" s="77" t="s">
        <v>5863</v>
      </c>
      <c r="B1938" s="76" t="s">
        <v>11197</v>
      </c>
    </row>
    <row r="1939" spans="1:2" ht="15">
      <c r="A1939" s="77" t="s">
        <v>5864</v>
      </c>
      <c r="B1939" s="76" t="s">
        <v>11197</v>
      </c>
    </row>
    <row r="1940" spans="1:2" ht="15">
      <c r="A1940" s="77" t="s">
        <v>5865</v>
      </c>
      <c r="B1940" s="76" t="s">
        <v>11197</v>
      </c>
    </row>
    <row r="1941" spans="1:2" ht="15">
      <c r="A1941" s="77" t="s">
        <v>5866</v>
      </c>
      <c r="B1941" s="76" t="s">
        <v>11197</v>
      </c>
    </row>
    <row r="1942" spans="1:2" ht="15">
      <c r="A1942" s="77" t="s">
        <v>5867</v>
      </c>
      <c r="B1942" s="76" t="s">
        <v>11197</v>
      </c>
    </row>
    <row r="1943" spans="1:2" ht="15">
      <c r="A1943" s="77" t="s">
        <v>5868</v>
      </c>
      <c r="B1943" s="76" t="s">
        <v>11197</v>
      </c>
    </row>
    <row r="1944" spans="1:2" ht="15">
      <c r="A1944" s="77" t="s">
        <v>5869</v>
      </c>
      <c r="B1944" s="76" t="s">
        <v>11197</v>
      </c>
    </row>
    <row r="1945" spans="1:2" ht="15">
      <c r="A1945" s="77" t="s">
        <v>5870</v>
      </c>
      <c r="B1945" s="76" t="s">
        <v>11197</v>
      </c>
    </row>
    <row r="1946" spans="1:2" ht="15">
      <c r="A1946" s="77" t="s">
        <v>5871</v>
      </c>
      <c r="B1946" s="76" t="s">
        <v>11197</v>
      </c>
    </row>
    <row r="1947" spans="1:2" ht="15">
      <c r="A1947" s="77" t="s">
        <v>5872</v>
      </c>
      <c r="B1947" s="76" t="s">
        <v>11197</v>
      </c>
    </row>
    <row r="1948" spans="1:2" ht="15">
      <c r="A1948" s="77" t="s">
        <v>3921</v>
      </c>
      <c r="B1948" s="76" t="s">
        <v>11197</v>
      </c>
    </row>
    <row r="1949" spans="1:2" ht="15">
      <c r="A1949" s="77" t="s">
        <v>5873</v>
      </c>
      <c r="B1949" s="76" t="s">
        <v>11197</v>
      </c>
    </row>
    <row r="1950" spans="1:2" ht="15">
      <c r="A1950" s="77" t="s">
        <v>5874</v>
      </c>
      <c r="B1950" s="76" t="s">
        <v>11197</v>
      </c>
    </row>
    <row r="1951" spans="1:2" ht="15">
      <c r="A1951" s="77" t="s">
        <v>5875</v>
      </c>
      <c r="B1951" s="76" t="s">
        <v>11197</v>
      </c>
    </row>
    <row r="1952" spans="1:2" ht="15">
      <c r="A1952" s="77" t="s">
        <v>5876</v>
      </c>
      <c r="B1952" s="76" t="s">
        <v>11197</v>
      </c>
    </row>
    <row r="1953" spans="1:2" ht="15">
      <c r="A1953" s="77" t="s">
        <v>5877</v>
      </c>
      <c r="B1953" s="76" t="s">
        <v>11197</v>
      </c>
    </row>
    <row r="1954" spans="1:2" ht="15">
      <c r="A1954" s="77" t="s">
        <v>5878</v>
      </c>
      <c r="B1954" s="76" t="s">
        <v>11197</v>
      </c>
    </row>
    <row r="1955" spans="1:2" ht="15">
      <c r="A1955" s="77" t="s">
        <v>5879</v>
      </c>
      <c r="B1955" s="76" t="s">
        <v>11197</v>
      </c>
    </row>
    <row r="1956" spans="1:2" ht="15">
      <c r="A1956" s="77" t="s">
        <v>5880</v>
      </c>
      <c r="B1956" s="76" t="s">
        <v>11197</v>
      </c>
    </row>
    <row r="1957" spans="1:2" ht="15">
      <c r="A1957" s="77" t="s">
        <v>5881</v>
      </c>
      <c r="B1957" s="76" t="s">
        <v>11197</v>
      </c>
    </row>
    <row r="1958" spans="1:2" ht="15">
      <c r="A1958" s="77" t="s">
        <v>5882</v>
      </c>
      <c r="B1958" s="76" t="s">
        <v>11197</v>
      </c>
    </row>
    <row r="1959" spans="1:2" ht="15">
      <c r="A1959" s="77" t="s">
        <v>5883</v>
      </c>
      <c r="B1959" s="76" t="s">
        <v>11197</v>
      </c>
    </row>
    <row r="1960" spans="1:2" ht="15">
      <c r="A1960" s="77" t="s">
        <v>5884</v>
      </c>
      <c r="B1960" s="76" t="s">
        <v>11197</v>
      </c>
    </row>
    <row r="1961" spans="1:2" ht="15">
      <c r="A1961" s="77" t="s">
        <v>5885</v>
      </c>
      <c r="B1961" s="76" t="s">
        <v>11197</v>
      </c>
    </row>
    <row r="1962" spans="1:2" ht="15">
      <c r="A1962" s="77" t="s">
        <v>5886</v>
      </c>
      <c r="B1962" s="76" t="s">
        <v>11197</v>
      </c>
    </row>
    <row r="1963" spans="1:2" ht="15">
      <c r="A1963" s="77" t="s">
        <v>5887</v>
      </c>
      <c r="B1963" s="76" t="s">
        <v>11197</v>
      </c>
    </row>
    <row r="1964" spans="1:2" ht="15">
      <c r="A1964" s="77" t="s">
        <v>5888</v>
      </c>
      <c r="B1964" s="76" t="s">
        <v>11197</v>
      </c>
    </row>
    <row r="1965" spans="1:2" ht="15">
      <c r="A1965" s="77" t="s">
        <v>5889</v>
      </c>
      <c r="B1965" s="76" t="s">
        <v>11197</v>
      </c>
    </row>
    <row r="1966" spans="1:2" ht="15">
      <c r="A1966" s="77" t="s">
        <v>5890</v>
      </c>
      <c r="B1966" s="76" t="s">
        <v>11197</v>
      </c>
    </row>
    <row r="1967" spans="1:2" ht="15">
      <c r="A1967" s="77" t="s">
        <v>5891</v>
      </c>
      <c r="B1967" s="76" t="s">
        <v>11197</v>
      </c>
    </row>
    <row r="1968" spans="1:2" ht="15">
      <c r="A1968" s="77" t="s">
        <v>5892</v>
      </c>
      <c r="B1968" s="76" t="s">
        <v>11197</v>
      </c>
    </row>
    <row r="1969" spans="1:2" ht="15">
      <c r="A1969" s="77" t="s">
        <v>5893</v>
      </c>
      <c r="B1969" s="76" t="s">
        <v>11197</v>
      </c>
    </row>
    <row r="1970" spans="1:2" ht="15">
      <c r="A1970" s="77" t="s">
        <v>5894</v>
      </c>
      <c r="B1970" s="76" t="s">
        <v>11197</v>
      </c>
    </row>
    <row r="1971" spans="1:2" ht="15">
      <c r="A1971" s="77" t="s">
        <v>5895</v>
      </c>
      <c r="B1971" s="76" t="s">
        <v>11197</v>
      </c>
    </row>
    <row r="1972" spans="1:2" ht="15">
      <c r="A1972" s="77" t="s">
        <v>5896</v>
      </c>
      <c r="B1972" s="76" t="s">
        <v>11197</v>
      </c>
    </row>
    <row r="1973" spans="1:2" ht="15">
      <c r="A1973" s="77" t="s">
        <v>5897</v>
      </c>
      <c r="B1973" s="76" t="s">
        <v>11197</v>
      </c>
    </row>
    <row r="1974" spans="1:2" ht="15">
      <c r="A1974" s="77" t="s">
        <v>5898</v>
      </c>
      <c r="B1974" s="76" t="s">
        <v>11197</v>
      </c>
    </row>
    <row r="1975" spans="1:2" ht="15">
      <c r="A1975" s="77" t="s">
        <v>5899</v>
      </c>
      <c r="B1975" s="76" t="s">
        <v>11197</v>
      </c>
    </row>
    <row r="1976" spans="1:2" ht="15">
      <c r="A1976" s="77" t="s">
        <v>5900</v>
      </c>
      <c r="B1976" s="76" t="s">
        <v>11197</v>
      </c>
    </row>
    <row r="1977" spans="1:2" ht="15">
      <c r="A1977" s="77" t="s">
        <v>5901</v>
      </c>
      <c r="B1977" s="76" t="s">
        <v>11197</v>
      </c>
    </row>
    <row r="1978" spans="1:2" ht="15">
      <c r="A1978" s="77" t="s">
        <v>5902</v>
      </c>
      <c r="B1978" s="76" t="s">
        <v>11197</v>
      </c>
    </row>
    <row r="1979" spans="1:2" ht="15">
      <c r="A1979" s="77" t="s">
        <v>5903</v>
      </c>
      <c r="B1979" s="76" t="s">
        <v>11197</v>
      </c>
    </row>
    <row r="1980" spans="1:2" ht="15">
      <c r="A1980" s="77" t="s">
        <v>5904</v>
      </c>
      <c r="B1980" s="76" t="s">
        <v>11197</v>
      </c>
    </row>
    <row r="1981" spans="1:2" ht="15">
      <c r="A1981" s="77" t="s">
        <v>5905</v>
      </c>
      <c r="B1981" s="76" t="s">
        <v>11197</v>
      </c>
    </row>
    <row r="1982" spans="1:2" ht="15">
      <c r="A1982" s="77" t="s">
        <v>5906</v>
      </c>
      <c r="B1982" s="76" t="s">
        <v>11197</v>
      </c>
    </row>
    <row r="1983" spans="1:2" ht="15">
      <c r="A1983" s="77" t="s">
        <v>5907</v>
      </c>
      <c r="B1983" s="76" t="s">
        <v>11197</v>
      </c>
    </row>
    <row r="1984" spans="1:2" ht="15">
      <c r="A1984" s="77" t="s">
        <v>5908</v>
      </c>
      <c r="B1984" s="76" t="s">
        <v>11197</v>
      </c>
    </row>
    <row r="1985" spans="1:2" ht="15">
      <c r="A1985" s="77" t="s">
        <v>5909</v>
      </c>
      <c r="B1985" s="76" t="s">
        <v>11197</v>
      </c>
    </row>
    <row r="1986" spans="1:2" ht="15">
      <c r="A1986" s="77" t="s">
        <v>5910</v>
      </c>
      <c r="B1986" s="76" t="s">
        <v>11197</v>
      </c>
    </row>
    <row r="1987" spans="1:2" ht="15">
      <c r="A1987" s="77" t="s">
        <v>5911</v>
      </c>
      <c r="B1987" s="76" t="s">
        <v>11197</v>
      </c>
    </row>
    <row r="1988" spans="1:2" ht="15">
      <c r="A1988" s="77" t="s">
        <v>5912</v>
      </c>
      <c r="B1988" s="76" t="s">
        <v>11197</v>
      </c>
    </row>
    <row r="1989" spans="1:2" ht="15">
      <c r="A1989" s="77" t="s">
        <v>5913</v>
      </c>
      <c r="B1989" s="76" t="s">
        <v>11197</v>
      </c>
    </row>
    <row r="1990" spans="1:2" ht="15">
      <c r="A1990" s="77" t="s">
        <v>5914</v>
      </c>
      <c r="B1990" s="76" t="s">
        <v>11197</v>
      </c>
    </row>
    <row r="1991" spans="1:2" ht="15">
      <c r="A1991" s="77" t="s">
        <v>5915</v>
      </c>
      <c r="B1991" s="76" t="s">
        <v>11197</v>
      </c>
    </row>
    <row r="1992" spans="1:2" ht="15">
      <c r="A1992" s="77" t="s">
        <v>5916</v>
      </c>
      <c r="B1992" s="76" t="s">
        <v>11197</v>
      </c>
    </row>
    <row r="1993" spans="1:2" ht="15">
      <c r="A1993" s="77" t="s">
        <v>5917</v>
      </c>
      <c r="B1993" s="76" t="s">
        <v>11197</v>
      </c>
    </row>
    <row r="1994" spans="1:2" ht="15">
      <c r="A1994" s="77" t="s">
        <v>5918</v>
      </c>
      <c r="B1994" s="76" t="s">
        <v>11197</v>
      </c>
    </row>
    <row r="1995" spans="1:2" ht="15">
      <c r="A1995" s="77" t="s">
        <v>5919</v>
      </c>
      <c r="B1995" s="76" t="s">
        <v>11197</v>
      </c>
    </row>
    <row r="1996" spans="1:2" ht="15">
      <c r="A1996" s="77" t="s">
        <v>5920</v>
      </c>
      <c r="B1996" s="76" t="s">
        <v>11197</v>
      </c>
    </row>
    <row r="1997" spans="1:2" ht="15">
      <c r="A1997" s="77" t="s">
        <v>5921</v>
      </c>
      <c r="B1997" s="76" t="s">
        <v>11197</v>
      </c>
    </row>
    <row r="1998" spans="1:2" ht="15">
      <c r="A1998" s="77" t="s">
        <v>5922</v>
      </c>
      <c r="B1998" s="76" t="s">
        <v>11197</v>
      </c>
    </row>
    <row r="1999" spans="1:2" ht="15">
      <c r="A1999" s="77" t="s">
        <v>5923</v>
      </c>
      <c r="B1999" s="76" t="s">
        <v>11197</v>
      </c>
    </row>
    <row r="2000" spans="1:2" ht="15">
      <c r="A2000" s="77" t="s">
        <v>5924</v>
      </c>
      <c r="B2000" s="76" t="s">
        <v>11197</v>
      </c>
    </row>
    <row r="2001" spans="1:2" ht="15">
      <c r="A2001" s="77" t="s">
        <v>5925</v>
      </c>
      <c r="B2001" s="76" t="s">
        <v>11197</v>
      </c>
    </row>
    <row r="2002" spans="1:2" ht="15">
      <c r="A2002" s="77" t="s">
        <v>5926</v>
      </c>
      <c r="B2002" s="76" t="s">
        <v>11197</v>
      </c>
    </row>
    <row r="2003" spans="1:2" ht="15">
      <c r="A2003" s="77" t="s">
        <v>5927</v>
      </c>
      <c r="B2003" s="76" t="s">
        <v>11197</v>
      </c>
    </row>
    <row r="2004" spans="1:2" ht="15">
      <c r="A2004" s="77" t="s">
        <v>5928</v>
      </c>
      <c r="B2004" s="76" t="s">
        <v>11197</v>
      </c>
    </row>
    <row r="2005" spans="1:2" ht="15">
      <c r="A2005" s="77" t="s">
        <v>5929</v>
      </c>
      <c r="B2005" s="76" t="s">
        <v>11197</v>
      </c>
    </row>
    <row r="2006" spans="1:2" ht="15">
      <c r="A2006" s="77" t="s">
        <v>5930</v>
      </c>
      <c r="B2006" s="76" t="s">
        <v>11197</v>
      </c>
    </row>
    <row r="2007" spans="1:2" ht="15">
      <c r="A2007" s="77" t="s">
        <v>5931</v>
      </c>
      <c r="B2007" s="76" t="s">
        <v>11197</v>
      </c>
    </row>
    <row r="2008" spans="1:2" ht="15">
      <c r="A2008" s="77" t="s">
        <v>5932</v>
      </c>
      <c r="B2008" s="76" t="s">
        <v>11197</v>
      </c>
    </row>
    <row r="2009" spans="1:2" ht="15">
      <c r="A2009" s="77" t="s">
        <v>5933</v>
      </c>
      <c r="B2009" s="76" t="s">
        <v>11197</v>
      </c>
    </row>
    <row r="2010" spans="1:2" ht="15">
      <c r="A2010" s="77" t="s">
        <v>5934</v>
      </c>
      <c r="B2010" s="76" t="s">
        <v>11197</v>
      </c>
    </row>
    <row r="2011" spans="1:2" ht="15">
      <c r="A2011" s="77" t="s">
        <v>5935</v>
      </c>
      <c r="B2011" s="76" t="s">
        <v>11197</v>
      </c>
    </row>
    <row r="2012" spans="1:2" ht="15">
      <c r="A2012" s="77" t="s">
        <v>5936</v>
      </c>
      <c r="B2012" s="76" t="s">
        <v>11197</v>
      </c>
    </row>
    <row r="2013" spans="1:2" ht="15">
      <c r="A2013" s="77" t="s">
        <v>5937</v>
      </c>
      <c r="B2013" s="76" t="s">
        <v>11197</v>
      </c>
    </row>
    <row r="2014" spans="1:2" ht="15">
      <c r="A2014" s="77" t="s">
        <v>5938</v>
      </c>
      <c r="B2014" s="76" t="s">
        <v>11197</v>
      </c>
    </row>
    <row r="2015" spans="1:2" ht="15">
      <c r="A2015" s="77" t="s">
        <v>5939</v>
      </c>
      <c r="B2015" s="76" t="s">
        <v>11197</v>
      </c>
    </row>
    <row r="2016" spans="1:2" ht="15">
      <c r="A2016" s="77" t="s">
        <v>5940</v>
      </c>
      <c r="B2016" s="76" t="s">
        <v>11197</v>
      </c>
    </row>
    <row r="2017" spans="1:2" ht="15">
      <c r="A2017" s="77" t="s">
        <v>5941</v>
      </c>
      <c r="B2017" s="76" t="s">
        <v>11197</v>
      </c>
    </row>
    <row r="2018" spans="1:2" ht="15">
      <c r="A2018" s="77" t="s">
        <v>5942</v>
      </c>
      <c r="B2018" s="76" t="s">
        <v>11197</v>
      </c>
    </row>
    <row r="2019" spans="1:2" ht="15">
      <c r="A2019" s="77" t="s">
        <v>5943</v>
      </c>
      <c r="B2019" s="76" t="s">
        <v>11197</v>
      </c>
    </row>
    <row r="2020" spans="1:2" ht="15">
      <c r="A2020" s="77" t="s">
        <v>5944</v>
      </c>
      <c r="B2020" s="76" t="s">
        <v>11197</v>
      </c>
    </row>
    <row r="2021" spans="1:2" ht="15">
      <c r="A2021" s="77" t="s">
        <v>5945</v>
      </c>
      <c r="B2021" s="76" t="s">
        <v>11197</v>
      </c>
    </row>
    <row r="2022" spans="1:2" ht="15">
      <c r="A2022" s="77" t="s">
        <v>5946</v>
      </c>
      <c r="B2022" s="76" t="s">
        <v>11197</v>
      </c>
    </row>
    <row r="2023" spans="1:2" ht="15">
      <c r="A2023" s="77" t="s">
        <v>5947</v>
      </c>
      <c r="B2023" s="76" t="s">
        <v>11197</v>
      </c>
    </row>
    <row r="2024" spans="1:2" ht="15">
      <c r="A2024" s="77" t="s">
        <v>5948</v>
      </c>
      <c r="B2024" s="76" t="s">
        <v>11197</v>
      </c>
    </row>
    <row r="2025" spans="1:2" ht="15">
      <c r="A2025" s="77" t="s">
        <v>5949</v>
      </c>
      <c r="B2025" s="76" t="s">
        <v>11197</v>
      </c>
    </row>
    <row r="2026" spans="1:2" ht="15">
      <c r="A2026" s="77" t="s">
        <v>5950</v>
      </c>
      <c r="B2026" s="76" t="s">
        <v>11197</v>
      </c>
    </row>
    <row r="2027" spans="1:2" ht="15">
      <c r="A2027" s="77" t="s">
        <v>5951</v>
      </c>
      <c r="B2027" s="76" t="s">
        <v>11197</v>
      </c>
    </row>
    <row r="2028" spans="1:2" ht="15">
      <c r="A2028" s="77" t="s">
        <v>5952</v>
      </c>
      <c r="B2028" s="76" t="s">
        <v>11197</v>
      </c>
    </row>
    <row r="2029" spans="1:2" ht="15">
      <c r="A2029" s="77" t="s">
        <v>5953</v>
      </c>
      <c r="B2029" s="76" t="s">
        <v>11197</v>
      </c>
    </row>
    <row r="2030" spans="1:2" ht="15">
      <c r="A2030" s="77" t="s">
        <v>5954</v>
      </c>
      <c r="B2030" s="76" t="s">
        <v>11197</v>
      </c>
    </row>
    <row r="2031" spans="1:2" ht="15">
      <c r="A2031" s="77" t="s">
        <v>5955</v>
      </c>
      <c r="B2031" s="76" t="s">
        <v>11197</v>
      </c>
    </row>
    <row r="2032" spans="1:2" ht="15">
      <c r="A2032" s="77" t="s">
        <v>5956</v>
      </c>
      <c r="B2032" s="76" t="s">
        <v>11197</v>
      </c>
    </row>
    <row r="2033" spans="1:2" ht="15">
      <c r="A2033" s="77" t="s">
        <v>5957</v>
      </c>
      <c r="B2033" s="76" t="s">
        <v>11197</v>
      </c>
    </row>
    <row r="2034" spans="1:2" ht="15">
      <c r="A2034" s="77" t="s">
        <v>5958</v>
      </c>
      <c r="B2034" s="76" t="s">
        <v>11197</v>
      </c>
    </row>
    <row r="2035" spans="1:2" ht="15">
      <c r="A2035" s="77" t="s">
        <v>5959</v>
      </c>
      <c r="B2035" s="76" t="s">
        <v>11197</v>
      </c>
    </row>
    <row r="2036" spans="1:2" ht="15">
      <c r="A2036" s="77" t="s">
        <v>5960</v>
      </c>
      <c r="B2036" s="76" t="s">
        <v>11197</v>
      </c>
    </row>
    <row r="2037" spans="1:2" ht="15">
      <c r="A2037" s="77" t="s">
        <v>5961</v>
      </c>
      <c r="B2037" s="76" t="s">
        <v>11197</v>
      </c>
    </row>
    <row r="2038" spans="1:2" ht="15">
      <c r="A2038" s="77" t="s">
        <v>5962</v>
      </c>
      <c r="B2038" s="76" t="s">
        <v>11197</v>
      </c>
    </row>
    <row r="2039" spans="1:2" ht="15">
      <c r="A2039" s="77" t="s">
        <v>5963</v>
      </c>
      <c r="B2039" s="76" t="s">
        <v>11197</v>
      </c>
    </row>
    <row r="2040" spans="1:2" ht="15">
      <c r="A2040" s="77" t="s">
        <v>5964</v>
      </c>
      <c r="B2040" s="76" t="s">
        <v>11197</v>
      </c>
    </row>
    <row r="2041" spans="1:2" ht="15">
      <c r="A2041" s="77" t="s">
        <v>5965</v>
      </c>
      <c r="B2041" s="76" t="s">
        <v>11197</v>
      </c>
    </row>
    <row r="2042" spans="1:2" ht="15">
      <c r="A2042" s="77" t="s">
        <v>5966</v>
      </c>
      <c r="B2042" s="76" t="s">
        <v>11197</v>
      </c>
    </row>
    <row r="2043" spans="1:2" ht="15">
      <c r="A2043" s="77" t="s">
        <v>5967</v>
      </c>
      <c r="B2043" s="76" t="s">
        <v>11197</v>
      </c>
    </row>
    <row r="2044" spans="1:2" ht="15">
      <c r="A2044" s="77" t="s">
        <v>5968</v>
      </c>
      <c r="B2044" s="76" t="s">
        <v>11197</v>
      </c>
    </row>
    <row r="2045" spans="1:2" ht="15">
      <c r="A2045" s="77" t="s">
        <v>5969</v>
      </c>
      <c r="B2045" s="76" t="s">
        <v>11197</v>
      </c>
    </row>
    <row r="2046" spans="1:2" ht="15">
      <c r="A2046" s="77" t="s">
        <v>5970</v>
      </c>
      <c r="B2046" s="76" t="s">
        <v>11197</v>
      </c>
    </row>
    <row r="2047" spans="1:2" ht="15">
      <c r="A2047" s="77" t="s">
        <v>5971</v>
      </c>
      <c r="B2047" s="76" t="s">
        <v>11197</v>
      </c>
    </row>
    <row r="2048" spans="1:2" ht="15">
      <c r="A2048" s="77" t="s">
        <v>5972</v>
      </c>
      <c r="B2048" s="76" t="s">
        <v>11197</v>
      </c>
    </row>
    <row r="2049" spans="1:2" ht="15">
      <c r="A2049" s="77" t="s">
        <v>5973</v>
      </c>
      <c r="B2049" s="76" t="s">
        <v>11197</v>
      </c>
    </row>
    <row r="2050" spans="1:2" ht="15">
      <c r="A2050" s="77" t="s">
        <v>5974</v>
      </c>
      <c r="B2050" s="76" t="s">
        <v>11197</v>
      </c>
    </row>
    <row r="2051" spans="1:2" ht="15">
      <c r="A2051" s="77" t="s">
        <v>5975</v>
      </c>
      <c r="B2051" s="76" t="s">
        <v>11197</v>
      </c>
    </row>
    <row r="2052" spans="1:2" ht="15">
      <c r="A2052" s="77" t="s">
        <v>5976</v>
      </c>
      <c r="B2052" s="76" t="s">
        <v>11197</v>
      </c>
    </row>
    <row r="2053" spans="1:2" ht="15">
      <c r="A2053" s="77" t="s">
        <v>5977</v>
      </c>
      <c r="B2053" s="76" t="s">
        <v>11197</v>
      </c>
    </row>
    <row r="2054" spans="1:2" ht="15">
      <c r="A2054" s="77" t="s">
        <v>5978</v>
      </c>
      <c r="B2054" s="76" t="s">
        <v>11197</v>
      </c>
    </row>
    <row r="2055" spans="1:2" ht="15">
      <c r="A2055" s="77" t="s">
        <v>5979</v>
      </c>
      <c r="B2055" s="76" t="s">
        <v>11197</v>
      </c>
    </row>
    <row r="2056" spans="1:2" ht="15">
      <c r="A2056" s="77" t="s">
        <v>5980</v>
      </c>
      <c r="B2056" s="76" t="s">
        <v>11197</v>
      </c>
    </row>
    <row r="2057" spans="1:2" ht="15">
      <c r="A2057" s="77" t="s">
        <v>5981</v>
      </c>
      <c r="B2057" s="76" t="s">
        <v>11197</v>
      </c>
    </row>
    <row r="2058" spans="1:2" ht="15">
      <c r="A2058" s="77" t="s">
        <v>5982</v>
      </c>
      <c r="B2058" s="76" t="s">
        <v>11197</v>
      </c>
    </row>
    <row r="2059" spans="1:2" ht="15">
      <c r="A2059" s="77" t="s">
        <v>5983</v>
      </c>
      <c r="B2059" s="76" t="s">
        <v>11197</v>
      </c>
    </row>
    <row r="2060" spans="1:2" ht="15">
      <c r="A2060" s="77" t="s">
        <v>5984</v>
      </c>
      <c r="B2060" s="76" t="s">
        <v>11197</v>
      </c>
    </row>
    <row r="2061" spans="1:2" ht="15">
      <c r="A2061" s="77" t="s">
        <v>3223</v>
      </c>
      <c r="B2061" s="76" t="s">
        <v>11197</v>
      </c>
    </row>
    <row r="2062" spans="1:2" ht="15">
      <c r="A2062" s="77" t="s">
        <v>5985</v>
      </c>
      <c r="B2062" s="76" t="s">
        <v>11197</v>
      </c>
    </row>
    <row r="2063" spans="1:2" ht="15">
      <c r="A2063" s="77" t="s">
        <v>5986</v>
      </c>
      <c r="B2063" s="76" t="s">
        <v>11197</v>
      </c>
    </row>
    <row r="2064" spans="1:2" ht="15">
      <c r="A2064" s="77" t="s">
        <v>5987</v>
      </c>
      <c r="B2064" s="76" t="s">
        <v>11197</v>
      </c>
    </row>
    <row r="2065" spans="1:2" ht="15">
      <c r="A2065" s="77" t="s">
        <v>5988</v>
      </c>
      <c r="B2065" s="76" t="s">
        <v>11197</v>
      </c>
    </row>
    <row r="2066" spans="1:2" ht="15">
      <c r="A2066" s="77" t="s">
        <v>5989</v>
      </c>
      <c r="B2066" s="76" t="s">
        <v>11197</v>
      </c>
    </row>
    <row r="2067" spans="1:2" ht="15">
      <c r="A2067" s="77" t="s">
        <v>5990</v>
      </c>
      <c r="B2067" s="76" t="s">
        <v>11197</v>
      </c>
    </row>
    <row r="2068" spans="1:2" ht="15">
      <c r="A2068" s="77" t="s">
        <v>5991</v>
      </c>
      <c r="B2068" s="76" t="s">
        <v>11197</v>
      </c>
    </row>
    <row r="2069" spans="1:2" ht="15">
      <c r="A2069" s="77" t="s">
        <v>5992</v>
      </c>
      <c r="B2069" s="76" t="s">
        <v>11197</v>
      </c>
    </row>
    <row r="2070" spans="1:2" ht="15">
      <c r="A2070" s="77" t="s">
        <v>5993</v>
      </c>
      <c r="B2070" s="76" t="s">
        <v>11197</v>
      </c>
    </row>
    <row r="2071" spans="1:2" ht="15">
      <c r="A2071" s="77" t="s">
        <v>5994</v>
      </c>
      <c r="B2071" s="76" t="s">
        <v>11197</v>
      </c>
    </row>
    <row r="2072" spans="1:2" ht="15">
      <c r="A2072" s="77" t="s">
        <v>5995</v>
      </c>
      <c r="B2072" s="76" t="s">
        <v>11197</v>
      </c>
    </row>
    <row r="2073" spans="1:2" ht="15">
      <c r="A2073" s="77" t="s">
        <v>5996</v>
      </c>
      <c r="B2073" s="76" t="s">
        <v>11197</v>
      </c>
    </row>
    <row r="2074" spans="1:2" ht="15">
      <c r="A2074" s="77" t="s">
        <v>5997</v>
      </c>
      <c r="B2074" s="76" t="s">
        <v>11197</v>
      </c>
    </row>
    <row r="2075" spans="1:2" ht="15">
      <c r="A2075" s="77" t="s">
        <v>5998</v>
      </c>
      <c r="B2075" s="76" t="s">
        <v>11197</v>
      </c>
    </row>
    <row r="2076" spans="1:2" ht="15">
      <c r="A2076" s="77" t="s">
        <v>5999</v>
      </c>
      <c r="B2076" s="76" t="s">
        <v>11197</v>
      </c>
    </row>
    <row r="2077" spans="1:2" ht="15">
      <c r="A2077" s="77" t="s">
        <v>6000</v>
      </c>
      <c r="B2077" s="76" t="s">
        <v>11197</v>
      </c>
    </row>
    <row r="2078" spans="1:2" ht="15">
      <c r="A2078" s="77" t="s">
        <v>6001</v>
      </c>
      <c r="B2078" s="76" t="s">
        <v>11197</v>
      </c>
    </row>
    <row r="2079" spans="1:2" ht="15">
      <c r="A2079" s="77" t="s">
        <v>6002</v>
      </c>
      <c r="B2079" s="76" t="s">
        <v>11197</v>
      </c>
    </row>
    <row r="2080" spans="1:2" ht="15">
      <c r="A2080" s="77" t="s">
        <v>6003</v>
      </c>
      <c r="B2080" s="76" t="s">
        <v>11197</v>
      </c>
    </row>
    <row r="2081" spans="1:2" ht="15">
      <c r="A2081" s="77" t="s">
        <v>6004</v>
      </c>
      <c r="B2081" s="76" t="s">
        <v>11197</v>
      </c>
    </row>
    <row r="2082" spans="1:2" ht="15">
      <c r="A2082" s="77" t="s">
        <v>3577</v>
      </c>
      <c r="B2082" s="76" t="s">
        <v>11197</v>
      </c>
    </row>
    <row r="2083" spans="1:2" ht="15">
      <c r="A2083" s="77" t="s">
        <v>3853</v>
      </c>
      <c r="B2083" s="76" t="s">
        <v>11197</v>
      </c>
    </row>
    <row r="2084" spans="1:2" ht="15">
      <c r="A2084" s="77" t="s">
        <v>6005</v>
      </c>
      <c r="B2084" s="76" t="s">
        <v>11197</v>
      </c>
    </row>
    <row r="2085" spans="1:2" ht="15">
      <c r="A2085" s="77" t="s">
        <v>6006</v>
      </c>
      <c r="B2085" s="76" t="s">
        <v>11197</v>
      </c>
    </row>
    <row r="2086" spans="1:2" ht="15">
      <c r="A2086" s="77" t="s">
        <v>6007</v>
      </c>
      <c r="B2086" s="76" t="s">
        <v>11197</v>
      </c>
    </row>
    <row r="2087" spans="1:2" ht="15">
      <c r="A2087" s="77" t="s">
        <v>6008</v>
      </c>
      <c r="B2087" s="76" t="s">
        <v>11197</v>
      </c>
    </row>
    <row r="2088" spans="1:2" ht="15">
      <c r="A2088" s="77" t="s">
        <v>6009</v>
      </c>
      <c r="B2088" s="76" t="s">
        <v>11197</v>
      </c>
    </row>
    <row r="2089" spans="1:2" ht="15">
      <c r="A2089" s="77" t="s">
        <v>6010</v>
      </c>
      <c r="B2089" s="76" t="s">
        <v>11197</v>
      </c>
    </row>
    <row r="2090" spans="1:2" ht="15">
      <c r="A2090" s="77" t="s">
        <v>6011</v>
      </c>
      <c r="B2090" s="76" t="s">
        <v>11197</v>
      </c>
    </row>
    <row r="2091" spans="1:2" ht="15">
      <c r="A2091" s="77" t="s">
        <v>6012</v>
      </c>
      <c r="B2091" s="76" t="s">
        <v>11197</v>
      </c>
    </row>
    <row r="2092" spans="1:2" ht="15">
      <c r="A2092" s="77" t="s">
        <v>6013</v>
      </c>
      <c r="B2092" s="76" t="s">
        <v>11197</v>
      </c>
    </row>
    <row r="2093" spans="1:2" ht="15">
      <c r="A2093" s="77" t="s">
        <v>6014</v>
      </c>
      <c r="B2093" s="76" t="s">
        <v>11197</v>
      </c>
    </row>
    <row r="2094" spans="1:2" ht="15">
      <c r="A2094" s="77" t="s">
        <v>6015</v>
      </c>
      <c r="B2094" s="76" t="s">
        <v>11197</v>
      </c>
    </row>
    <row r="2095" spans="1:2" ht="15">
      <c r="A2095" s="77" t="s">
        <v>6016</v>
      </c>
      <c r="B2095" s="76" t="s">
        <v>11197</v>
      </c>
    </row>
    <row r="2096" spans="1:2" ht="15">
      <c r="A2096" s="77" t="s">
        <v>6017</v>
      </c>
      <c r="B2096" s="76" t="s">
        <v>11197</v>
      </c>
    </row>
    <row r="2097" spans="1:2" ht="15">
      <c r="A2097" s="77" t="s">
        <v>6018</v>
      </c>
      <c r="B2097" s="76" t="s">
        <v>11197</v>
      </c>
    </row>
    <row r="2098" spans="1:2" ht="15">
      <c r="A2098" s="77" t="s">
        <v>6019</v>
      </c>
      <c r="B2098" s="76" t="s">
        <v>11197</v>
      </c>
    </row>
    <row r="2099" spans="1:2" ht="15">
      <c r="A2099" s="77" t="s">
        <v>6020</v>
      </c>
      <c r="B2099" s="76" t="s">
        <v>11197</v>
      </c>
    </row>
    <row r="2100" spans="1:2" ht="15">
      <c r="A2100" s="77" t="s">
        <v>6021</v>
      </c>
      <c r="B2100" s="76" t="s">
        <v>11197</v>
      </c>
    </row>
    <row r="2101" spans="1:2" ht="15">
      <c r="A2101" s="77" t="s">
        <v>6022</v>
      </c>
      <c r="B2101" s="76" t="s">
        <v>11197</v>
      </c>
    </row>
    <row r="2102" spans="1:2" ht="15">
      <c r="A2102" s="77" t="s">
        <v>6023</v>
      </c>
      <c r="B2102" s="76" t="s">
        <v>11197</v>
      </c>
    </row>
    <row r="2103" spans="1:2" ht="15">
      <c r="A2103" s="77" t="s">
        <v>6024</v>
      </c>
      <c r="B2103" s="76" t="s">
        <v>11197</v>
      </c>
    </row>
    <row r="2104" spans="1:2" ht="15">
      <c r="A2104" s="77" t="s">
        <v>6025</v>
      </c>
      <c r="B2104" s="76" t="s">
        <v>11197</v>
      </c>
    </row>
    <row r="2105" spans="1:2" ht="15">
      <c r="A2105" s="77" t="s">
        <v>6026</v>
      </c>
      <c r="B2105" s="76" t="s">
        <v>11197</v>
      </c>
    </row>
    <row r="2106" spans="1:2" ht="15">
      <c r="A2106" s="77" t="s">
        <v>6027</v>
      </c>
      <c r="B2106" s="76" t="s">
        <v>11197</v>
      </c>
    </row>
    <row r="2107" spans="1:2" ht="15">
      <c r="A2107" s="77" t="s">
        <v>6028</v>
      </c>
      <c r="B2107" s="76" t="s">
        <v>11197</v>
      </c>
    </row>
    <row r="2108" spans="1:2" ht="15">
      <c r="A2108" s="77" t="s">
        <v>6029</v>
      </c>
      <c r="B2108" s="76" t="s">
        <v>11197</v>
      </c>
    </row>
    <row r="2109" spans="1:2" ht="15">
      <c r="A2109" s="77" t="s">
        <v>6030</v>
      </c>
      <c r="B2109" s="76" t="s">
        <v>11197</v>
      </c>
    </row>
    <row r="2110" spans="1:2" ht="15">
      <c r="A2110" s="77" t="s">
        <v>6031</v>
      </c>
      <c r="B2110" s="76" t="s">
        <v>11197</v>
      </c>
    </row>
    <row r="2111" spans="1:2" ht="15">
      <c r="A2111" s="77" t="s">
        <v>6032</v>
      </c>
      <c r="B2111" s="76" t="s">
        <v>11197</v>
      </c>
    </row>
    <row r="2112" spans="1:2" ht="15">
      <c r="A2112" s="77" t="s">
        <v>6033</v>
      </c>
      <c r="B2112" s="76" t="s">
        <v>11197</v>
      </c>
    </row>
    <row r="2113" spans="1:2" ht="15">
      <c r="A2113" s="77" t="s">
        <v>6034</v>
      </c>
      <c r="B2113" s="76" t="s">
        <v>11197</v>
      </c>
    </row>
    <row r="2114" spans="1:2" ht="15">
      <c r="A2114" s="77" t="s">
        <v>6035</v>
      </c>
      <c r="B2114" s="76" t="s">
        <v>11197</v>
      </c>
    </row>
    <row r="2115" spans="1:2" ht="15">
      <c r="A2115" s="77" t="s">
        <v>6036</v>
      </c>
      <c r="B2115" s="76" t="s">
        <v>11197</v>
      </c>
    </row>
    <row r="2116" spans="1:2" ht="15">
      <c r="A2116" s="77" t="s">
        <v>6037</v>
      </c>
      <c r="B2116" s="76" t="s">
        <v>11197</v>
      </c>
    </row>
    <row r="2117" spans="1:2" ht="15">
      <c r="A2117" s="77" t="s">
        <v>6038</v>
      </c>
      <c r="B2117" s="76" t="s">
        <v>11197</v>
      </c>
    </row>
    <row r="2118" spans="1:2" ht="15">
      <c r="A2118" s="77" t="s">
        <v>6039</v>
      </c>
      <c r="B2118" s="76" t="s">
        <v>11197</v>
      </c>
    </row>
    <row r="2119" spans="1:2" ht="15">
      <c r="A2119" s="77" t="s">
        <v>6040</v>
      </c>
      <c r="B2119" s="76" t="s">
        <v>11197</v>
      </c>
    </row>
    <row r="2120" spans="1:2" ht="15">
      <c r="A2120" s="77" t="s">
        <v>6041</v>
      </c>
      <c r="B2120" s="76" t="s">
        <v>11197</v>
      </c>
    </row>
    <row r="2121" spans="1:2" ht="15">
      <c r="A2121" s="77" t="s">
        <v>6042</v>
      </c>
      <c r="B2121" s="76" t="s">
        <v>11197</v>
      </c>
    </row>
    <row r="2122" spans="1:2" ht="15">
      <c r="A2122" s="77" t="s">
        <v>6043</v>
      </c>
      <c r="B2122" s="76" t="s">
        <v>11197</v>
      </c>
    </row>
    <row r="2123" spans="1:2" ht="15">
      <c r="A2123" s="77" t="s">
        <v>6044</v>
      </c>
      <c r="B2123" s="76" t="s">
        <v>11197</v>
      </c>
    </row>
    <row r="2124" spans="1:2" ht="15">
      <c r="A2124" s="77" t="s">
        <v>6045</v>
      </c>
      <c r="B2124" s="76" t="s">
        <v>11197</v>
      </c>
    </row>
    <row r="2125" spans="1:2" ht="15">
      <c r="A2125" s="77" t="s">
        <v>6046</v>
      </c>
      <c r="B2125" s="76" t="s">
        <v>11197</v>
      </c>
    </row>
    <row r="2126" spans="1:2" ht="15">
      <c r="A2126" s="77" t="s">
        <v>6047</v>
      </c>
      <c r="B2126" s="76" t="s">
        <v>11197</v>
      </c>
    </row>
    <row r="2127" spans="1:2" ht="15">
      <c r="A2127" s="77" t="s">
        <v>6048</v>
      </c>
      <c r="B2127" s="76" t="s">
        <v>11197</v>
      </c>
    </row>
    <row r="2128" spans="1:2" ht="15">
      <c r="A2128" s="77" t="s">
        <v>6049</v>
      </c>
      <c r="B2128" s="76" t="s">
        <v>11197</v>
      </c>
    </row>
    <row r="2129" spans="1:2" ht="15">
      <c r="A2129" s="77" t="s">
        <v>6050</v>
      </c>
      <c r="B2129" s="76" t="s">
        <v>11197</v>
      </c>
    </row>
    <row r="2130" spans="1:2" ht="15">
      <c r="A2130" s="77" t="s">
        <v>6051</v>
      </c>
      <c r="B2130" s="76" t="s">
        <v>11197</v>
      </c>
    </row>
    <row r="2131" spans="1:2" ht="15">
      <c r="A2131" s="77" t="s">
        <v>6052</v>
      </c>
      <c r="B2131" s="76" t="s">
        <v>11197</v>
      </c>
    </row>
    <row r="2132" spans="1:2" ht="15">
      <c r="A2132" s="77" t="s">
        <v>6053</v>
      </c>
      <c r="B2132" s="76" t="s">
        <v>11197</v>
      </c>
    </row>
    <row r="2133" spans="1:2" ht="15">
      <c r="A2133" s="77" t="s">
        <v>6054</v>
      </c>
      <c r="B2133" s="76" t="s">
        <v>11197</v>
      </c>
    </row>
    <row r="2134" spans="1:2" ht="15">
      <c r="A2134" s="77" t="s">
        <v>6055</v>
      </c>
      <c r="B2134" s="76" t="s">
        <v>11197</v>
      </c>
    </row>
    <row r="2135" spans="1:2" ht="15">
      <c r="A2135" s="77" t="s">
        <v>6056</v>
      </c>
      <c r="B2135" s="76" t="s">
        <v>11197</v>
      </c>
    </row>
    <row r="2136" spans="1:2" ht="15">
      <c r="A2136" s="77" t="s">
        <v>6057</v>
      </c>
      <c r="B2136" s="76" t="s">
        <v>11197</v>
      </c>
    </row>
    <row r="2137" spans="1:2" ht="15">
      <c r="A2137" s="77" t="s">
        <v>6058</v>
      </c>
      <c r="B2137" s="76" t="s">
        <v>11197</v>
      </c>
    </row>
    <row r="2138" spans="1:2" ht="15">
      <c r="A2138" s="77" t="s">
        <v>6059</v>
      </c>
      <c r="B2138" s="76" t="s">
        <v>11197</v>
      </c>
    </row>
    <row r="2139" spans="1:2" ht="15">
      <c r="A2139" s="77" t="s">
        <v>6060</v>
      </c>
      <c r="B2139" s="76" t="s">
        <v>11197</v>
      </c>
    </row>
    <row r="2140" spans="1:2" ht="15">
      <c r="A2140" s="77" t="s">
        <v>6061</v>
      </c>
      <c r="B2140" s="76" t="s">
        <v>11197</v>
      </c>
    </row>
    <row r="2141" spans="1:2" ht="15">
      <c r="A2141" s="77" t="s">
        <v>6062</v>
      </c>
      <c r="B2141" s="76" t="s">
        <v>11197</v>
      </c>
    </row>
    <row r="2142" spans="1:2" ht="15">
      <c r="A2142" s="77" t="s">
        <v>6063</v>
      </c>
      <c r="B2142" s="76" t="s">
        <v>11197</v>
      </c>
    </row>
    <row r="2143" spans="1:2" ht="15">
      <c r="A2143" s="77" t="s">
        <v>6064</v>
      </c>
      <c r="B2143" s="76" t="s">
        <v>11197</v>
      </c>
    </row>
    <row r="2144" spans="1:2" ht="15">
      <c r="A2144" s="77" t="s">
        <v>6065</v>
      </c>
      <c r="B2144" s="76" t="s">
        <v>11197</v>
      </c>
    </row>
    <row r="2145" spans="1:2" ht="15">
      <c r="A2145" s="77" t="s">
        <v>6066</v>
      </c>
      <c r="B2145" s="76" t="s">
        <v>11197</v>
      </c>
    </row>
    <row r="2146" spans="1:2" ht="15">
      <c r="A2146" s="77" t="s">
        <v>6067</v>
      </c>
      <c r="B2146" s="76" t="s">
        <v>11197</v>
      </c>
    </row>
    <row r="2147" spans="1:2" ht="15">
      <c r="A2147" s="77" t="s">
        <v>6068</v>
      </c>
      <c r="B2147" s="76" t="s">
        <v>11197</v>
      </c>
    </row>
    <row r="2148" spans="1:2" ht="15">
      <c r="A2148" s="77" t="s">
        <v>6069</v>
      </c>
      <c r="B2148" s="76" t="s">
        <v>11197</v>
      </c>
    </row>
    <row r="2149" spans="1:2" ht="15">
      <c r="A2149" s="77" t="s">
        <v>3814</v>
      </c>
      <c r="B2149" s="76" t="s">
        <v>11197</v>
      </c>
    </row>
    <row r="2150" spans="1:2" ht="15">
      <c r="A2150" s="77" t="s">
        <v>6070</v>
      </c>
      <c r="B2150" s="76" t="s">
        <v>11197</v>
      </c>
    </row>
    <row r="2151" spans="1:2" ht="15">
      <c r="A2151" s="77" t="s">
        <v>6071</v>
      </c>
      <c r="B2151" s="76" t="s">
        <v>11197</v>
      </c>
    </row>
    <row r="2152" spans="1:2" ht="15">
      <c r="A2152" s="77" t="s">
        <v>6072</v>
      </c>
      <c r="B2152" s="76" t="s">
        <v>11197</v>
      </c>
    </row>
    <row r="2153" spans="1:2" ht="15">
      <c r="A2153" s="77" t="s">
        <v>6073</v>
      </c>
      <c r="B2153" s="76" t="s">
        <v>11197</v>
      </c>
    </row>
    <row r="2154" spans="1:2" ht="15">
      <c r="A2154" s="77" t="s">
        <v>6074</v>
      </c>
      <c r="B2154" s="76" t="s">
        <v>11197</v>
      </c>
    </row>
    <row r="2155" spans="1:2" ht="15">
      <c r="A2155" s="77" t="s">
        <v>6075</v>
      </c>
      <c r="B2155" s="76" t="s">
        <v>11197</v>
      </c>
    </row>
    <row r="2156" spans="1:2" ht="15">
      <c r="A2156" s="77" t="s">
        <v>6076</v>
      </c>
      <c r="B2156" s="76" t="s">
        <v>11197</v>
      </c>
    </row>
    <row r="2157" spans="1:2" ht="15">
      <c r="A2157" s="77" t="s">
        <v>6077</v>
      </c>
      <c r="B2157" s="76" t="s">
        <v>11197</v>
      </c>
    </row>
    <row r="2158" spans="1:2" ht="15">
      <c r="A2158" s="77" t="s">
        <v>6078</v>
      </c>
      <c r="B2158" s="76" t="s">
        <v>11197</v>
      </c>
    </row>
    <row r="2159" spans="1:2" ht="15">
      <c r="A2159" s="77" t="s">
        <v>6079</v>
      </c>
      <c r="B2159" s="76" t="s">
        <v>11197</v>
      </c>
    </row>
    <row r="2160" spans="1:2" ht="15">
      <c r="A2160" s="77" t="s">
        <v>6080</v>
      </c>
      <c r="B2160" s="76" t="s">
        <v>11197</v>
      </c>
    </row>
    <row r="2161" spans="1:2" ht="15">
      <c r="A2161" s="77" t="s">
        <v>6081</v>
      </c>
      <c r="B2161" s="76" t="s">
        <v>11197</v>
      </c>
    </row>
    <row r="2162" spans="1:2" ht="15">
      <c r="A2162" s="77" t="s">
        <v>6082</v>
      </c>
      <c r="B2162" s="76" t="s">
        <v>11197</v>
      </c>
    </row>
    <row r="2163" spans="1:2" ht="15">
      <c r="A2163" s="77" t="s">
        <v>6083</v>
      </c>
      <c r="B2163" s="76" t="s">
        <v>11197</v>
      </c>
    </row>
    <row r="2164" spans="1:2" ht="15">
      <c r="A2164" s="77" t="s">
        <v>6084</v>
      </c>
      <c r="B2164" s="76" t="s">
        <v>11197</v>
      </c>
    </row>
    <row r="2165" spans="1:2" ht="15">
      <c r="A2165" s="77" t="s">
        <v>6085</v>
      </c>
      <c r="B2165" s="76" t="s">
        <v>11197</v>
      </c>
    </row>
    <row r="2166" spans="1:2" ht="15">
      <c r="A2166" s="77" t="s">
        <v>6086</v>
      </c>
      <c r="B2166" s="76" t="s">
        <v>11197</v>
      </c>
    </row>
    <row r="2167" spans="1:2" ht="15">
      <c r="A2167" s="77" t="s">
        <v>6087</v>
      </c>
      <c r="B2167" s="76" t="s">
        <v>11197</v>
      </c>
    </row>
    <row r="2168" spans="1:2" ht="15">
      <c r="A2168" s="77" t="s">
        <v>6088</v>
      </c>
      <c r="B2168" s="76" t="s">
        <v>11197</v>
      </c>
    </row>
    <row r="2169" spans="1:2" ht="15">
      <c r="A2169" s="77" t="s">
        <v>6089</v>
      </c>
      <c r="B2169" s="76" t="s">
        <v>11197</v>
      </c>
    </row>
    <row r="2170" spans="1:2" ht="15">
      <c r="A2170" s="77" t="s">
        <v>6090</v>
      </c>
      <c r="B2170" s="76" t="s">
        <v>11197</v>
      </c>
    </row>
    <row r="2171" spans="1:2" ht="15">
      <c r="A2171" s="77" t="s">
        <v>6091</v>
      </c>
      <c r="B2171" s="76" t="s">
        <v>11197</v>
      </c>
    </row>
    <row r="2172" spans="1:2" ht="15">
      <c r="A2172" s="77" t="s">
        <v>6092</v>
      </c>
      <c r="B2172" s="76" t="s">
        <v>11197</v>
      </c>
    </row>
    <row r="2173" spans="1:2" ht="15">
      <c r="A2173" s="77" t="s">
        <v>6093</v>
      </c>
      <c r="B2173" s="76" t="s">
        <v>11197</v>
      </c>
    </row>
    <row r="2174" spans="1:2" ht="15">
      <c r="A2174" s="77" t="s">
        <v>6094</v>
      </c>
      <c r="B2174" s="76" t="s">
        <v>11197</v>
      </c>
    </row>
    <row r="2175" spans="1:2" ht="15">
      <c r="A2175" s="77" t="s">
        <v>6095</v>
      </c>
      <c r="B2175" s="76" t="s">
        <v>11197</v>
      </c>
    </row>
    <row r="2176" spans="1:2" ht="15">
      <c r="A2176" s="77" t="s">
        <v>6096</v>
      </c>
      <c r="B2176" s="76" t="s">
        <v>11197</v>
      </c>
    </row>
    <row r="2177" spans="1:2" ht="15">
      <c r="A2177" s="77" t="s">
        <v>6097</v>
      </c>
      <c r="B2177" s="76" t="s">
        <v>11197</v>
      </c>
    </row>
    <row r="2178" spans="1:2" ht="15">
      <c r="A2178" s="77" t="s">
        <v>6098</v>
      </c>
      <c r="B2178" s="76" t="s">
        <v>11197</v>
      </c>
    </row>
    <row r="2179" spans="1:2" ht="15">
      <c r="A2179" s="77" t="s">
        <v>6099</v>
      </c>
      <c r="B2179" s="76" t="s">
        <v>11197</v>
      </c>
    </row>
    <row r="2180" spans="1:2" ht="15">
      <c r="A2180" s="77" t="s">
        <v>6100</v>
      </c>
      <c r="B2180" s="76" t="s">
        <v>11197</v>
      </c>
    </row>
    <row r="2181" spans="1:2" ht="15">
      <c r="A2181" s="77" t="s">
        <v>6101</v>
      </c>
      <c r="B2181" s="76" t="s">
        <v>11197</v>
      </c>
    </row>
    <row r="2182" spans="1:2" ht="15">
      <c r="A2182" s="77" t="s">
        <v>6102</v>
      </c>
      <c r="B2182" s="76" t="s">
        <v>11197</v>
      </c>
    </row>
    <row r="2183" spans="1:2" ht="15">
      <c r="A2183" s="77" t="s">
        <v>6103</v>
      </c>
      <c r="B2183" s="76" t="s">
        <v>11197</v>
      </c>
    </row>
    <row r="2184" spans="1:2" ht="15">
      <c r="A2184" s="77" t="s">
        <v>6104</v>
      </c>
      <c r="B2184" s="76" t="s">
        <v>11197</v>
      </c>
    </row>
    <row r="2185" spans="1:2" ht="15">
      <c r="A2185" s="77" t="s">
        <v>6105</v>
      </c>
      <c r="B2185" s="76" t="s">
        <v>11197</v>
      </c>
    </row>
    <row r="2186" spans="1:2" ht="15">
      <c r="A2186" s="77" t="s">
        <v>6106</v>
      </c>
      <c r="B2186" s="76" t="s">
        <v>11197</v>
      </c>
    </row>
    <row r="2187" spans="1:2" ht="15">
      <c r="A2187" s="77" t="s">
        <v>6107</v>
      </c>
      <c r="B2187" s="76" t="s">
        <v>11197</v>
      </c>
    </row>
    <row r="2188" spans="1:2" ht="15">
      <c r="A2188" s="77" t="s">
        <v>6108</v>
      </c>
      <c r="B2188" s="76" t="s">
        <v>11197</v>
      </c>
    </row>
    <row r="2189" spans="1:2" ht="15">
      <c r="A2189" s="77" t="s">
        <v>6109</v>
      </c>
      <c r="B2189" s="76" t="s">
        <v>11197</v>
      </c>
    </row>
    <row r="2190" spans="1:2" ht="15">
      <c r="A2190" s="77" t="s">
        <v>6110</v>
      </c>
      <c r="B2190" s="76" t="s">
        <v>11197</v>
      </c>
    </row>
    <row r="2191" spans="1:2" ht="15">
      <c r="A2191" s="77" t="s">
        <v>6111</v>
      </c>
      <c r="B2191" s="76" t="s">
        <v>11197</v>
      </c>
    </row>
    <row r="2192" spans="1:2" ht="15">
      <c r="A2192" s="77" t="s">
        <v>6112</v>
      </c>
      <c r="B2192" s="76" t="s">
        <v>11197</v>
      </c>
    </row>
    <row r="2193" spans="1:2" ht="15">
      <c r="A2193" s="77" t="s">
        <v>6113</v>
      </c>
      <c r="B2193" s="76" t="s">
        <v>11197</v>
      </c>
    </row>
    <row r="2194" spans="1:2" ht="15">
      <c r="A2194" s="77" t="s">
        <v>6114</v>
      </c>
      <c r="B2194" s="76" t="s">
        <v>11197</v>
      </c>
    </row>
    <row r="2195" spans="1:2" ht="15">
      <c r="A2195" s="77" t="s">
        <v>6115</v>
      </c>
      <c r="B2195" s="76" t="s">
        <v>11197</v>
      </c>
    </row>
    <row r="2196" spans="1:2" ht="15">
      <c r="A2196" s="77" t="s">
        <v>6116</v>
      </c>
      <c r="B2196" s="76" t="s">
        <v>11197</v>
      </c>
    </row>
    <row r="2197" spans="1:2" ht="15">
      <c r="A2197" s="77" t="s">
        <v>6117</v>
      </c>
      <c r="B2197" s="76" t="s">
        <v>11197</v>
      </c>
    </row>
    <row r="2198" spans="1:2" ht="15">
      <c r="A2198" s="77" t="s">
        <v>6118</v>
      </c>
      <c r="B2198" s="76" t="s">
        <v>11197</v>
      </c>
    </row>
    <row r="2199" spans="1:2" ht="15">
      <c r="A2199" s="77" t="s">
        <v>6119</v>
      </c>
      <c r="B2199" s="76" t="s">
        <v>11197</v>
      </c>
    </row>
    <row r="2200" spans="1:2" ht="15">
      <c r="A2200" s="77" t="s">
        <v>6120</v>
      </c>
      <c r="B2200" s="76" t="s">
        <v>11197</v>
      </c>
    </row>
    <row r="2201" spans="1:2" ht="15">
      <c r="A2201" s="77" t="s">
        <v>6121</v>
      </c>
      <c r="B2201" s="76" t="s">
        <v>11197</v>
      </c>
    </row>
    <row r="2202" spans="1:2" ht="15">
      <c r="A2202" s="77" t="s">
        <v>6122</v>
      </c>
      <c r="B2202" s="76" t="s">
        <v>11197</v>
      </c>
    </row>
    <row r="2203" spans="1:2" ht="15">
      <c r="A2203" s="77" t="s">
        <v>6123</v>
      </c>
      <c r="B2203" s="76" t="s">
        <v>11197</v>
      </c>
    </row>
    <row r="2204" spans="1:2" ht="15">
      <c r="A2204" s="77" t="s">
        <v>6124</v>
      </c>
      <c r="B2204" s="76" t="s">
        <v>11197</v>
      </c>
    </row>
    <row r="2205" spans="1:2" ht="15">
      <c r="A2205" s="77" t="s">
        <v>6125</v>
      </c>
      <c r="B2205" s="76" t="s">
        <v>11197</v>
      </c>
    </row>
    <row r="2206" spans="1:2" ht="15">
      <c r="A2206" s="77" t="s">
        <v>6126</v>
      </c>
      <c r="B2206" s="76" t="s">
        <v>11197</v>
      </c>
    </row>
    <row r="2207" spans="1:2" ht="15">
      <c r="A2207" s="77" t="s">
        <v>6127</v>
      </c>
      <c r="B2207" s="76" t="s">
        <v>11197</v>
      </c>
    </row>
    <row r="2208" spans="1:2" ht="15">
      <c r="A2208" s="77" t="s">
        <v>6128</v>
      </c>
      <c r="B2208" s="76" t="s">
        <v>11197</v>
      </c>
    </row>
    <row r="2209" spans="1:2" ht="15">
      <c r="A2209" s="77" t="s">
        <v>6129</v>
      </c>
      <c r="B2209" s="76" t="s">
        <v>11197</v>
      </c>
    </row>
    <row r="2210" spans="1:2" ht="15">
      <c r="A2210" s="77" t="s">
        <v>6130</v>
      </c>
      <c r="B2210" s="76" t="s">
        <v>11197</v>
      </c>
    </row>
    <row r="2211" spans="1:2" ht="15">
      <c r="A2211" s="77" t="s">
        <v>6131</v>
      </c>
      <c r="B2211" s="76" t="s">
        <v>11197</v>
      </c>
    </row>
    <row r="2212" spans="1:2" ht="15">
      <c r="A2212" s="77" t="s">
        <v>6132</v>
      </c>
      <c r="B2212" s="76" t="s">
        <v>11197</v>
      </c>
    </row>
    <row r="2213" spans="1:2" ht="15">
      <c r="A2213" s="77" t="s">
        <v>6133</v>
      </c>
      <c r="B2213" s="76" t="s">
        <v>11197</v>
      </c>
    </row>
    <row r="2214" spans="1:2" ht="15">
      <c r="A2214" s="77" t="s">
        <v>6134</v>
      </c>
      <c r="B2214" s="76" t="s">
        <v>11197</v>
      </c>
    </row>
    <row r="2215" spans="1:2" ht="15">
      <c r="A2215" s="77" t="s">
        <v>6135</v>
      </c>
      <c r="B2215" s="76" t="s">
        <v>11197</v>
      </c>
    </row>
    <row r="2216" spans="1:2" ht="15">
      <c r="A2216" s="77" t="s">
        <v>6136</v>
      </c>
      <c r="B2216" s="76" t="s">
        <v>11197</v>
      </c>
    </row>
    <row r="2217" spans="1:2" ht="15">
      <c r="A2217" s="77" t="s">
        <v>6137</v>
      </c>
      <c r="B2217" s="76" t="s">
        <v>11197</v>
      </c>
    </row>
    <row r="2218" spans="1:2" ht="15">
      <c r="A2218" s="77" t="s">
        <v>6138</v>
      </c>
      <c r="B2218" s="76" t="s">
        <v>11197</v>
      </c>
    </row>
    <row r="2219" spans="1:2" ht="15">
      <c r="A2219" s="77" t="s">
        <v>6139</v>
      </c>
      <c r="B2219" s="76" t="s">
        <v>11197</v>
      </c>
    </row>
    <row r="2220" spans="1:2" ht="15">
      <c r="A2220" s="77" t="s">
        <v>6140</v>
      </c>
      <c r="B2220" s="76" t="s">
        <v>11197</v>
      </c>
    </row>
    <row r="2221" spans="1:2" ht="15">
      <c r="A2221" s="77" t="s">
        <v>6141</v>
      </c>
      <c r="B2221" s="76" t="s">
        <v>11197</v>
      </c>
    </row>
    <row r="2222" spans="1:2" ht="15">
      <c r="A2222" s="77" t="s">
        <v>6142</v>
      </c>
      <c r="B2222" s="76" t="s">
        <v>11197</v>
      </c>
    </row>
    <row r="2223" spans="1:2" ht="15">
      <c r="A2223" s="77" t="s">
        <v>6143</v>
      </c>
      <c r="B2223" s="76" t="s">
        <v>11197</v>
      </c>
    </row>
    <row r="2224" spans="1:2" ht="15">
      <c r="A2224" s="77" t="s">
        <v>6144</v>
      </c>
      <c r="B2224" s="76" t="s">
        <v>11197</v>
      </c>
    </row>
    <row r="2225" spans="1:2" ht="15">
      <c r="A2225" s="77" t="s">
        <v>6145</v>
      </c>
      <c r="B2225" s="76" t="s">
        <v>11197</v>
      </c>
    </row>
    <row r="2226" spans="1:2" ht="15">
      <c r="A2226" s="77" t="s">
        <v>6146</v>
      </c>
      <c r="B2226" s="76" t="s">
        <v>11197</v>
      </c>
    </row>
    <row r="2227" spans="1:2" ht="15">
      <c r="A2227" s="77" t="s">
        <v>6147</v>
      </c>
      <c r="B2227" s="76" t="s">
        <v>11197</v>
      </c>
    </row>
    <row r="2228" spans="1:2" ht="15">
      <c r="A2228" s="77" t="s">
        <v>6148</v>
      </c>
      <c r="B2228" s="76" t="s">
        <v>11197</v>
      </c>
    </row>
    <row r="2229" spans="1:2" ht="15">
      <c r="A2229" s="77" t="s">
        <v>6149</v>
      </c>
      <c r="B2229" s="76" t="s">
        <v>11197</v>
      </c>
    </row>
    <row r="2230" spans="1:2" ht="15">
      <c r="A2230" s="77" t="s">
        <v>6150</v>
      </c>
      <c r="B2230" s="76" t="s">
        <v>11197</v>
      </c>
    </row>
    <row r="2231" spans="1:2" ht="15">
      <c r="A2231" s="77" t="s">
        <v>6151</v>
      </c>
      <c r="B2231" s="76" t="s">
        <v>11197</v>
      </c>
    </row>
    <row r="2232" spans="1:2" ht="15">
      <c r="A2232" s="77" t="s">
        <v>6152</v>
      </c>
      <c r="B2232" s="76" t="s">
        <v>11197</v>
      </c>
    </row>
    <row r="2233" spans="1:2" ht="15">
      <c r="A2233" s="77" t="s">
        <v>6153</v>
      </c>
      <c r="B2233" s="76" t="s">
        <v>11197</v>
      </c>
    </row>
    <row r="2234" spans="1:2" ht="15">
      <c r="A2234" s="77" t="s">
        <v>6154</v>
      </c>
      <c r="B2234" s="76" t="s">
        <v>11197</v>
      </c>
    </row>
    <row r="2235" spans="1:2" ht="15">
      <c r="A2235" s="77" t="s">
        <v>6155</v>
      </c>
      <c r="B2235" s="76" t="s">
        <v>11197</v>
      </c>
    </row>
    <row r="2236" spans="1:2" ht="15">
      <c r="A2236" s="77" t="s">
        <v>6156</v>
      </c>
      <c r="B2236" s="76" t="s">
        <v>11197</v>
      </c>
    </row>
    <row r="2237" spans="1:2" ht="15">
      <c r="A2237" s="77" t="s">
        <v>6157</v>
      </c>
      <c r="B2237" s="76" t="s">
        <v>11197</v>
      </c>
    </row>
    <row r="2238" spans="1:2" ht="15">
      <c r="A2238" s="77" t="s">
        <v>6158</v>
      </c>
      <c r="B2238" s="76" t="s">
        <v>11197</v>
      </c>
    </row>
    <row r="2239" spans="1:2" ht="15">
      <c r="A2239" s="77" t="s">
        <v>6159</v>
      </c>
      <c r="B2239" s="76" t="s">
        <v>11197</v>
      </c>
    </row>
    <row r="2240" spans="1:2" ht="15">
      <c r="A2240" s="77" t="s">
        <v>6160</v>
      </c>
      <c r="B2240" s="76" t="s">
        <v>11197</v>
      </c>
    </row>
    <row r="2241" spans="1:2" ht="15">
      <c r="A2241" s="77" t="s">
        <v>6161</v>
      </c>
      <c r="B2241" s="76" t="s">
        <v>11197</v>
      </c>
    </row>
    <row r="2242" spans="1:2" ht="15">
      <c r="A2242" s="77" t="s">
        <v>6162</v>
      </c>
      <c r="B2242" s="76" t="s">
        <v>11197</v>
      </c>
    </row>
    <row r="2243" spans="1:2" ht="15">
      <c r="A2243" s="77" t="s">
        <v>6163</v>
      </c>
      <c r="B2243" s="76" t="s">
        <v>11197</v>
      </c>
    </row>
    <row r="2244" spans="1:2" ht="15">
      <c r="A2244" s="77" t="s">
        <v>6164</v>
      </c>
      <c r="B2244" s="76" t="s">
        <v>11197</v>
      </c>
    </row>
    <row r="2245" spans="1:2" ht="15">
      <c r="A2245" s="77" t="s">
        <v>6165</v>
      </c>
      <c r="B2245" s="76" t="s">
        <v>11197</v>
      </c>
    </row>
    <row r="2246" spans="1:2" ht="15">
      <c r="A2246" s="77" t="s">
        <v>6166</v>
      </c>
      <c r="B2246" s="76" t="s">
        <v>11197</v>
      </c>
    </row>
    <row r="2247" spans="1:2" ht="15">
      <c r="A2247" s="77" t="s">
        <v>6167</v>
      </c>
      <c r="B2247" s="76" t="s">
        <v>11197</v>
      </c>
    </row>
    <row r="2248" spans="1:2" ht="15">
      <c r="A2248" s="77" t="s">
        <v>6168</v>
      </c>
      <c r="B2248" s="76" t="s">
        <v>11197</v>
      </c>
    </row>
    <row r="2249" spans="1:2" ht="15">
      <c r="A2249" s="77" t="s">
        <v>6169</v>
      </c>
      <c r="B2249" s="76" t="s">
        <v>11197</v>
      </c>
    </row>
    <row r="2250" spans="1:2" ht="15">
      <c r="A2250" s="77" t="s">
        <v>6170</v>
      </c>
      <c r="B2250" s="76" t="s">
        <v>11197</v>
      </c>
    </row>
    <row r="2251" spans="1:2" ht="15">
      <c r="A2251" s="77" t="s">
        <v>6171</v>
      </c>
      <c r="B2251" s="76" t="s">
        <v>11197</v>
      </c>
    </row>
    <row r="2252" spans="1:2" ht="15">
      <c r="A2252" s="77" t="s">
        <v>6172</v>
      </c>
      <c r="B2252" s="76" t="s">
        <v>11197</v>
      </c>
    </row>
    <row r="2253" spans="1:2" ht="15">
      <c r="A2253" s="77" t="s">
        <v>6173</v>
      </c>
      <c r="B2253" s="76" t="s">
        <v>11197</v>
      </c>
    </row>
    <row r="2254" spans="1:2" ht="15">
      <c r="A2254" s="77" t="s">
        <v>6174</v>
      </c>
      <c r="B2254" s="76" t="s">
        <v>11197</v>
      </c>
    </row>
    <row r="2255" spans="1:2" ht="15">
      <c r="A2255" s="77" t="s">
        <v>6175</v>
      </c>
      <c r="B2255" s="76" t="s">
        <v>11197</v>
      </c>
    </row>
    <row r="2256" spans="1:2" ht="15">
      <c r="A2256" s="77" t="s">
        <v>6176</v>
      </c>
      <c r="B2256" s="76" t="s">
        <v>11197</v>
      </c>
    </row>
    <row r="2257" spans="1:2" ht="15">
      <c r="A2257" s="77" t="s">
        <v>3637</v>
      </c>
      <c r="B2257" s="76" t="s">
        <v>11197</v>
      </c>
    </row>
    <row r="2258" spans="1:2" ht="15">
      <c r="A2258" s="77" t="s">
        <v>6177</v>
      </c>
      <c r="B2258" s="76" t="s">
        <v>11197</v>
      </c>
    </row>
    <row r="2259" spans="1:2" ht="15">
      <c r="A2259" s="77" t="s">
        <v>6178</v>
      </c>
      <c r="B2259" s="76" t="s">
        <v>11197</v>
      </c>
    </row>
    <row r="2260" spans="1:2" ht="15">
      <c r="A2260" s="77" t="s">
        <v>6179</v>
      </c>
      <c r="B2260" s="76" t="s">
        <v>11197</v>
      </c>
    </row>
    <row r="2261" spans="1:2" ht="15">
      <c r="A2261" s="77" t="s">
        <v>6180</v>
      </c>
      <c r="B2261" s="76" t="s">
        <v>11197</v>
      </c>
    </row>
    <row r="2262" spans="1:2" ht="15">
      <c r="A2262" s="77" t="s">
        <v>6181</v>
      </c>
      <c r="B2262" s="76" t="s">
        <v>11197</v>
      </c>
    </row>
    <row r="2263" spans="1:2" ht="15">
      <c r="A2263" s="77" t="s">
        <v>6182</v>
      </c>
      <c r="B2263" s="76" t="s">
        <v>11197</v>
      </c>
    </row>
    <row r="2264" spans="1:2" ht="15">
      <c r="A2264" s="77" t="s">
        <v>6183</v>
      </c>
      <c r="B2264" s="76" t="s">
        <v>11197</v>
      </c>
    </row>
    <row r="2265" spans="1:2" ht="15">
      <c r="A2265" s="77" t="s">
        <v>6184</v>
      </c>
      <c r="B2265" s="76" t="s">
        <v>11197</v>
      </c>
    </row>
    <row r="2266" spans="1:2" ht="15">
      <c r="A2266" s="77" t="s">
        <v>6185</v>
      </c>
      <c r="B2266" s="76" t="s">
        <v>11197</v>
      </c>
    </row>
    <row r="2267" spans="1:2" ht="15">
      <c r="A2267" s="77" t="s">
        <v>6186</v>
      </c>
      <c r="B2267" s="76" t="s">
        <v>11197</v>
      </c>
    </row>
    <row r="2268" spans="1:2" ht="15">
      <c r="A2268" s="77" t="s">
        <v>6187</v>
      </c>
      <c r="B2268" s="76" t="s">
        <v>11197</v>
      </c>
    </row>
    <row r="2269" spans="1:2" ht="15">
      <c r="A2269" s="77" t="s">
        <v>6188</v>
      </c>
      <c r="B2269" s="76" t="s">
        <v>11197</v>
      </c>
    </row>
    <row r="2270" spans="1:2" ht="15">
      <c r="A2270" s="77" t="s">
        <v>6189</v>
      </c>
      <c r="B2270" s="76" t="s">
        <v>11197</v>
      </c>
    </row>
    <row r="2271" spans="1:2" ht="15">
      <c r="A2271" s="77" t="s">
        <v>6190</v>
      </c>
      <c r="B2271" s="76" t="s">
        <v>11197</v>
      </c>
    </row>
    <row r="2272" spans="1:2" ht="15">
      <c r="A2272" s="77" t="s">
        <v>6191</v>
      </c>
      <c r="B2272" s="76" t="s">
        <v>11197</v>
      </c>
    </row>
    <row r="2273" spans="1:2" ht="15">
      <c r="A2273" s="77" t="s">
        <v>6192</v>
      </c>
      <c r="B2273" s="76" t="s">
        <v>11197</v>
      </c>
    </row>
    <row r="2274" spans="1:2" ht="15">
      <c r="A2274" s="77" t="s">
        <v>6193</v>
      </c>
      <c r="B2274" s="76" t="s">
        <v>11197</v>
      </c>
    </row>
    <row r="2275" spans="1:2" ht="15">
      <c r="A2275" s="77" t="s">
        <v>6194</v>
      </c>
      <c r="B2275" s="76" t="s">
        <v>11197</v>
      </c>
    </row>
    <row r="2276" spans="1:2" ht="15">
      <c r="A2276" s="77" t="s">
        <v>6195</v>
      </c>
      <c r="B2276" s="76" t="s">
        <v>11197</v>
      </c>
    </row>
    <row r="2277" spans="1:2" ht="15">
      <c r="A2277" s="77" t="s">
        <v>6196</v>
      </c>
      <c r="B2277" s="76" t="s">
        <v>11197</v>
      </c>
    </row>
    <row r="2278" spans="1:2" ht="15">
      <c r="A2278" s="77" t="s">
        <v>6197</v>
      </c>
      <c r="B2278" s="76" t="s">
        <v>11197</v>
      </c>
    </row>
    <row r="2279" spans="1:2" ht="15">
      <c r="A2279" s="77" t="s">
        <v>6198</v>
      </c>
      <c r="B2279" s="76" t="s">
        <v>11197</v>
      </c>
    </row>
    <row r="2280" spans="1:2" ht="15">
      <c r="A2280" s="77" t="s">
        <v>6199</v>
      </c>
      <c r="B2280" s="76" t="s">
        <v>11197</v>
      </c>
    </row>
    <row r="2281" spans="1:2" ht="15">
      <c r="A2281" s="77" t="s">
        <v>6200</v>
      </c>
      <c r="B2281" s="76" t="s">
        <v>11197</v>
      </c>
    </row>
    <row r="2282" spans="1:2" ht="15">
      <c r="A2282" s="77" t="s">
        <v>6201</v>
      </c>
      <c r="B2282" s="76" t="s">
        <v>11197</v>
      </c>
    </row>
    <row r="2283" spans="1:2" ht="15">
      <c r="A2283" s="77" t="s">
        <v>6202</v>
      </c>
      <c r="B2283" s="76" t="s">
        <v>11197</v>
      </c>
    </row>
    <row r="2284" spans="1:2" ht="15">
      <c r="A2284" s="77" t="s">
        <v>6203</v>
      </c>
      <c r="B2284" s="76" t="s">
        <v>11197</v>
      </c>
    </row>
    <row r="2285" spans="1:2" ht="15">
      <c r="A2285" s="77" t="s">
        <v>6204</v>
      </c>
      <c r="B2285" s="76" t="s">
        <v>11197</v>
      </c>
    </row>
    <row r="2286" spans="1:2" ht="15">
      <c r="A2286" s="77" t="s">
        <v>6205</v>
      </c>
      <c r="B2286" s="76" t="s">
        <v>11197</v>
      </c>
    </row>
    <row r="2287" spans="1:2" ht="15">
      <c r="A2287" s="77" t="s">
        <v>6206</v>
      </c>
      <c r="B2287" s="76" t="s">
        <v>11197</v>
      </c>
    </row>
    <row r="2288" spans="1:2" ht="15">
      <c r="A2288" s="77" t="s">
        <v>6207</v>
      </c>
      <c r="B2288" s="76" t="s">
        <v>11197</v>
      </c>
    </row>
    <row r="2289" spans="1:2" ht="15">
      <c r="A2289" s="77" t="s">
        <v>6208</v>
      </c>
      <c r="B2289" s="76" t="s">
        <v>11197</v>
      </c>
    </row>
    <row r="2290" spans="1:2" ht="15">
      <c r="A2290" s="77" t="s">
        <v>3505</v>
      </c>
      <c r="B2290" s="76" t="s">
        <v>11197</v>
      </c>
    </row>
    <row r="2291" spans="1:2" ht="15">
      <c r="A2291" s="77" t="s">
        <v>6209</v>
      </c>
      <c r="B2291" s="76" t="s">
        <v>11197</v>
      </c>
    </row>
    <row r="2292" spans="1:2" ht="15">
      <c r="A2292" s="77" t="s">
        <v>6210</v>
      </c>
      <c r="B2292" s="76" t="s">
        <v>11197</v>
      </c>
    </row>
    <row r="2293" spans="1:2" ht="15">
      <c r="A2293" s="77" t="s">
        <v>6211</v>
      </c>
      <c r="B2293" s="76" t="s">
        <v>11197</v>
      </c>
    </row>
    <row r="2294" spans="1:2" ht="15">
      <c r="A2294" s="77" t="s">
        <v>6212</v>
      </c>
      <c r="B2294" s="76" t="s">
        <v>11197</v>
      </c>
    </row>
    <row r="2295" spans="1:2" ht="15">
      <c r="A2295" s="77" t="s">
        <v>6213</v>
      </c>
      <c r="B2295" s="76" t="s">
        <v>11197</v>
      </c>
    </row>
    <row r="2296" spans="1:2" ht="15">
      <c r="A2296" s="77" t="s">
        <v>6214</v>
      </c>
      <c r="B2296" s="76" t="s">
        <v>11197</v>
      </c>
    </row>
    <row r="2297" spans="1:2" ht="15">
      <c r="A2297" s="77" t="s">
        <v>6215</v>
      </c>
      <c r="B2297" s="76" t="s">
        <v>11197</v>
      </c>
    </row>
    <row r="2298" spans="1:2" ht="15">
      <c r="A2298" s="77" t="s">
        <v>6216</v>
      </c>
      <c r="B2298" s="76" t="s">
        <v>11197</v>
      </c>
    </row>
    <row r="2299" spans="1:2" ht="15">
      <c r="A2299" s="77" t="s">
        <v>6217</v>
      </c>
      <c r="B2299" s="76" t="s">
        <v>11197</v>
      </c>
    </row>
    <row r="2300" spans="1:2" ht="15">
      <c r="A2300" s="77" t="s">
        <v>6218</v>
      </c>
      <c r="B2300" s="76" t="s">
        <v>11197</v>
      </c>
    </row>
    <row r="2301" spans="1:2" ht="15">
      <c r="A2301" s="77" t="s">
        <v>6219</v>
      </c>
      <c r="B2301" s="76" t="s">
        <v>11197</v>
      </c>
    </row>
    <row r="2302" spans="1:2" ht="15">
      <c r="A2302" s="77" t="s">
        <v>6220</v>
      </c>
      <c r="B2302" s="76" t="s">
        <v>11197</v>
      </c>
    </row>
    <row r="2303" spans="1:2" ht="15">
      <c r="A2303" s="77" t="s">
        <v>6221</v>
      </c>
      <c r="B2303" s="76" t="s">
        <v>11197</v>
      </c>
    </row>
    <row r="2304" spans="1:2" ht="15">
      <c r="A2304" s="77" t="s">
        <v>6222</v>
      </c>
      <c r="B2304" s="76" t="s">
        <v>11197</v>
      </c>
    </row>
    <row r="2305" spans="1:2" ht="15">
      <c r="A2305" s="77" t="s">
        <v>6223</v>
      </c>
      <c r="B2305" s="76" t="s">
        <v>11197</v>
      </c>
    </row>
    <row r="2306" spans="1:2" ht="15">
      <c r="A2306" s="77" t="s">
        <v>6224</v>
      </c>
      <c r="B2306" s="76" t="s">
        <v>11197</v>
      </c>
    </row>
    <row r="2307" spans="1:2" ht="15">
      <c r="A2307" s="77" t="s">
        <v>6225</v>
      </c>
      <c r="B2307" s="76" t="s">
        <v>11197</v>
      </c>
    </row>
    <row r="2308" spans="1:2" ht="15">
      <c r="A2308" s="77" t="s">
        <v>6226</v>
      </c>
      <c r="B2308" s="76" t="s">
        <v>11197</v>
      </c>
    </row>
    <row r="2309" spans="1:2" ht="15">
      <c r="A2309" s="77" t="s">
        <v>6227</v>
      </c>
      <c r="B2309" s="76" t="s">
        <v>11197</v>
      </c>
    </row>
    <row r="2310" spans="1:2" ht="15">
      <c r="A2310" s="77" t="s">
        <v>6228</v>
      </c>
      <c r="B2310" s="76" t="s">
        <v>11197</v>
      </c>
    </row>
    <row r="2311" spans="1:2" ht="15">
      <c r="A2311" s="77" t="s">
        <v>6229</v>
      </c>
      <c r="B2311" s="76" t="s">
        <v>11197</v>
      </c>
    </row>
    <row r="2312" spans="1:2" ht="15">
      <c r="A2312" s="77" t="s">
        <v>6230</v>
      </c>
      <c r="B2312" s="76" t="s">
        <v>11197</v>
      </c>
    </row>
    <row r="2313" spans="1:2" ht="15">
      <c r="A2313" s="77" t="s">
        <v>6231</v>
      </c>
      <c r="B2313" s="76" t="s">
        <v>11197</v>
      </c>
    </row>
    <row r="2314" spans="1:2" ht="15">
      <c r="A2314" s="77" t="s">
        <v>6232</v>
      </c>
      <c r="B2314" s="76" t="s">
        <v>11197</v>
      </c>
    </row>
    <row r="2315" spans="1:2" ht="15">
      <c r="A2315" s="77" t="s">
        <v>6233</v>
      </c>
      <c r="B2315" s="76" t="s">
        <v>11197</v>
      </c>
    </row>
    <row r="2316" spans="1:2" ht="15">
      <c r="A2316" s="77" t="s">
        <v>6234</v>
      </c>
      <c r="B2316" s="76" t="s">
        <v>11197</v>
      </c>
    </row>
    <row r="2317" spans="1:2" ht="15">
      <c r="A2317" s="77" t="s">
        <v>6235</v>
      </c>
      <c r="B2317" s="76" t="s">
        <v>11197</v>
      </c>
    </row>
    <row r="2318" spans="1:2" ht="15">
      <c r="A2318" s="77" t="s">
        <v>6236</v>
      </c>
      <c r="B2318" s="76" t="s">
        <v>11197</v>
      </c>
    </row>
    <row r="2319" spans="1:2" ht="15">
      <c r="A2319" s="77" t="s">
        <v>6237</v>
      </c>
      <c r="B2319" s="76" t="s">
        <v>11197</v>
      </c>
    </row>
    <row r="2320" spans="1:2" ht="15">
      <c r="A2320" s="77" t="s">
        <v>3060</v>
      </c>
      <c r="B2320" s="76" t="s">
        <v>11197</v>
      </c>
    </row>
    <row r="2321" spans="1:2" ht="15">
      <c r="A2321" s="77" t="s">
        <v>6238</v>
      </c>
      <c r="B2321" s="76" t="s">
        <v>11197</v>
      </c>
    </row>
    <row r="2322" spans="1:2" ht="15">
      <c r="A2322" s="77" t="s">
        <v>6239</v>
      </c>
      <c r="B2322" s="76" t="s">
        <v>11197</v>
      </c>
    </row>
    <row r="2323" spans="1:2" ht="15">
      <c r="A2323" s="77" t="s">
        <v>6240</v>
      </c>
      <c r="B2323" s="76" t="s">
        <v>11197</v>
      </c>
    </row>
    <row r="2324" spans="1:2" ht="15">
      <c r="A2324" s="77" t="s">
        <v>6241</v>
      </c>
      <c r="B2324" s="76" t="s">
        <v>11197</v>
      </c>
    </row>
    <row r="2325" spans="1:2" ht="15">
      <c r="A2325" s="77" t="s">
        <v>6242</v>
      </c>
      <c r="B2325" s="76" t="s">
        <v>11197</v>
      </c>
    </row>
    <row r="2326" spans="1:2" ht="15">
      <c r="A2326" s="77" t="s">
        <v>6243</v>
      </c>
      <c r="B2326" s="76" t="s">
        <v>11197</v>
      </c>
    </row>
    <row r="2327" spans="1:2" ht="15">
      <c r="A2327" s="77" t="s">
        <v>6244</v>
      </c>
      <c r="B2327" s="76" t="s">
        <v>11197</v>
      </c>
    </row>
    <row r="2328" spans="1:2" ht="15">
      <c r="A2328" s="77" t="s">
        <v>6245</v>
      </c>
      <c r="B2328" s="76" t="s">
        <v>11197</v>
      </c>
    </row>
    <row r="2329" spans="1:2" ht="15">
      <c r="A2329" s="77" t="s">
        <v>6246</v>
      </c>
      <c r="B2329" s="76" t="s">
        <v>11197</v>
      </c>
    </row>
    <row r="2330" spans="1:2" ht="15">
      <c r="A2330" s="77" t="s">
        <v>6247</v>
      </c>
      <c r="B2330" s="76" t="s">
        <v>11197</v>
      </c>
    </row>
    <row r="2331" spans="1:2" ht="15">
      <c r="A2331" s="77" t="s">
        <v>6248</v>
      </c>
      <c r="B2331" s="76" t="s">
        <v>11197</v>
      </c>
    </row>
    <row r="2332" spans="1:2" ht="15">
      <c r="A2332" s="77" t="s">
        <v>6249</v>
      </c>
      <c r="B2332" s="76" t="s">
        <v>11197</v>
      </c>
    </row>
    <row r="2333" spans="1:2" ht="15">
      <c r="A2333" s="77" t="s">
        <v>6250</v>
      </c>
      <c r="B2333" s="76" t="s">
        <v>11197</v>
      </c>
    </row>
    <row r="2334" spans="1:2" ht="15">
      <c r="A2334" s="77" t="s">
        <v>6251</v>
      </c>
      <c r="B2334" s="76" t="s">
        <v>11197</v>
      </c>
    </row>
    <row r="2335" spans="1:2" ht="15">
      <c r="A2335" s="77" t="s">
        <v>6252</v>
      </c>
      <c r="B2335" s="76" t="s">
        <v>11197</v>
      </c>
    </row>
    <row r="2336" spans="1:2" ht="15">
      <c r="A2336" s="77" t="s">
        <v>6253</v>
      </c>
      <c r="B2336" s="76" t="s">
        <v>11197</v>
      </c>
    </row>
    <row r="2337" spans="1:2" ht="15">
      <c r="A2337" s="77" t="s">
        <v>6254</v>
      </c>
      <c r="B2337" s="76" t="s">
        <v>11197</v>
      </c>
    </row>
    <row r="2338" spans="1:2" ht="15">
      <c r="A2338" s="77" t="s">
        <v>6255</v>
      </c>
      <c r="B2338" s="76" t="s">
        <v>11197</v>
      </c>
    </row>
    <row r="2339" spans="1:2" ht="15">
      <c r="A2339" s="77" t="s">
        <v>6256</v>
      </c>
      <c r="B2339" s="76" t="s">
        <v>11197</v>
      </c>
    </row>
    <row r="2340" spans="1:2" ht="15">
      <c r="A2340" s="77" t="s">
        <v>6257</v>
      </c>
      <c r="B2340" s="76" t="s">
        <v>11197</v>
      </c>
    </row>
    <row r="2341" spans="1:2" ht="15">
      <c r="A2341" s="77" t="s">
        <v>6258</v>
      </c>
      <c r="B2341" s="76" t="s">
        <v>11197</v>
      </c>
    </row>
    <row r="2342" spans="1:2" ht="15">
      <c r="A2342" s="77" t="s">
        <v>6259</v>
      </c>
      <c r="B2342" s="76" t="s">
        <v>11197</v>
      </c>
    </row>
    <row r="2343" spans="1:2" ht="15">
      <c r="A2343" s="77" t="s">
        <v>6260</v>
      </c>
      <c r="B2343" s="76" t="s">
        <v>11197</v>
      </c>
    </row>
    <row r="2344" spans="1:2" ht="15">
      <c r="A2344" s="77" t="s">
        <v>6261</v>
      </c>
      <c r="B2344" s="76" t="s">
        <v>11197</v>
      </c>
    </row>
    <row r="2345" spans="1:2" ht="15">
      <c r="A2345" s="77" t="s">
        <v>6262</v>
      </c>
      <c r="B2345" s="76" t="s">
        <v>11197</v>
      </c>
    </row>
    <row r="2346" spans="1:2" ht="15">
      <c r="A2346" s="77" t="s">
        <v>6263</v>
      </c>
      <c r="B2346" s="76" t="s">
        <v>11197</v>
      </c>
    </row>
    <row r="2347" spans="1:2" ht="15">
      <c r="A2347" s="77" t="s">
        <v>6264</v>
      </c>
      <c r="B2347" s="76" t="s">
        <v>11197</v>
      </c>
    </row>
    <row r="2348" spans="1:2" ht="15">
      <c r="A2348" s="77" t="s">
        <v>3052</v>
      </c>
      <c r="B2348" s="76" t="s">
        <v>11197</v>
      </c>
    </row>
    <row r="2349" spans="1:2" ht="15">
      <c r="A2349" s="77" t="s">
        <v>6265</v>
      </c>
      <c r="B2349" s="76" t="s">
        <v>11197</v>
      </c>
    </row>
    <row r="2350" spans="1:2" ht="15">
      <c r="A2350" s="77" t="s">
        <v>6266</v>
      </c>
      <c r="B2350" s="76" t="s">
        <v>11197</v>
      </c>
    </row>
    <row r="2351" spans="1:2" ht="15">
      <c r="A2351" s="77" t="s">
        <v>6267</v>
      </c>
      <c r="B2351" s="76" t="s">
        <v>11197</v>
      </c>
    </row>
    <row r="2352" spans="1:2" ht="15">
      <c r="A2352" s="77" t="s">
        <v>6268</v>
      </c>
      <c r="B2352" s="76" t="s">
        <v>11197</v>
      </c>
    </row>
    <row r="2353" spans="1:2" ht="15">
      <c r="A2353" s="77" t="s">
        <v>6269</v>
      </c>
      <c r="B2353" s="76" t="s">
        <v>11197</v>
      </c>
    </row>
    <row r="2354" spans="1:2" ht="15">
      <c r="A2354" s="77" t="s">
        <v>6270</v>
      </c>
      <c r="B2354" s="76" t="s">
        <v>11197</v>
      </c>
    </row>
    <row r="2355" spans="1:2" ht="15">
      <c r="A2355" s="77" t="s">
        <v>6271</v>
      </c>
      <c r="B2355" s="76" t="s">
        <v>11197</v>
      </c>
    </row>
    <row r="2356" spans="1:2" ht="15">
      <c r="A2356" s="77" t="s">
        <v>6272</v>
      </c>
      <c r="B2356" s="76" t="s">
        <v>11197</v>
      </c>
    </row>
    <row r="2357" spans="1:2" ht="15">
      <c r="A2357" s="77" t="s">
        <v>6273</v>
      </c>
      <c r="B2357" s="76" t="s">
        <v>11197</v>
      </c>
    </row>
    <row r="2358" spans="1:2" ht="15">
      <c r="A2358" s="77" t="s">
        <v>6274</v>
      </c>
      <c r="B2358" s="76" t="s">
        <v>11197</v>
      </c>
    </row>
    <row r="2359" spans="1:2" ht="15">
      <c r="A2359" s="77" t="s">
        <v>6275</v>
      </c>
      <c r="B2359" s="76" t="s">
        <v>11197</v>
      </c>
    </row>
    <row r="2360" spans="1:2" ht="15">
      <c r="A2360" s="77" t="s">
        <v>6276</v>
      </c>
      <c r="B2360" s="76" t="s">
        <v>11197</v>
      </c>
    </row>
    <row r="2361" spans="1:2" ht="15">
      <c r="A2361" s="77" t="s">
        <v>6277</v>
      </c>
      <c r="B2361" s="76" t="s">
        <v>11197</v>
      </c>
    </row>
    <row r="2362" spans="1:2" ht="15">
      <c r="A2362" s="77" t="s">
        <v>6278</v>
      </c>
      <c r="B2362" s="76" t="s">
        <v>11197</v>
      </c>
    </row>
    <row r="2363" spans="1:2" ht="15">
      <c r="A2363" s="77" t="s">
        <v>6279</v>
      </c>
      <c r="B2363" s="76" t="s">
        <v>11197</v>
      </c>
    </row>
    <row r="2364" spans="1:2" ht="15">
      <c r="A2364" s="77" t="s">
        <v>6280</v>
      </c>
      <c r="B2364" s="76" t="s">
        <v>11197</v>
      </c>
    </row>
    <row r="2365" spans="1:2" ht="15">
      <c r="A2365" s="77" t="s">
        <v>6281</v>
      </c>
      <c r="B2365" s="76" t="s">
        <v>11197</v>
      </c>
    </row>
    <row r="2366" spans="1:2" ht="15">
      <c r="A2366" s="77" t="s">
        <v>6282</v>
      </c>
      <c r="B2366" s="76" t="s">
        <v>11197</v>
      </c>
    </row>
    <row r="2367" spans="1:2" ht="15">
      <c r="A2367" s="77" t="s">
        <v>6283</v>
      </c>
      <c r="B2367" s="76" t="s">
        <v>11197</v>
      </c>
    </row>
    <row r="2368" spans="1:2" ht="15">
      <c r="A2368" s="77" t="s">
        <v>6284</v>
      </c>
      <c r="B2368" s="76" t="s">
        <v>11197</v>
      </c>
    </row>
    <row r="2369" spans="1:2" ht="15">
      <c r="A2369" s="77" t="s">
        <v>6285</v>
      </c>
      <c r="B2369" s="76" t="s">
        <v>11197</v>
      </c>
    </row>
    <row r="2370" spans="1:2" ht="15">
      <c r="A2370" s="77" t="s">
        <v>6286</v>
      </c>
      <c r="B2370" s="76" t="s">
        <v>11197</v>
      </c>
    </row>
    <row r="2371" spans="1:2" ht="15">
      <c r="A2371" s="77" t="s">
        <v>6287</v>
      </c>
      <c r="B2371" s="76" t="s">
        <v>11197</v>
      </c>
    </row>
    <row r="2372" spans="1:2" ht="15">
      <c r="A2372" s="77" t="s">
        <v>6288</v>
      </c>
      <c r="B2372" s="76" t="s">
        <v>11197</v>
      </c>
    </row>
    <row r="2373" spans="1:2" ht="15">
      <c r="A2373" s="77" t="s">
        <v>6289</v>
      </c>
      <c r="B2373" s="76" t="s">
        <v>11197</v>
      </c>
    </row>
    <row r="2374" spans="1:2" ht="15">
      <c r="A2374" s="77" t="s">
        <v>6290</v>
      </c>
      <c r="B2374" s="76" t="s">
        <v>11197</v>
      </c>
    </row>
    <row r="2375" spans="1:2" ht="15">
      <c r="A2375" s="77" t="s">
        <v>6291</v>
      </c>
      <c r="B2375" s="76" t="s">
        <v>11197</v>
      </c>
    </row>
    <row r="2376" spans="1:2" ht="15">
      <c r="A2376" s="77" t="s">
        <v>6292</v>
      </c>
      <c r="B2376" s="76" t="s">
        <v>11197</v>
      </c>
    </row>
    <row r="2377" spans="1:2" ht="15">
      <c r="A2377" s="77" t="s">
        <v>6293</v>
      </c>
      <c r="B2377" s="76" t="s">
        <v>11197</v>
      </c>
    </row>
    <row r="2378" spans="1:2" ht="15">
      <c r="A2378" s="77" t="s">
        <v>6294</v>
      </c>
      <c r="B2378" s="76" t="s">
        <v>11197</v>
      </c>
    </row>
    <row r="2379" spans="1:2" ht="15">
      <c r="A2379" s="77" t="s">
        <v>6295</v>
      </c>
      <c r="B2379" s="76" t="s">
        <v>11197</v>
      </c>
    </row>
    <row r="2380" spans="1:2" ht="15">
      <c r="A2380" s="77" t="s">
        <v>6296</v>
      </c>
      <c r="B2380" s="76" t="s">
        <v>11197</v>
      </c>
    </row>
    <row r="2381" spans="1:2" ht="15">
      <c r="A2381" s="77" t="s">
        <v>6297</v>
      </c>
      <c r="B2381" s="76" t="s">
        <v>11197</v>
      </c>
    </row>
    <row r="2382" spans="1:2" ht="15">
      <c r="A2382" s="77" t="s">
        <v>6298</v>
      </c>
      <c r="B2382" s="76" t="s">
        <v>11197</v>
      </c>
    </row>
    <row r="2383" spans="1:2" ht="15">
      <c r="A2383" s="77" t="s">
        <v>6299</v>
      </c>
      <c r="B2383" s="76" t="s">
        <v>11197</v>
      </c>
    </row>
    <row r="2384" spans="1:2" ht="15">
      <c r="A2384" s="77" t="s">
        <v>6300</v>
      </c>
      <c r="B2384" s="76" t="s">
        <v>11197</v>
      </c>
    </row>
    <row r="2385" spans="1:2" ht="15">
      <c r="A2385" s="77" t="s">
        <v>6301</v>
      </c>
      <c r="B2385" s="76" t="s">
        <v>11197</v>
      </c>
    </row>
    <row r="2386" spans="1:2" ht="15">
      <c r="A2386" s="77" t="s">
        <v>6302</v>
      </c>
      <c r="B2386" s="76" t="s">
        <v>11197</v>
      </c>
    </row>
    <row r="2387" spans="1:2" ht="15">
      <c r="A2387" s="77" t="s">
        <v>6303</v>
      </c>
      <c r="B2387" s="76" t="s">
        <v>11197</v>
      </c>
    </row>
    <row r="2388" spans="1:2" ht="15">
      <c r="A2388" s="77" t="s">
        <v>6304</v>
      </c>
      <c r="B2388" s="76" t="s">
        <v>11197</v>
      </c>
    </row>
    <row r="2389" spans="1:2" ht="15">
      <c r="A2389" s="77" t="s">
        <v>6305</v>
      </c>
      <c r="B2389" s="76" t="s">
        <v>11197</v>
      </c>
    </row>
    <row r="2390" spans="1:2" ht="15">
      <c r="A2390" s="77" t="s">
        <v>6306</v>
      </c>
      <c r="B2390" s="76" t="s">
        <v>11197</v>
      </c>
    </row>
    <row r="2391" spans="1:2" ht="15">
      <c r="A2391" s="77" t="s">
        <v>6307</v>
      </c>
      <c r="B2391" s="76" t="s">
        <v>11197</v>
      </c>
    </row>
    <row r="2392" spans="1:2" ht="15">
      <c r="A2392" s="77" t="s">
        <v>6308</v>
      </c>
      <c r="B2392" s="76" t="s">
        <v>11197</v>
      </c>
    </row>
    <row r="2393" spans="1:2" ht="15">
      <c r="A2393" s="77" t="s">
        <v>6309</v>
      </c>
      <c r="B2393" s="76" t="s">
        <v>11197</v>
      </c>
    </row>
    <row r="2394" spans="1:2" ht="15">
      <c r="A2394" s="77" t="s">
        <v>6310</v>
      </c>
      <c r="B2394" s="76" t="s">
        <v>11197</v>
      </c>
    </row>
    <row r="2395" spans="1:2" ht="15">
      <c r="A2395" s="77" t="s">
        <v>6311</v>
      </c>
      <c r="B2395" s="76" t="s">
        <v>11197</v>
      </c>
    </row>
    <row r="2396" spans="1:2" ht="15">
      <c r="A2396" s="77" t="s">
        <v>6312</v>
      </c>
      <c r="B2396" s="76" t="s">
        <v>11197</v>
      </c>
    </row>
    <row r="2397" spans="1:2" ht="15">
      <c r="A2397" s="77" t="s">
        <v>6313</v>
      </c>
      <c r="B2397" s="76" t="s">
        <v>11197</v>
      </c>
    </row>
    <row r="2398" spans="1:2" ht="15">
      <c r="A2398" s="77" t="s">
        <v>6314</v>
      </c>
      <c r="B2398" s="76" t="s">
        <v>11197</v>
      </c>
    </row>
    <row r="2399" spans="1:2" ht="15">
      <c r="A2399" s="77" t="s">
        <v>6315</v>
      </c>
      <c r="B2399" s="76" t="s">
        <v>11197</v>
      </c>
    </row>
    <row r="2400" spans="1:2" ht="15">
      <c r="A2400" s="77" t="s">
        <v>6316</v>
      </c>
      <c r="B2400" s="76" t="s">
        <v>11197</v>
      </c>
    </row>
    <row r="2401" spans="1:2" ht="15">
      <c r="A2401" s="77" t="s">
        <v>6317</v>
      </c>
      <c r="B2401" s="76" t="s">
        <v>11197</v>
      </c>
    </row>
    <row r="2402" spans="1:2" ht="15">
      <c r="A2402" s="77" t="s">
        <v>6318</v>
      </c>
      <c r="B2402" s="76" t="s">
        <v>11197</v>
      </c>
    </row>
    <row r="2403" spans="1:2" ht="15">
      <c r="A2403" s="77" t="s">
        <v>6319</v>
      </c>
      <c r="B2403" s="76" t="s">
        <v>11197</v>
      </c>
    </row>
    <row r="2404" spans="1:2" ht="15">
      <c r="A2404" s="77" t="s">
        <v>6320</v>
      </c>
      <c r="B2404" s="76" t="s">
        <v>11197</v>
      </c>
    </row>
    <row r="2405" spans="1:2" ht="15">
      <c r="A2405" s="77" t="s">
        <v>6321</v>
      </c>
      <c r="B2405" s="76" t="s">
        <v>11197</v>
      </c>
    </row>
    <row r="2406" spans="1:2" ht="15">
      <c r="A2406" s="77" t="s">
        <v>6322</v>
      </c>
      <c r="B2406" s="76" t="s">
        <v>11197</v>
      </c>
    </row>
    <row r="2407" spans="1:2" ht="15">
      <c r="A2407" s="77" t="s">
        <v>6323</v>
      </c>
      <c r="B2407" s="76" t="s">
        <v>11197</v>
      </c>
    </row>
    <row r="2408" spans="1:2" ht="15">
      <c r="A2408" s="77" t="s">
        <v>6324</v>
      </c>
      <c r="B2408" s="76" t="s">
        <v>11197</v>
      </c>
    </row>
    <row r="2409" spans="1:2" ht="15">
      <c r="A2409" s="77" t="s">
        <v>6325</v>
      </c>
      <c r="B2409" s="76" t="s">
        <v>11197</v>
      </c>
    </row>
    <row r="2410" spans="1:2" ht="15">
      <c r="A2410" s="77" t="s">
        <v>6326</v>
      </c>
      <c r="B2410" s="76" t="s">
        <v>11197</v>
      </c>
    </row>
    <row r="2411" spans="1:2" ht="15">
      <c r="A2411" s="77" t="s">
        <v>6327</v>
      </c>
      <c r="B2411" s="76" t="s">
        <v>11197</v>
      </c>
    </row>
    <row r="2412" spans="1:2" ht="15">
      <c r="A2412" s="77" t="s">
        <v>6328</v>
      </c>
      <c r="B2412" s="76" t="s">
        <v>11197</v>
      </c>
    </row>
    <row r="2413" spans="1:2" ht="15">
      <c r="A2413" s="77" t="s">
        <v>6329</v>
      </c>
      <c r="B2413" s="76" t="s">
        <v>11197</v>
      </c>
    </row>
    <row r="2414" spans="1:2" ht="15">
      <c r="A2414" s="77" t="s">
        <v>6330</v>
      </c>
      <c r="B2414" s="76" t="s">
        <v>11197</v>
      </c>
    </row>
    <row r="2415" spans="1:2" ht="15">
      <c r="A2415" s="77" t="s">
        <v>6331</v>
      </c>
      <c r="B2415" s="76" t="s">
        <v>11197</v>
      </c>
    </row>
    <row r="2416" spans="1:2" ht="15">
      <c r="A2416" s="77" t="s">
        <v>6332</v>
      </c>
      <c r="B2416" s="76" t="s">
        <v>11197</v>
      </c>
    </row>
    <row r="2417" spans="1:2" ht="15">
      <c r="A2417" s="77" t="s">
        <v>6333</v>
      </c>
      <c r="B2417" s="76" t="s">
        <v>11197</v>
      </c>
    </row>
    <row r="2418" spans="1:2" ht="15">
      <c r="A2418" s="77" t="s">
        <v>6334</v>
      </c>
      <c r="B2418" s="76" t="s">
        <v>11197</v>
      </c>
    </row>
    <row r="2419" spans="1:2" ht="15">
      <c r="A2419" s="77" t="s">
        <v>6335</v>
      </c>
      <c r="B2419" s="76" t="s">
        <v>11197</v>
      </c>
    </row>
    <row r="2420" spans="1:2" ht="15">
      <c r="A2420" s="77" t="s">
        <v>6336</v>
      </c>
      <c r="B2420" s="76" t="s">
        <v>11197</v>
      </c>
    </row>
    <row r="2421" spans="1:2" ht="15">
      <c r="A2421" s="77" t="s">
        <v>6337</v>
      </c>
      <c r="B2421" s="76" t="s">
        <v>11197</v>
      </c>
    </row>
    <row r="2422" spans="1:2" ht="15">
      <c r="A2422" s="77" t="s">
        <v>6338</v>
      </c>
      <c r="B2422" s="76" t="s">
        <v>11197</v>
      </c>
    </row>
    <row r="2423" spans="1:2" ht="15">
      <c r="A2423" s="77" t="s">
        <v>6339</v>
      </c>
      <c r="B2423" s="76" t="s">
        <v>11197</v>
      </c>
    </row>
    <row r="2424" spans="1:2" ht="15">
      <c r="A2424" s="77" t="s">
        <v>6340</v>
      </c>
      <c r="B2424" s="76" t="s">
        <v>11197</v>
      </c>
    </row>
    <row r="2425" spans="1:2" ht="15">
      <c r="A2425" s="77" t="s">
        <v>6341</v>
      </c>
      <c r="B2425" s="76" t="s">
        <v>11197</v>
      </c>
    </row>
    <row r="2426" spans="1:2" ht="15">
      <c r="A2426" s="77" t="s">
        <v>6342</v>
      </c>
      <c r="B2426" s="76" t="s">
        <v>11197</v>
      </c>
    </row>
    <row r="2427" spans="1:2" ht="15">
      <c r="A2427" s="77" t="s">
        <v>6343</v>
      </c>
      <c r="B2427" s="76" t="s">
        <v>11197</v>
      </c>
    </row>
    <row r="2428" spans="1:2" ht="15">
      <c r="A2428" s="77" t="s">
        <v>6344</v>
      </c>
      <c r="B2428" s="76" t="s">
        <v>11197</v>
      </c>
    </row>
    <row r="2429" spans="1:2" ht="15">
      <c r="A2429" s="77" t="s">
        <v>6345</v>
      </c>
      <c r="B2429" s="76" t="s">
        <v>11197</v>
      </c>
    </row>
    <row r="2430" spans="1:2" ht="15">
      <c r="A2430" s="77" t="s">
        <v>6346</v>
      </c>
      <c r="B2430" s="76" t="s">
        <v>11197</v>
      </c>
    </row>
    <row r="2431" spans="1:2" ht="15">
      <c r="A2431" s="77" t="s">
        <v>6347</v>
      </c>
      <c r="B2431" s="76" t="s">
        <v>11197</v>
      </c>
    </row>
    <row r="2432" spans="1:2" ht="15">
      <c r="A2432" s="77" t="s">
        <v>6348</v>
      </c>
      <c r="B2432" s="76" t="s">
        <v>11197</v>
      </c>
    </row>
    <row r="2433" spans="1:2" ht="15">
      <c r="A2433" s="77" t="s">
        <v>6349</v>
      </c>
      <c r="B2433" s="76" t="s">
        <v>11197</v>
      </c>
    </row>
    <row r="2434" spans="1:2" ht="15">
      <c r="A2434" s="77" t="s">
        <v>6350</v>
      </c>
      <c r="B2434" s="76" t="s">
        <v>11197</v>
      </c>
    </row>
    <row r="2435" spans="1:2" ht="15">
      <c r="A2435" s="77" t="s">
        <v>6351</v>
      </c>
      <c r="B2435" s="76" t="s">
        <v>11197</v>
      </c>
    </row>
    <row r="2436" spans="1:2" ht="15">
      <c r="A2436" s="77" t="s">
        <v>6352</v>
      </c>
      <c r="B2436" s="76" t="s">
        <v>11197</v>
      </c>
    </row>
    <row r="2437" spans="1:2" ht="15">
      <c r="A2437" s="77" t="s">
        <v>6353</v>
      </c>
      <c r="B2437" s="76" t="s">
        <v>11197</v>
      </c>
    </row>
    <row r="2438" spans="1:2" ht="15">
      <c r="A2438" s="77" t="s">
        <v>6354</v>
      </c>
      <c r="B2438" s="76" t="s">
        <v>11197</v>
      </c>
    </row>
    <row r="2439" spans="1:2" ht="15">
      <c r="A2439" s="77" t="s">
        <v>6355</v>
      </c>
      <c r="B2439" s="76" t="s">
        <v>11197</v>
      </c>
    </row>
    <row r="2440" spans="1:2" ht="15">
      <c r="A2440" s="77" t="s">
        <v>6356</v>
      </c>
      <c r="B2440" s="76" t="s">
        <v>11197</v>
      </c>
    </row>
    <row r="2441" spans="1:2" ht="15">
      <c r="A2441" s="77" t="s">
        <v>6357</v>
      </c>
      <c r="B2441" s="76" t="s">
        <v>11197</v>
      </c>
    </row>
    <row r="2442" spans="1:2" ht="15">
      <c r="A2442" s="77" t="s">
        <v>6358</v>
      </c>
      <c r="B2442" s="76" t="s">
        <v>11197</v>
      </c>
    </row>
    <row r="2443" spans="1:2" ht="15">
      <c r="A2443" s="77" t="s">
        <v>6359</v>
      </c>
      <c r="B2443" s="76" t="s">
        <v>11197</v>
      </c>
    </row>
    <row r="2444" spans="1:2" ht="15">
      <c r="A2444" s="77" t="s">
        <v>6360</v>
      </c>
      <c r="B2444" s="76" t="s">
        <v>11197</v>
      </c>
    </row>
    <row r="2445" spans="1:2" ht="15">
      <c r="A2445" s="77" t="s">
        <v>6361</v>
      </c>
      <c r="B2445" s="76" t="s">
        <v>11197</v>
      </c>
    </row>
    <row r="2446" spans="1:2" ht="15">
      <c r="A2446" s="77" t="s">
        <v>6362</v>
      </c>
      <c r="B2446" s="76" t="s">
        <v>11197</v>
      </c>
    </row>
    <row r="2447" spans="1:2" ht="15">
      <c r="A2447" s="77" t="s">
        <v>6363</v>
      </c>
      <c r="B2447" s="76" t="s">
        <v>11197</v>
      </c>
    </row>
    <row r="2448" spans="1:2" ht="15">
      <c r="A2448" s="77" t="s">
        <v>6364</v>
      </c>
      <c r="B2448" s="76" t="s">
        <v>11197</v>
      </c>
    </row>
    <row r="2449" spans="1:2" ht="15">
      <c r="A2449" s="77" t="s">
        <v>6365</v>
      </c>
      <c r="B2449" s="76" t="s">
        <v>11197</v>
      </c>
    </row>
    <row r="2450" spans="1:2" ht="15">
      <c r="A2450" s="77" t="s">
        <v>6366</v>
      </c>
      <c r="B2450" s="76" t="s">
        <v>11197</v>
      </c>
    </row>
    <row r="2451" spans="1:2" ht="15">
      <c r="A2451" s="77" t="s">
        <v>6367</v>
      </c>
      <c r="B2451" s="76" t="s">
        <v>11197</v>
      </c>
    </row>
    <row r="2452" spans="1:2" ht="15">
      <c r="A2452" s="77" t="s">
        <v>6368</v>
      </c>
      <c r="B2452" s="76" t="s">
        <v>11197</v>
      </c>
    </row>
    <row r="2453" spans="1:2" ht="15">
      <c r="A2453" s="77" t="s">
        <v>6369</v>
      </c>
      <c r="B2453" s="76" t="s">
        <v>11197</v>
      </c>
    </row>
    <row r="2454" spans="1:2" ht="15">
      <c r="A2454" s="77" t="s">
        <v>6370</v>
      </c>
      <c r="B2454" s="76" t="s">
        <v>11197</v>
      </c>
    </row>
    <row r="2455" spans="1:2" ht="15">
      <c r="A2455" s="77" t="s">
        <v>6371</v>
      </c>
      <c r="B2455" s="76" t="s">
        <v>11197</v>
      </c>
    </row>
    <row r="2456" spans="1:2" ht="15">
      <c r="A2456" s="77" t="s">
        <v>6372</v>
      </c>
      <c r="B2456" s="76" t="s">
        <v>11197</v>
      </c>
    </row>
    <row r="2457" spans="1:2" ht="15">
      <c r="A2457" s="77" t="s">
        <v>6373</v>
      </c>
      <c r="B2457" s="76" t="s">
        <v>11197</v>
      </c>
    </row>
    <row r="2458" spans="1:2" ht="15">
      <c r="A2458" s="77" t="s">
        <v>6374</v>
      </c>
      <c r="B2458" s="76" t="s">
        <v>11197</v>
      </c>
    </row>
    <row r="2459" spans="1:2" ht="15">
      <c r="A2459" s="77" t="s">
        <v>6375</v>
      </c>
      <c r="B2459" s="76" t="s">
        <v>11197</v>
      </c>
    </row>
    <row r="2460" spans="1:2" ht="15">
      <c r="A2460" s="77" t="s">
        <v>6376</v>
      </c>
      <c r="B2460" s="76" t="s">
        <v>11197</v>
      </c>
    </row>
    <row r="2461" spans="1:2" ht="15">
      <c r="A2461" s="77" t="s">
        <v>6377</v>
      </c>
      <c r="B2461" s="76" t="s">
        <v>11197</v>
      </c>
    </row>
    <row r="2462" spans="1:2" ht="15">
      <c r="A2462" s="77" t="s">
        <v>3816</v>
      </c>
      <c r="B2462" s="76" t="s">
        <v>11197</v>
      </c>
    </row>
    <row r="2463" spans="1:2" ht="15">
      <c r="A2463" s="77" t="s">
        <v>3309</v>
      </c>
      <c r="B2463" s="76" t="s">
        <v>11197</v>
      </c>
    </row>
    <row r="2464" spans="1:2" ht="15">
      <c r="A2464" s="77" t="s">
        <v>6378</v>
      </c>
      <c r="B2464" s="76" t="s">
        <v>11197</v>
      </c>
    </row>
    <row r="2465" spans="1:2" ht="15">
      <c r="A2465" s="77" t="s">
        <v>6379</v>
      </c>
      <c r="B2465" s="76" t="s">
        <v>11197</v>
      </c>
    </row>
    <row r="2466" spans="1:2" ht="15">
      <c r="A2466" s="77" t="s">
        <v>6380</v>
      </c>
      <c r="B2466" s="76" t="s">
        <v>11197</v>
      </c>
    </row>
    <row r="2467" spans="1:2" ht="15">
      <c r="A2467" s="77" t="s">
        <v>6381</v>
      </c>
      <c r="B2467" s="76" t="s">
        <v>11197</v>
      </c>
    </row>
    <row r="2468" spans="1:2" ht="15">
      <c r="A2468" s="77" t="s">
        <v>6382</v>
      </c>
      <c r="B2468" s="76" t="s">
        <v>11197</v>
      </c>
    </row>
    <row r="2469" spans="1:2" ht="15">
      <c r="A2469" s="77" t="s">
        <v>6383</v>
      </c>
      <c r="B2469" s="76" t="s">
        <v>11197</v>
      </c>
    </row>
    <row r="2470" spans="1:2" ht="15">
      <c r="A2470" s="77" t="s">
        <v>6384</v>
      </c>
      <c r="B2470" s="76" t="s">
        <v>11197</v>
      </c>
    </row>
    <row r="2471" spans="1:2" ht="15">
      <c r="A2471" s="77" t="s">
        <v>6385</v>
      </c>
      <c r="B2471" s="76" t="s">
        <v>11197</v>
      </c>
    </row>
    <row r="2472" spans="1:2" ht="15">
      <c r="A2472" s="77" t="s">
        <v>6386</v>
      </c>
      <c r="B2472" s="76" t="s">
        <v>11197</v>
      </c>
    </row>
    <row r="2473" spans="1:2" ht="15">
      <c r="A2473" s="77" t="s">
        <v>6387</v>
      </c>
      <c r="B2473" s="76" t="s">
        <v>11197</v>
      </c>
    </row>
    <row r="2474" spans="1:2" ht="15">
      <c r="A2474" s="77" t="s">
        <v>6388</v>
      </c>
      <c r="B2474" s="76" t="s">
        <v>11197</v>
      </c>
    </row>
    <row r="2475" spans="1:2" ht="15">
      <c r="A2475" s="77" t="s">
        <v>6389</v>
      </c>
      <c r="B2475" s="76" t="s">
        <v>11197</v>
      </c>
    </row>
    <row r="2476" spans="1:2" ht="15">
      <c r="A2476" s="77" t="s">
        <v>6390</v>
      </c>
      <c r="B2476" s="76" t="s">
        <v>11197</v>
      </c>
    </row>
    <row r="2477" spans="1:2" ht="15">
      <c r="A2477" s="77" t="s">
        <v>6391</v>
      </c>
      <c r="B2477" s="76" t="s">
        <v>11197</v>
      </c>
    </row>
    <row r="2478" spans="1:2" ht="15">
      <c r="A2478" s="77" t="s">
        <v>6392</v>
      </c>
      <c r="B2478" s="76" t="s">
        <v>11197</v>
      </c>
    </row>
    <row r="2479" spans="1:2" ht="15">
      <c r="A2479" s="77" t="s">
        <v>6393</v>
      </c>
      <c r="B2479" s="76" t="s">
        <v>11197</v>
      </c>
    </row>
    <row r="2480" spans="1:2" ht="15">
      <c r="A2480" s="77" t="s">
        <v>6394</v>
      </c>
      <c r="B2480" s="76" t="s">
        <v>11197</v>
      </c>
    </row>
    <row r="2481" spans="1:2" ht="15">
      <c r="A2481" s="77" t="s">
        <v>6395</v>
      </c>
      <c r="B2481" s="76" t="s">
        <v>11197</v>
      </c>
    </row>
    <row r="2482" spans="1:2" ht="15">
      <c r="A2482" s="77" t="s">
        <v>6396</v>
      </c>
      <c r="B2482" s="76" t="s">
        <v>11197</v>
      </c>
    </row>
    <row r="2483" spans="1:2" ht="15">
      <c r="A2483" s="77" t="s">
        <v>6397</v>
      </c>
      <c r="B2483" s="76" t="s">
        <v>11197</v>
      </c>
    </row>
    <row r="2484" spans="1:2" ht="15">
      <c r="A2484" s="77" t="s">
        <v>6398</v>
      </c>
      <c r="B2484" s="76" t="s">
        <v>11197</v>
      </c>
    </row>
    <row r="2485" spans="1:2" ht="15">
      <c r="A2485" s="77" t="s">
        <v>6399</v>
      </c>
      <c r="B2485" s="76" t="s">
        <v>11197</v>
      </c>
    </row>
    <row r="2486" spans="1:2" ht="15">
      <c r="A2486" s="77" t="s">
        <v>6400</v>
      </c>
      <c r="B2486" s="76" t="s">
        <v>11197</v>
      </c>
    </row>
    <row r="2487" spans="1:2" ht="15">
      <c r="A2487" s="77" t="s">
        <v>6401</v>
      </c>
      <c r="B2487" s="76" t="s">
        <v>11197</v>
      </c>
    </row>
    <row r="2488" spans="1:2" ht="15">
      <c r="A2488" s="77" t="s">
        <v>6402</v>
      </c>
      <c r="B2488" s="76" t="s">
        <v>11197</v>
      </c>
    </row>
    <row r="2489" spans="1:2" ht="15">
      <c r="A2489" s="77" t="s">
        <v>6403</v>
      </c>
      <c r="B2489" s="76" t="s">
        <v>11197</v>
      </c>
    </row>
    <row r="2490" spans="1:2" ht="15">
      <c r="A2490" s="77" t="s">
        <v>6404</v>
      </c>
      <c r="B2490" s="76" t="s">
        <v>11197</v>
      </c>
    </row>
    <row r="2491" spans="1:2" ht="15">
      <c r="A2491" s="77" t="s">
        <v>6405</v>
      </c>
      <c r="B2491" s="76" t="s">
        <v>11197</v>
      </c>
    </row>
    <row r="2492" spans="1:2" ht="15">
      <c r="A2492" s="77" t="s">
        <v>6406</v>
      </c>
      <c r="B2492" s="76" t="s">
        <v>11197</v>
      </c>
    </row>
    <row r="2493" spans="1:2" ht="15">
      <c r="A2493" s="77" t="s">
        <v>6407</v>
      </c>
      <c r="B2493" s="76" t="s">
        <v>11197</v>
      </c>
    </row>
    <row r="2494" spans="1:2" ht="15">
      <c r="A2494" s="77" t="s">
        <v>6408</v>
      </c>
      <c r="B2494" s="76" t="s">
        <v>11197</v>
      </c>
    </row>
    <row r="2495" spans="1:2" ht="15">
      <c r="A2495" s="77" t="s">
        <v>6409</v>
      </c>
      <c r="B2495" s="76" t="s">
        <v>11197</v>
      </c>
    </row>
    <row r="2496" spans="1:2" ht="15">
      <c r="A2496" s="77" t="s">
        <v>6410</v>
      </c>
      <c r="B2496" s="76" t="s">
        <v>11197</v>
      </c>
    </row>
    <row r="2497" spans="1:2" ht="15">
      <c r="A2497" s="77" t="s">
        <v>6411</v>
      </c>
      <c r="B2497" s="76" t="s">
        <v>11197</v>
      </c>
    </row>
    <row r="2498" spans="1:2" ht="15">
      <c r="A2498" s="77" t="s">
        <v>6412</v>
      </c>
      <c r="B2498" s="76" t="s">
        <v>11197</v>
      </c>
    </row>
    <row r="2499" spans="1:2" ht="15">
      <c r="A2499" s="77" t="s">
        <v>6413</v>
      </c>
      <c r="B2499" s="76" t="s">
        <v>11197</v>
      </c>
    </row>
    <row r="2500" spans="1:2" ht="15">
      <c r="A2500" s="77" t="s">
        <v>6414</v>
      </c>
      <c r="B2500" s="76" t="s">
        <v>11197</v>
      </c>
    </row>
    <row r="2501" spans="1:2" ht="15">
      <c r="A2501" s="77" t="s">
        <v>6415</v>
      </c>
      <c r="B2501" s="76" t="s">
        <v>11197</v>
      </c>
    </row>
    <row r="2502" spans="1:2" ht="15">
      <c r="A2502" s="77" t="s">
        <v>6416</v>
      </c>
      <c r="B2502" s="76" t="s">
        <v>11197</v>
      </c>
    </row>
    <row r="2503" spans="1:2" ht="15">
      <c r="A2503" s="77" t="s">
        <v>6417</v>
      </c>
      <c r="B2503" s="76" t="s">
        <v>11197</v>
      </c>
    </row>
    <row r="2504" spans="1:2" ht="15">
      <c r="A2504" s="77" t="s">
        <v>6418</v>
      </c>
      <c r="B2504" s="76" t="s">
        <v>11197</v>
      </c>
    </row>
    <row r="2505" spans="1:2" ht="15">
      <c r="A2505" s="77" t="s">
        <v>6419</v>
      </c>
      <c r="B2505" s="76" t="s">
        <v>11197</v>
      </c>
    </row>
    <row r="2506" spans="1:2" ht="15">
      <c r="A2506" s="77" t="s">
        <v>6420</v>
      </c>
      <c r="B2506" s="76" t="s">
        <v>11197</v>
      </c>
    </row>
    <row r="2507" spans="1:2" ht="15">
      <c r="A2507" s="77" t="s">
        <v>6421</v>
      </c>
      <c r="B2507" s="76" t="s">
        <v>11197</v>
      </c>
    </row>
    <row r="2508" spans="1:2" ht="15">
      <c r="A2508" s="77" t="s">
        <v>6422</v>
      </c>
      <c r="B2508" s="76" t="s">
        <v>11197</v>
      </c>
    </row>
    <row r="2509" spans="1:2" ht="15">
      <c r="A2509" s="77" t="s">
        <v>6423</v>
      </c>
      <c r="B2509" s="76" t="s">
        <v>11197</v>
      </c>
    </row>
    <row r="2510" spans="1:2" ht="15">
      <c r="A2510" s="77" t="s">
        <v>6424</v>
      </c>
      <c r="B2510" s="76" t="s">
        <v>11197</v>
      </c>
    </row>
    <row r="2511" spans="1:2" ht="15">
      <c r="A2511" s="77" t="s">
        <v>6425</v>
      </c>
      <c r="B2511" s="76" t="s">
        <v>11197</v>
      </c>
    </row>
    <row r="2512" spans="1:2" ht="15">
      <c r="A2512" s="77" t="s">
        <v>6426</v>
      </c>
      <c r="B2512" s="76" t="s">
        <v>11197</v>
      </c>
    </row>
    <row r="2513" spans="1:2" ht="15">
      <c r="A2513" s="77" t="s">
        <v>6427</v>
      </c>
      <c r="B2513" s="76" t="s">
        <v>11197</v>
      </c>
    </row>
    <row r="2514" spans="1:2" ht="15">
      <c r="A2514" s="77" t="s">
        <v>6428</v>
      </c>
      <c r="B2514" s="76" t="s">
        <v>11197</v>
      </c>
    </row>
    <row r="2515" spans="1:2" ht="15">
      <c r="A2515" s="77" t="s">
        <v>6429</v>
      </c>
      <c r="B2515" s="76" t="s">
        <v>11197</v>
      </c>
    </row>
    <row r="2516" spans="1:2" ht="15">
      <c r="A2516" s="77" t="s">
        <v>3461</v>
      </c>
      <c r="B2516" s="76" t="s">
        <v>11197</v>
      </c>
    </row>
    <row r="2517" spans="1:2" ht="15">
      <c r="A2517" s="77" t="s">
        <v>6430</v>
      </c>
      <c r="B2517" s="76" t="s">
        <v>11197</v>
      </c>
    </row>
    <row r="2518" spans="1:2" ht="15">
      <c r="A2518" s="77" t="s">
        <v>6431</v>
      </c>
      <c r="B2518" s="76" t="s">
        <v>11197</v>
      </c>
    </row>
    <row r="2519" spans="1:2" ht="15">
      <c r="A2519" s="77" t="s">
        <v>3450</v>
      </c>
      <c r="B2519" s="76" t="s">
        <v>11197</v>
      </c>
    </row>
    <row r="2520" spans="1:2" ht="15">
      <c r="A2520" s="77" t="s">
        <v>6432</v>
      </c>
      <c r="B2520" s="76" t="s">
        <v>11197</v>
      </c>
    </row>
    <row r="2521" spans="1:2" ht="15">
      <c r="A2521" s="77" t="s">
        <v>6433</v>
      </c>
      <c r="B2521" s="76" t="s">
        <v>11197</v>
      </c>
    </row>
    <row r="2522" spans="1:2" ht="15">
      <c r="A2522" s="77" t="s">
        <v>6434</v>
      </c>
      <c r="B2522" s="76" t="s">
        <v>11197</v>
      </c>
    </row>
    <row r="2523" spans="1:2" ht="15">
      <c r="A2523" s="77" t="s">
        <v>6435</v>
      </c>
      <c r="B2523" s="76" t="s">
        <v>11197</v>
      </c>
    </row>
    <row r="2524" spans="1:2" ht="15">
      <c r="A2524" s="77" t="s">
        <v>3863</v>
      </c>
      <c r="B2524" s="76" t="s">
        <v>11197</v>
      </c>
    </row>
    <row r="2525" spans="1:2" ht="15">
      <c r="A2525" s="77" t="s">
        <v>6436</v>
      </c>
      <c r="B2525" s="76" t="s">
        <v>11197</v>
      </c>
    </row>
    <row r="2526" spans="1:2" ht="15">
      <c r="A2526" s="77" t="s">
        <v>6437</v>
      </c>
      <c r="B2526" s="76" t="s">
        <v>11197</v>
      </c>
    </row>
    <row r="2527" spans="1:2" ht="15">
      <c r="A2527" s="77" t="s">
        <v>6438</v>
      </c>
      <c r="B2527" s="76" t="s">
        <v>11197</v>
      </c>
    </row>
    <row r="2528" spans="1:2" ht="15">
      <c r="A2528" s="77" t="s">
        <v>6439</v>
      </c>
      <c r="B2528" s="76" t="s">
        <v>11197</v>
      </c>
    </row>
    <row r="2529" spans="1:2" ht="15">
      <c r="A2529" s="77" t="s">
        <v>6440</v>
      </c>
      <c r="B2529" s="76" t="s">
        <v>11197</v>
      </c>
    </row>
    <row r="2530" spans="1:2" ht="15">
      <c r="A2530" s="77" t="s">
        <v>6441</v>
      </c>
      <c r="B2530" s="76" t="s">
        <v>11197</v>
      </c>
    </row>
    <row r="2531" spans="1:2" ht="15">
      <c r="A2531" s="77" t="s">
        <v>6442</v>
      </c>
      <c r="B2531" s="76" t="s">
        <v>11197</v>
      </c>
    </row>
    <row r="2532" spans="1:2" ht="15">
      <c r="A2532" s="77" t="s">
        <v>6443</v>
      </c>
      <c r="B2532" s="76" t="s">
        <v>11197</v>
      </c>
    </row>
    <row r="2533" spans="1:2" ht="15">
      <c r="A2533" s="77" t="s">
        <v>6444</v>
      </c>
      <c r="B2533" s="76" t="s">
        <v>11197</v>
      </c>
    </row>
    <row r="2534" spans="1:2" ht="15">
      <c r="A2534" s="77" t="s">
        <v>6445</v>
      </c>
      <c r="B2534" s="76" t="s">
        <v>11198</v>
      </c>
    </row>
    <row r="2535" spans="1:2" ht="15">
      <c r="A2535" s="77" t="s">
        <v>6446</v>
      </c>
      <c r="B2535" s="76" t="s">
        <v>11198</v>
      </c>
    </row>
    <row r="2536" spans="1:2" ht="15">
      <c r="A2536" s="77" t="s">
        <v>6447</v>
      </c>
      <c r="B2536" s="76" t="s">
        <v>11198</v>
      </c>
    </row>
    <row r="2537" spans="1:2" ht="15">
      <c r="A2537" s="77" t="s">
        <v>6448</v>
      </c>
      <c r="B2537" s="76" t="s">
        <v>11198</v>
      </c>
    </row>
    <row r="2538" spans="1:2" ht="15">
      <c r="A2538" s="77" t="s">
        <v>6449</v>
      </c>
      <c r="B2538" s="76" t="s">
        <v>11198</v>
      </c>
    </row>
    <row r="2539" spans="1:2" ht="15">
      <c r="A2539" s="77" t="s">
        <v>6450</v>
      </c>
      <c r="B2539" s="76" t="s">
        <v>11198</v>
      </c>
    </row>
    <row r="2540" spans="1:2" ht="15">
      <c r="A2540" s="77" t="s">
        <v>6451</v>
      </c>
      <c r="B2540" s="76" t="s">
        <v>11198</v>
      </c>
    </row>
    <row r="2541" spans="1:2" ht="15">
      <c r="A2541" s="77" t="s">
        <v>6452</v>
      </c>
      <c r="B2541" s="76" t="s">
        <v>11198</v>
      </c>
    </row>
    <row r="2542" spans="1:2" ht="15">
      <c r="A2542" s="77" t="s">
        <v>6453</v>
      </c>
      <c r="B2542" s="76" t="s">
        <v>11198</v>
      </c>
    </row>
    <row r="2543" spans="1:2" ht="15">
      <c r="A2543" s="77" t="s">
        <v>6454</v>
      </c>
      <c r="B2543" s="76" t="s">
        <v>11198</v>
      </c>
    </row>
    <row r="2544" spans="1:2" ht="15">
      <c r="A2544" s="77" t="s">
        <v>6455</v>
      </c>
      <c r="B2544" s="76" t="s">
        <v>11198</v>
      </c>
    </row>
    <row r="2545" spans="1:2" ht="15">
      <c r="A2545" s="77" t="s">
        <v>6456</v>
      </c>
      <c r="B2545" s="76" t="s">
        <v>11198</v>
      </c>
    </row>
    <row r="2546" spans="1:2" ht="15">
      <c r="A2546" s="77" t="s">
        <v>6457</v>
      </c>
      <c r="B2546" s="76" t="s">
        <v>11198</v>
      </c>
    </row>
    <row r="2547" spans="1:2" ht="15">
      <c r="A2547" s="77" t="s">
        <v>6458</v>
      </c>
      <c r="B2547" s="76" t="s">
        <v>11198</v>
      </c>
    </row>
    <row r="2548" spans="1:2" ht="15">
      <c r="A2548" s="77" t="s">
        <v>6459</v>
      </c>
      <c r="B2548" s="76" t="s">
        <v>11198</v>
      </c>
    </row>
    <row r="2549" spans="1:2" ht="15">
      <c r="A2549" s="77" t="s">
        <v>6460</v>
      </c>
      <c r="B2549" s="76" t="s">
        <v>11198</v>
      </c>
    </row>
    <row r="2550" spans="1:2" ht="15">
      <c r="A2550" s="77" t="s">
        <v>6461</v>
      </c>
      <c r="B2550" s="76" t="s">
        <v>11198</v>
      </c>
    </row>
    <row r="2551" spans="1:2" ht="15">
      <c r="A2551" s="77" t="s">
        <v>6462</v>
      </c>
      <c r="B2551" s="76" t="s">
        <v>11198</v>
      </c>
    </row>
    <row r="2552" spans="1:2" ht="15">
      <c r="A2552" s="77" t="s">
        <v>6463</v>
      </c>
      <c r="B2552" s="76" t="s">
        <v>11198</v>
      </c>
    </row>
    <row r="2553" spans="1:2" ht="15">
      <c r="A2553" s="77" t="s">
        <v>6464</v>
      </c>
      <c r="B2553" s="76" t="s">
        <v>11198</v>
      </c>
    </row>
    <row r="2554" spans="1:2" ht="15">
      <c r="A2554" s="77" t="s">
        <v>6465</v>
      </c>
      <c r="B2554" s="76" t="s">
        <v>11198</v>
      </c>
    </row>
    <row r="2555" spans="1:2" ht="15">
      <c r="A2555" s="77" t="s">
        <v>6466</v>
      </c>
      <c r="B2555" s="76" t="s">
        <v>11198</v>
      </c>
    </row>
    <row r="2556" spans="1:2" ht="15">
      <c r="A2556" s="77" t="s">
        <v>6467</v>
      </c>
      <c r="B2556" s="76" t="s">
        <v>11198</v>
      </c>
    </row>
    <row r="2557" spans="1:2" ht="15">
      <c r="A2557" s="77" t="s">
        <v>6468</v>
      </c>
      <c r="B2557" s="76" t="s">
        <v>11198</v>
      </c>
    </row>
    <row r="2558" spans="1:2" ht="15">
      <c r="A2558" s="77" t="s">
        <v>6469</v>
      </c>
      <c r="B2558" s="76" t="s">
        <v>11198</v>
      </c>
    </row>
    <row r="2559" spans="1:2" ht="15">
      <c r="A2559" s="77" t="s">
        <v>6470</v>
      </c>
      <c r="B2559" s="76" t="s">
        <v>11198</v>
      </c>
    </row>
    <row r="2560" spans="1:2" ht="15">
      <c r="A2560" s="77" t="s">
        <v>6471</v>
      </c>
      <c r="B2560" s="76" t="s">
        <v>11198</v>
      </c>
    </row>
    <row r="2561" spans="1:2" ht="15">
      <c r="A2561" s="77" t="s">
        <v>6472</v>
      </c>
      <c r="B2561" s="76" t="s">
        <v>11198</v>
      </c>
    </row>
    <row r="2562" spans="1:2" ht="15">
      <c r="A2562" s="77" t="s">
        <v>6473</v>
      </c>
      <c r="B2562" s="76" t="s">
        <v>11198</v>
      </c>
    </row>
    <row r="2563" spans="1:2" ht="15">
      <c r="A2563" s="77" t="s">
        <v>6474</v>
      </c>
      <c r="B2563" s="76" t="s">
        <v>11198</v>
      </c>
    </row>
    <row r="2564" spans="1:2" ht="15">
      <c r="A2564" s="77" t="s">
        <v>6475</v>
      </c>
      <c r="B2564" s="76" t="s">
        <v>11198</v>
      </c>
    </row>
    <row r="2565" spans="1:2" ht="15">
      <c r="A2565" s="77" t="s">
        <v>6476</v>
      </c>
      <c r="B2565" s="76" t="s">
        <v>11198</v>
      </c>
    </row>
    <row r="2566" spans="1:2" ht="15">
      <c r="A2566" s="77" t="s">
        <v>6477</v>
      </c>
      <c r="B2566" s="76" t="s">
        <v>11198</v>
      </c>
    </row>
    <row r="2567" spans="1:2" ht="15">
      <c r="A2567" s="77" t="s">
        <v>6478</v>
      </c>
      <c r="B2567" s="76" t="s">
        <v>11198</v>
      </c>
    </row>
    <row r="2568" spans="1:2" ht="15">
      <c r="A2568" s="77" t="s">
        <v>6479</v>
      </c>
      <c r="B2568" s="76" t="s">
        <v>11198</v>
      </c>
    </row>
    <row r="2569" spans="1:2" ht="15">
      <c r="A2569" s="77" t="s">
        <v>6480</v>
      </c>
      <c r="B2569" s="76" t="s">
        <v>11198</v>
      </c>
    </row>
    <row r="2570" spans="1:2" ht="15">
      <c r="A2570" s="77" t="s">
        <v>6481</v>
      </c>
      <c r="B2570" s="76" t="s">
        <v>11198</v>
      </c>
    </row>
    <row r="2571" spans="1:2" ht="15">
      <c r="A2571" s="77" t="s">
        <v>6482</v>
      </c>
      <c r="B2571" s="76" t="s">
        <v>11198</v>
      </c>
    </row>
    <row r="2572" spans="1:2" ht="15">
      <c r="A2572" s="77" t="s">
        <v>6483</v>
      </c>
      <c r="B2572" s="76" t="s">
        <v>11198</v>
      </c>
    </row>
    <row r="2573" spans="1:2" ht="15">
      <c r="A2573" s="77" t="s">
        <v>6484</v>
      </c>
      <c r="B2573" s="76" t="s">
        <v>11198</v>
      </c>
    </row>
    <row r="2574" spans="1:2" ht="15">
      <c r="A2574" s="77" t="s">
        <v>6485</v>
      </c>
      <c r="B2574" s="76" t="s">
        <v>11198</v>
      </c>
    </row>
    <row r="2575" spans="1:2" ht="15">
      <c r="A2575" s="77" t="s">
        <v>6486</v>
      </c>
      <c r="B2575" s="76" t="s">
        <v>11198</v>
      </c>
    </row>
    <row r="2576" spans="1:2" ht="15">
      <c r="A2576" s="77" t="s">
        <v>6487</v>
      </c>
      <c r="B2576" s="76" t="s">
        <v>11198</v>
      </c>
    </row>
    <row r="2577" spans="1:2" ht="15">
      <c r="A2577" s="77" t="s">
        <v>6488</v>
      </c>
      <c r="B2577" s="76" t="s">
        <v>11198</v>
      </c>
    </row>
    <row r="2578" spans="1:2" ht="15">
      <c r="A2578" s="77" t="s">
        <v>6489</v>
      </c>
      <c r="B2578" s="76" t="s">
        <v>11198</v>
      </c>
    </row>
    <row r="2579" spans="1:2" ht="15">
      <c r="A2579" s="77" t="s">
        <v>6490</v>
      </c>
      <c r="B2579" s="76" t="s">
        <v>11198</v>
      </c>
    </row>
    <row r="2580" spans="1:2" ht="15">
      <c r="A2580" s="77" t="s">
        <v>6491</v>
      </c>
      <c r="B2580" s="76" t="s">
        <v>11198</v>
      </c>
    </row>
    <row r="2581" spans="1:2" ht="15">
      <c r="A2581" s="77" t="s">
        <v>6492</v>
      </c>
      <c r="B2581" s="76" t="s">
        <v>11198</v>
      </c>
    </row>
    <row r="2582" spans="1:2" ht="15">
      <c r="A2582" s="77" t="s">
        <v>6493</v>
      </c>
      <c r="B2582" s="76" t="s">
        <v>11198</v>
      </c>
    </row>
    <row r="2583" spans="1:2" ht="15">
      <c r="A2583" s="77" t="s">
        <v>6494</v>
      </c>
      <c r="B2583" s="76" t="s">
        <v>11198</v>
      </c>
    </row>
    <row r="2584" spans="1:2" ht="15">
      <c r="A2584" s="77" t="s">
        <v>6495</v>
      </c>
      <c r="B2584" s="76" t="s">
        <v>11198</v>
      </c>
    </row>
    <row r="2585" spans="1:2" ht="15">
      <c r="A2585" s="77" t="s">
        <v>6496</v>
      </c>
      <c r="B2585" s="76" t="s">
        <v>11198</v>
      </c>
    </row>
    <row r="2586" spans="1:2" ht="15">
      <c r="A2586" s="77" t="s">
        <v>6497</v>
      </c>
      <c r="B2586" s="76" t="s">
        <v>11198</v>
      </c>
    </row>
    <row r="2587" spans="1:2" ht="15">
      <c r="A2587" s="77" t="s">
        <v>6498</v>
      </c>
      <c r="B2587" s="76" t="s">
        <v>11198</v>
      </c>
    </row>
    <row r="2588" spans="1:2" ht="15">
      <c r="A2588" s="77" t="s">
        <v>6499</v>
      </c>
      <c r="B2588" s="76" t="s">
        <v>11198</v>
      </c>
    </row>
    <row r="2589" spans="1:2" ht="15">
      <c r="A2589" s="77" t="s">
        <v>6500</v>
      </c>
      <c r="B2589" s="76" t="s">
        <v>11198</v>
      </c>
    </row>
    <row r="2590" spans="1:2" ht="15">
      <c r="A2590" s="77" t="s">
        <v>6501</v>
      </c>
      <c r="B2590" s="76" t="s">
        <v>11198</v>
      </c>
    </row>
    <row r="2591" spans="1:2" ht="15">
      <c r="A2591" s="77" t="s">
        <v>6502</v>
      </c>
      <c r="B2591" s="76" t="s">
        <v>11198</v>
      </c>
    </row>
    <row r="2592" spans="1:2" ht="15">
      <c r="A2592" s="77" t="s">
        <v>6503</v>
      </c>
      <c r="B2592" s="76" t="s">
        <v>11198</v>
      </c>
    </row>
    <row r="2593" spans="1:2" ht="15">
      <c r="A2593" s="77" t="s">
        <v>6504</v>
      </c>
      <c r="B2593" s="76" t="s">
        <v>11198</v>
      </c>
    </row>
    <row r="2594" spans="1:2" ht="15">
      <c r="A2594" s="77" t="s">
        <v>6505</v>
      </c>
      <c r="B2594" s="76" t="s">
        <v>11198</v>
      </c>
    </row>
    <row r="2595" spans="1:2" ht="15">
      <c r="A2595" s="77" t="s">
        <v>6506</v>
      </c>
      <c r="B2595" s="76" t="s">
        <v>11198</v>
      </c>
    </row>
    <row r="2596" spans="1:2" ht="15">
      <c r="A2596" s="77" t="s">
        <v>6507</v>
      </c>
      <c r="B2596" s="76" t="s">
        <v>11198</v>
      </c>
    </row>
    <row r="2597" spans="1:2" ht="15">
      <c r="A2597" s="77" t="s">
        <v>6508</v>
      </c>
      <c r="B2597" s="76" t="s">
        <v>11198</v>
      </c>
    </row>
    <row r="2598" spans="1:2" ht="15">
      <c r="A2598" s="77" t="s">
        <v>6509</v>
      </c>
      <c r="B2598" s="76" t="s">
        <v>11198</v>
      </c>
    </row>
    <row r="2599" spans="1:2" ht="15">
      <c r="A2599" s="77" t="s">
        <v>6510</v>
      </c>
      <c r="B2599" s="76" t="s">
        <v>11198</v>
      </c>
    </row>
    <row r="2600" spans="1:2" ht="15">
      <c r="A2600" s="77" t="s">
        <v>6511</v>
      </c>
      <c r="B2600" s="76" t="s">
        <v>11198</v>
      </c>
    </row>
    <row r="2601" spans="1:2" ht="15">
      <c r="A2601" s="77" t="s">
        <v>6512</v>
      </c>
      <c r="B2601" s="76" t="s">
        <v>11198</v>
      </c>
    </row>
    <row r="2602" spans="1:2" ht="15">
      <c r="A2602" s="77" t="s">
        <v>6513</v>
      </c>
      <c r="B2602" s="76" t="s">
        <v>11198</v>
      </c>
    </row>
    <row r="2603" spans="1:2" ht="15">
      <c r="A2603" s="77" t="s">
        <v>6514</v>
      </c>
      <c r="B2603" s="76" t="s">
        <v>11198</v>
      </c>
    </row>
    <row r="2604" spans="1:2" ht="15">
      <c r="A2604" s="77" t="s">
        <v>6515</v>
      </c>
      <c r="B2604" s="76" t="s">
        <v>11198</v>
      </c>
    </row>
    <row r="2605" spans="1:2" ht="15">
      <c r="A2605" s="77" t="s">
        <v>6516</v>
      </c>
      <c r="B2605" s="76" t="s">
        <v>11198</v>
      </c>
    </row>
    <row r="2606" spans="1:2" ht="15">
      <c r="A2606" s="77" t="s">
        <v>6517</v>
      </c>
      <c r="B2606" s="76" t="s">
        <v>11198</v>
      </c>
    </row>
    <row r="2607" spans="1:2" ht="15">
      <c r="A2607" s="77" t="s">
        <v>6518</v>
      </c>
      <c r="B2607" s="76" t="s">
        <v>11198</v>
      </c>
    </row>
    <row r="2608" spans="1:2" ht="15">
      <c r="A2608" s="77" t="s">
        <v>6519</v>
      </c>
      <c r="B2608" s="76" t="s">
        <v>11198</v>
      </c>
    </row>
    <row r="2609" spans="1:2" ht="15">
      <c r="A2609" s="77" t="s">
        <v>6520</v>
      </c>
      <c r="B2609" s="76" t="s">
        <v>11198</v>
      </c>
    </row>
    <row r="2610" spans="1:2" ht="15">
      <c r="A2610" s="77" t="s">
        <v>6521</v>
      </c>
      <c r="B2610" s="76" t="s">
        <v>11198</v>
      </c>
    </row>
    <row r="2611" spans="1:2" ht="15">
      <c r="A2611" s="77" t="s">
        <v>6522</v>
      </c>
      <c r="B2611" s="76" t="s">
        <v>11198</v>
      </c>
    </row>
    <row r="2612" spans="1:2" ht="15">
      <c r="A2612" s="77" t="s">
        <v>6523</v>
      </c>
      <c r="B2612" s="76" t="s">
        <v>11198</v>
      </c>
    </row>
    <row r="2613" spans="1:2" ht="15">
      <c r="A2613" s="77" t="s">
        <v>6524</v>
      </c>
      <c r="B2613" s="76" t="s">
        <v>11198</v>
      </c>
    </row>
    <row r="2614" spans="1:2" ht="15">
      <c r="A2614" s="77" t="s">
        <v>6525</v>
      </c>
      <c r="B2614" s="76" t="s">
        <v>11198</v>
      </c>
    </row>
    <row r="2615" spans="1:2" ht="15">
      <c r="A2615" s="77" t="s">
        <v>6526</v>
      </c>
      <c r="B2615" s="76" t="s">
        <v>11198</v>
      </c>
    </row>
    <row r="2616" spans="1:2" ht="15">
      <c r="A2616" s="77" t="s">
        <v>6527</v>
      </c>
      <c r="B2616" s="76" t="s">
        <v>11198</v>
      </c>
    </row>
    <row r="2617" spans="1:2" ht="15">
      <c r="A2617" s="77" t="s">
        <v>6528</v>
      </c>
      <c r="B2617" s="76" t="s">
        <v>11198</v>
      </c>
    </row>
    <row r="2618" spans="1:2" ht="15">
      <c r="A2618" s="77" t="s">
        <v>6529</v>
      </c>
      <c r="B2618" s="76" t="s">
        <v>11198</v>
      </c>
    </row>
    <row r="2619" spans="1:2" ht="15">
      <c r="A2619" s="77" t="s">
        <v>6530</v>
      </c>
      <c r="B2619" s="76" t="s">
        <v>11198</v>
      </c>
    </row>
    <row r="2620" spans="1:2" ht="15">
      <c r="A2620" s="77" t="s">
        <v>6531</v>
      </c>
      <c r="B2620" s="76" t="s">
        <v>11198</v>
      </c>
    </row>
    <row r="2621" spans="1:2" ht="15">
      <c r="A2621" s="77" t="s">
        <v>6532</v>
      </c>
      <c r="B2621" s="76" t="s">
        <v>11198</v>
      </c>
    </row>
    <row r="2622" spans="1:2" ht="15">
      <c r="A2622" s="77" t="s">
        <v>6533</v>
      </c>
      <c r="B2622" s="76" t="s">
        <v>11198</v>
      </c>
    </row>
    <row r="2623" spans="1:2" ht="15">
      <c r="A2623" s="77" t="s">
        <v>6534</v>
      </c>
      <c r="B2623" s="76" t="s">
        <v>11198</v>
      </c>
    </row>
    <row r="2624" spans="1:2" ht="15">
      <c r="A2624" s="77" t="s">
        <v>6535</v>
      </c>
      <c r="B2624" s="76" t="s">
        <v>11198</v>
      </c>
    </row>
    <row r="2625" spans="1:2" ht="15">
      <c r="A2625" s="77" t="s">
        <v>6536</v>
      </c>
      <c r="B2625" s="76" t="s">
        <v>11198</v>
      </c>
    </row>
    <row r="2626" spans="1:2" ht="15">
      <c r="A2626" s="77" t="s">
        <v>6537</v>
      </c>
      <c r="B2626" s="76" t="s">
        <v>11198</v>
      </c>
    </row>
    <row r="2627" spans="1:2" ht="15">
      <c r="A2627" s="77" t="s">
        <v>6538</v>
      </c>
      <c r="B2627" s="76" t="s">
        <v>11198</v>
      </c>
    </row>
    <row r="2628" spans="1:2" ht="15">
      <c r="A2628" s="77" t="s">
        <v>6539</v>
      </c>
      <c r="B2628" s="76" t="s">
        <v>11198</v>
      </c>
    </row>
    <row r="2629" spans="1:2" ht="15">
      <c r="A2629" s="77" t="s">
        <v>6540</v>
      </c>
      <c r="B2629" s="76" t="s">
        <v>11198</v>
      </c>
    </row>
    <row r="2630" spans="1:2" ht="15">
      <c r="A2630" s="77" t="s">
        <v>6541</v>
      </c>
      <c r="B2630" s="76" t="s">
        <v>11198</v>
      </c>
    </row>
    <row r="2631" spans="1:2" ht="15">
      <c r="A2631" s="77" t="s">
        <v>6542</v>
      </c>
      <c r="B2631" s="76" t="s">
        <v>11198</v>
      </c>
    </row>
    <row r="2632" spans="1:2" ht="15">
      <c r="A2632" s="77" t="s">
        <v>6543</v>
      </c>
      <c r="B2632" s="76" t="s">
        <v>11198</v>
      </c>
    </row>
    <row r="2633" spans="1:2" ht="15">
      <c r="A2633" s="77" t="s">
        <v>6544</v>
      </c>
      <c r="B2633" s="76" t="s">
        <v>11198</v>
      </c>
    </row>
    <row r="2634" spans="1:2" ht="15">
      <c r="A2634" s="77" t="s">
        <v>6545</v>
      </c>
      <c r="B2634" s="76" t="s">
        <v>11198</v>
      </c>
    </row>
    <row r="2635" spans="1:2" ht="15">
      <c r="A2635" s="77" t="s">
        <v>6546</v>
      </c>
      <c r="B2635" s="76" t="s">
        <v>11198</v>
      </c>
    </row>
    <row r="2636" spans="1:2" ht="15">
      <c r="A2636" s="77" t="s">
        <v>6547</v>
      </c>
      <c r="B2636" s="76" t="s">
        <v>11198</v>
      </c>
    </row>
    <row r="2637" spans="1:2" ht="15">
      <c r="A2637" s="77" t="s">
        <v>6548</v>
      </c>
      <c r="B2637" s="76" t="s">
        <v>11198</v>
      </c>
    </row>
    <row r="2638" spans="1:2" ht="15">
      <c r="A2638" s="77" t="s">
        <v>6549</v>
      </c>
      <c r="B2638" s="76" t="s">
        <v>11198</v>
      </c>
    </row>
    <row r="2639" spans="1:2" ht="15">
      <c r="A2639" s="77" t="s">
        <v>6550</v>
      </c>
      <c r="B2639" s="76" t="s">
        <v>11198</v>
      </c>
    </row>
    <row r="2640" spans="1:2" ht="15">
      <c r="A2640" s="77" t="s">
        <v>6551</v>
      </c>
      <c r="B2640" s="76" t="s">
        <v>11198</v>
      </c>
    </row>
    <row r="2641" spans="1:2" ht="15">
      <c r="A2641" s="77" t="s">
        <v>6552</v>
      </c>
      <c r="B2641" s="76" t="s">
        <v>11198</v>
      </c>
    </row>
    <row r="2642" spans="1:2" ht="15">
      <c r="A2642" s="77" t="s">
        <v>6553</v>
      </c>
      <c r="B2642" s="76" t="s">
        <v>11198</v>
      </c>
    </row>
    <row r="2643" spans="1:2" ht="15">
      <c r="A2643" s="77" t="s">
        <v>6554</v>
      </c>
      <c r="B2643" s="76" t="s">
        <v>11198</v>
      </c>
    </row>
    <row r="2644" spans="1:2" ht="15">
      <c r="A2644" s="77" t="s">
        <v>6555</v>
      </c>
      <c r="B2644" s="76" t="s">
        <v>11198</v>
      </c>
    </row>
    <row r="2645" spans="1:2" ht="15">
      <c r="A2645" s="77" t="s">
        <v>6556</v>
      </c>
      <c r="B2645" s="76" t="s">
        <v>11198</v>
      </c>
    </row>
    <row r="2646" spans="1:2" ht="15">
      <c r="A2646" s="77" t="s">
        <v>6557</v>
      </c>
      <c r="B2646" s="76" t="s">
        <v>11198</v>
      </c>
    </row>
    <row r="2647" spans="1:2" ht="15">
      <c r="A2647" s="77" t="s">
        <v>6558</v>
      </c>
      <c r="B2647" s="76" t="s">
        <v>11198</v>
      </c>
    </row>
    <row r="2648" spans="1:2" ht="15">
      <c r="A2648" s="77" t="s">
        <v>6559</v>
      </c>
      <c r="B2648" s="76" t="s">
        <v>11198</v>
      </c>
    </row>
    <row r="2649" spans="1:2" ht="15">
      <c r="A2649" s="77" t="s">
        <v>6560</v>
      </c>
      <c r="B2649" s="76" t="s">
        <v>11198</v>
      </c>
    </row>
    <row r="2650" spans="1:2" ht="15">
      <c r="A2650" s="77" t="s">
        <v>6561</v>
      </c>
      <c r="B2650" s="76" t="s">
        <v>11198</v>
      </c>
    </row>
    <row r="2651" spans="1:2" ht="15">
      <c r="A2651" s="77" t="s">
        <v>6562</v>
      </c>
      <c r="B2651" s="76" t="s">
        <v>11198</v>
      </c>
    </row>
    <row r="2652" spans="1:2" ht="15">
      <c r="A2652" s="77" t="s">
        <v>6563</v>
      </c>
      <c r="B2652" s="76" t="s">
        <v>11198</v>
      </c>
    </row>
    <row r="2653" spans="1:2" ht="15">
      <c r="A2653" s="77" t="s">
        <v>6564</v>
      </c>
      <c r="B2653" s="76" t="s">
        <v>11198</v>
      </c>
    </row>
    <row r="2654" spans="1:2" ht="15">
      <c r="A2654" s="77" t="s">
        <v>6565</v>
      </c>
      <c r="B2654" s="76" t="s">
        <v>11198</v>
      </c>
    </row>
    <row r="2655" spans="1:2" ht="15">
      <c r="A2655" s="77" t="s">
        <v>6566</v>
      </c>
      <c r="B2655" s="76" t="s">
        <v>11198</v>
      </c>
    </row>
    <row r="2656" spans="1:2" ht="15">
      <c r="A2656" s="77" t="s">
        <v>6567</v>
      </c>
      <c r="B2656" s="76" t="s">
        <v>11198</v>
      </c>
    </row>
    <row r="2657" spans="1:2" ht="15">
      <c r="A2657" s="77" t="s">
        <v>6568</v>
      </c>
      <c r="B2657" s="76" t="s">
        <v>11198</v>
      </c>
    </row>
    <row r="2658" spans="1:2" ht="15">
      <c r="A2658" s="77" t="s">
        <v>6569</v>
      </c>
      <c r="B2658" s="76" t="s">
        <v>11198</v>
      </c>
    </row>
    <row r="2659" spans="1:2" ht="15">
      <c r="A2659" s="77" t="s">
        <v>6570</v>
      </c>
      <c r="B2659" s="76" t="s">
        <v>11198</v>
      </c>
    </row>
    <row r="2660" spans="1:2" ht="15">
      <c r="A2660" s="77" t="s">
        <v>6571</v>
      </c>
      <c r="B2660" s="76" t="s">
        <v>11198</v>
      </c>
    </row>
    <row r="2661" spans="1:2" ht="15">
      <c r="A2661" s="77" t="s">
        <v>6572</v>
      </c>
      <c r="B2661" s="76" t="s">
        <v>11198</v>
      </c>
    </row>
    <row r="2662" spans="1:2" ht="15">
      <c r="A2662" s="77" t="s">
        <v>6573</v>
      </c>
      <c r="B2662" s="76" t="s">
        <v>11198</v>
      </c>
    </row>
    <row r="2663" spans="1:2" ht="15">
      <c r="A2663" s="77" t="s">
        <v>6574</v>
      </c>
      <c r="B2663" s="76" t="s">
        <v>11198</v>
      </c>
    </row>
    <row r="2664" spans="1:2" ht="15">
      <c r="A2664" s="77" t="s">
        <v>6575</v>
      </c>
      <c r="B2664" s="76" t="s">
        <v>11198</v>
      </c>
    </row>
    <row r="2665" spans="1:2" ht="15">
      <c r="A2665" s="77" t="s">
        <v>6576</v>
      </c>
      <c r="B2665" s="76" t="s">
        <v>11198</v>
      </c>
    </row>
    <row r="2666" spans="1:2" ht="15">
      <c r="A2666" s="77" t="s">
        <v>6577</v>
      </c>
      <c r="B2666" s="76" t="s">
        <v>11198</v>
      </c>
    </row>
    <row r="2667" spans="1:2" ht="15">
      <c r="A2667" s="77" t="s">
        <v>6578</v>
      </c>
      <c r="B2667" s="76" t="s">
        <v>11198</v>
      </c>
    </row>
    <row r="2668" spans="1:2" ht="15">
      <c r="A2668" s="77" t="s">
        <v>6579</v>
      </c>
      <c r="B2668" s="76" t="s">
        <v>11198</v>
      </c>
    </row>
    <row r="2669" spans="1:2" ht="15">
      <c r="A2669" s="77" t="s">
        <v>6580</v>
      </c>
      <c r="B2669" s="76" t="s">
        <v>11198</v>
      </c>
    </row>
    <row r="2670" spans="1:2" ht="15">
      <c r="A2670" s="77" t="s">
        <v>6581</v>
      </c>
      <c r="B2670" s="76" t="s">
        <v>11198</v>
      </c>
    </row>
    <row r="2671" spans="1:2" ht="15">
      <c r="A2671" s="77" t="s">
        <v>6582</v>
      </c>
      <c r="B2671" s="76" t="s">
        <v>11198</v>
      </c>
    </row>
    <row r="2672" spans="1:2" ht="15">
      <c r="A2672" s="77" t="s">
        <v>6583</v>
      </c>
      <c r="B2672" s="76" t="s">
        <v>11198</v>
      </c>
    </row>
    <row r="2673" spans="1:2" ht="15">
      <c r="A2673" s="77" t="s">
        <v>6584</v>
      </c>
      <c r="B2673" s="76" t="s">
        <v>11198</v>
      </c>
    </row>
    <row r="2674" spans="1:2" ht="15">
      <c r="A2674" s="77" t="s">
        <v>6585</v>
      </c>
      <c r="B2674" s="76" t="s">
        <v>11198</v>
      </c>
    </row>
    <row r="2675" spans="1:2" ht="15">
      <c r="A2675" s="77" t="s">
        <v>6586</v>
      </c>
      <c r="B2675" s="76" t="s">
        <v>11198</v>
      </c>
    </row>
    <row r="2676" spans="1:2" ht="15">
      <c r="A2676" s="77" t="s">
        <v>6587</v>
      </c>
      <c r="B2676" s="76" t="s">
        <v>11198</v>
      </c>
    </row>
    <row r="2677" spans="1:2" ht="15">
      <c r="A2677" s="77" t="s">
        <v>6588</v>
      </c>
      <c r="B2677" s="76" t="s">
        <v>11198</v>
      </c>
    </row>
    <row r="2678" spans="1:2" ht="15">
      <c r="A2678" s="77" t="s">
        <v>6589</v>
      </c>
      <c r="B2678" s="76" t="s">
        <v>11198</v>
      </c>
    </row>
    <row r="2679" spans="1:2" ht="15">
      <c r="A2679" s="77" t="s">
        <v>6590</v>
      </c>
      <c r="B2679" s="76" t="s">
        <v>11198</v>
      </c>
    </row>
    <row r="2680" spans="1:2" ht="15">
      <c r="A2680" s="77" t="s">
        <v>6591</v>
      </c>
      <c r="B2680" s="76" t="s">
        <v>11198</v>
      </c>
    </row>
    <row r="2681" spans="1:2" ht="15">
      <c r="A2681" s="77" t="s">
        <v>6592</v>
      </c>
      <c r="B2681" s="76" t="s">
        <v>11198</v>
      </c>
    </row>
    <row r="2682" spans="1:2" ht="15">
      <c r="A2682" s="77" t="s">
        <v>6593</v>
      </c>
      <c r="B2682" s="76" t="s">
        <v>11198</v>
      </c>
    </row>
    <row r="2683" spans="1:2" ht="15">
      <c r="A2683" s="77" t="s">
        <v>6594</v>
      </c>
      <c r="B2683" s="76" t="s">
        <v>11198</v>
      </c>
    </row>
    <row r="2684" spans="1:2" ht="15">
      <c r="A2684" s="77" t="s">
        <v>6595</v>
      </c>
      <c r="B2684" s="76" t="s">
        <v>11198</v>
      </c>
    </row>
    <row r="2685" spans="1:2" ht="15">
      <c r="A2685" s="77" t="s">
        <v>6596</v>
      </c>
      <c r="B2685" s="76" t="s">
        <v>11198</v>
      </c>
    </row>
    <row r="2686" spans="1:2" ht="15">
      <c r="A2686" s="77" t="s">
        <v>6597</v>
      </c>
      <c r="B2686" s="76" t="s">
        <v>11198</v>
      </c>
    </row>
    <row r="2687" spans="1:2" ht="15">
      <c r="A2687" s="77" t="s">
        <v>6598</v>
      </c>
      <c r="B2687" s="76" t="s">
        <v>11198</v>
      </c>
    </row>
    <row r="2688" spans="1:2" ht="15">
      <c r="A2688" s="77" t="s">
        <v>6599</v>
      </c>
      <c r="B2688" s="76" t="s">
        <v>11198</v>
      </c>
    </row>
    <row r="2689" spans="1:2" ht="15">
      <c r="A2689" s="77" t="s">
        <v>6600</v>
      </c>
      <c r="B2689" s="76" t="s">
        <v>11198</v>
      </c>
    </row>
    <row r="2690" spans="1:2" ht="15">
      <c r="A2690" s="77" t="s">
        <v>6601</v>
      </c>
      <c r="B2690" s="76" t="s">
        <v>11198</v>
      </c>
    </row>
    <row r="2691" spans="1:2" ht="15">
      <c r="A2691" s="77" t="s">
        <v>6602</v>
      </c>
      <c r="B2691" s="76" t="s">
        <v>11198</v>
      </c>
    </row>
    <row r="2692" spans="1:2" ht="15">
      <c r="A2692" s="77" t="s">
        <v>6603</v>
      </c>
      <c r="B2692" s="76" t="s">
        <v>11198</v>
      </c>
    </row>
    <row r="2693" spans="1:2" ht="15">
      <c r="A2693" s="77" t="s">
        <v>6604</v>
      </c>
      <c r="B2693" s="76" t="s">
        <v>11198</v>
      </c>
    </row>
    <row r="2694" spans="1:2" ht="15">
      <c r="A2694" s="77" t="s">
        <v>6605</v>
      </c>
      <c r="B2694" s="76" t="s">
        <v>11198</v>
      </c>
    </row>
    <row r="2695" spans="1:2" ht="15">
      <c r="A2695" s="77" t="s">
        <v>6606</v>
      </c>
      <c r="B2695" s="76" t="s">
        <v>11198</v>
      </c>
    </row>
    <row r="2696" spans="1:2" ht="15">
      <c r="A2696" s="77" t="s">
        <v>6607</v>
      </c>
      <c r="B2696" s="76" t="s">
        <v>11198</v>
      </c>
    </row>
    <row r="2697" spans="1:2" ht="15">
      <c r="A2697" s="77" t="s">
        <v>6608</v>
      </c>
      <c r="B2697" s="76" t="s">
        <v>11198</v>
      </c>
    </row>
    <row r="2698" spans="1:2" ht="15">
      <c r="A2698" s="77" t="s">
        <v>6609</v>
      </c>
      <c r="B2698" s="76" t="s">
        <v>11198</v>
      </c>
    </row>
    <row r="2699" spans="1:2" ht="15">
      <c r="A2699" s="77" t="s">
        <v>6610</v>
      </c>
      <c r="B2699" s="76" t="s">
        <v>11198</v>
      </c>
    </row>
    <row r="2700" spans="1:2" ht="15">
      <c r="A2700" s="77" t="s">
        <v>6611</v>
      </c>
      <c r="B2700" s="76" t="s">
        <v>11198</v>
      </c>
    </row>
    <row r="2701" spans="1:2" ht="15">
      <c r="A2701" s="77" t="s">
        <v>6612</v>
      </c>
      <c r="B2701" s="76" t="s">
        <v>11198</v>
      </c>
    </row>
    <row r="2702" spans="1:2" ht="15">
      <c r="A2702" s="77" t="s">
        <v>6613</v>
      </c>
      <c r="B2702" s="76" t="s">
        <v>11198</v>
      </c>
    </row>
    <row r="2703" spans="1:2" ht="15">
      <c r="A2703" s="77" t="s">
        <v>6614</v>
      </c>
      <c r="B2703" s="76" t="s">
        <v>11198</v>
      </c>
    </row>
    <row r="2704" spans="1:2" ht="15">
      <c r="A2704" s="77" t="s">
        <v>6615</v>
      </c>
      <c r="B2704" s="76" t="s">
        <v>11198</v>
      </c>
    </row>
    <row r="2705" spans="1:2" ht="15">
      <c r="A2705" s="77" t="s">
        <v>6616</v>
      </c>
      <c r="B2705" s="76" t="s">
        <v>11198</v>
      </c>
    </row>
    <row r="2706" spans="1:2" ht="15">
      <c r="A2706" s="77" t="s">
        <v>6617</v>
      </c>
      <c r="B2706" s="76" t="s">
        <v>11198</v>
      </c>
    </row>
    <row r="2707" spans="1:2" ht="15">
      <c r="A2707" s="77" t="s">
        <v>6618</v>
      </c>
      <c r="B2707" s="76" t="s">
        <v>11198</v>
      </c>
    </row>
    <row r="2708" spans="1:2" ht="15">
      <c r="A2708" s="77" t="s">
        <v>6619</v>
      </c>
      <c r="B2708" s="76" t="s">
        <v>11198</v>
      </c>
    </row>
    <row r="2709" spans="1:2" ht="15">
      <c r="A2709" s="77" t="s">
        <v>6620</v>
      </c>
      <c r="B2709" s="76" t="s">
        <v>11198</v>
      </c>
    </row>
    <row r="2710" spans="1:2" ht="15">
      <c r="A2710" s="77" t="s">
        <v>6621</v>
      </c>
      <c r="B2710" s="76" t="s">
        <v>11198</v>
      </c>
    </row>
    <row r="2711" spans="1:2" ht="15">
      <c r="A2711" s="77" t="s">
        <v>6622</v>
      </c>
      <c r="B2711" s="76" t="s">
        <v>11198</v>
      </c>
    </row>
    <row r="2712" spans="1:2" ht="15">
      <c r="A2712" s="77" t="s">
        <v>6623</v>
      </c>
      <c r="B2712" s="76" t="s">
        <v>11198</v>
      </c>
    </row>
    <row r="2713" spans="1:2" ht="15">
      <c r="A2713" s="77" t="s">
        <v>6624</v>
      </c>
      <c r="B2713" s="76" t="s">
        <v>11198</v>
      </c>
    </row>
    <row r="2714" spans="1:2" ht="15">
      <c r="A2714" s="77" t="s">
        <v>6625</v>
      </c>
      <c r="B2714" s="76" t="s">
        <v>11198</v>
      </c>
    </row>
    <row r="2715" spans="1:2" ht="15">
      <c r="A2715" s="77" t="s">
        <v>6626</v>
      </c>
      <c r="B2715" s="76" t="s">
        <v>11198</v>
      </c>
    </row>
    <row r="2716" spans="1:2" ht="15">
      <c r="A2716" s="77" t="s">
        <v>6627</v>
      </c>
      <c r="B2716" s="76" t="s">
        <v>11198</v>
      </c>
    </row>
    <row r="2717" spans="1:2" ht="15">
      <c r="A2717" s="77" t="s">
        <v>6628</v>
      </c>
      <c r="B2717" s="76" t="s">
        <v>11198</v>
      </c>
    </row>
    <row r="2718" spans="1:2" ht="15">
      <c r="A2718" s="77" t="s">
        <v>6629</v>
      </c>
      <c r="B2718" s="76" t="s">
        <v>11198</v>
      </c>
    </row>
    <row r="2719" spans="1:2" ht="15">
      <c r="A2719" s="77" t="s">
        <v>6630</v>
      </c>
      <c r="B2719" s="76" t="s">
        <v>11198</v>
      </c>
    </row>
    <row r="2720" spans="1:2" ht="15">
      <c r="A2720" s="77" t="s">
        <v>6631</v>
      </c>
      <c r="B2720" s="76" t="s">
        <v>11198</v>
      </c>
    </row>
    <row r="2721" spans="1:2" ht="15">
      <c r="A2721" s="77" t="s">
        <v>6632</v>
      </c>
      <c r="B2721" s="76" t="s">
        <v>11198</v>
      </c>
    </row>
    <row r="2722" spans="1:2" ht="15">
      <c r="A2722" s="77" t="s">
        <v>6633</v>
      </c>
      <c r="B2722" s="76" t="s">
        <v>11198</v>
      </c>
    </row>
    <row r="2723" spans="1:2" ht="15">
      <c r="A2723" s="77" t="s">
        <v>6634</v>
      </c>
      <c r="B2723" s="76" t="s">
        <v>11198</v>
      </c>
    </row>
    <row r="2724" spans="1:2" ht="15">
      <c r="A2724" s="77" t="s">
        <v>6635</v>
      </c>
      <c r="B2724" s="76" t="s">
        <v>11198</v>
      </c>
    </row>
    <row r="2725" spans="1:2" ht="15">
      <c r="A2725" s="77" t="s">
        <v>6636</v>
      </c>
      <c r="B2725" s="76" t="s">
        <v>11198</v>
      </c>
    </row>
    <row r="2726" spans="1:2" ht="15">
      <c r="A2726" s="77" t="s">
        <v>6637</v>
      </c>
      <c r="B2726" s="76" t="s">
        <v>11198</v>
      </c>
    </row>
    <row r="2727" spans="1:2" ht="15">
      <c r="A2727" s="77" t="s">
        <v>6638</v>
      </c>
      <c r="B2727" s="76" t="s">
        <v>11198</v>
      </c>
    </row>
    <row r="2728" spans="1:2" ht="15">
      <c r="A2728" s="77" t="s">
        <v>6639</v>
      </c>
      <c r="B2728" s="76" t="s">
        <v>11198</v>
      </c>
    </row>
    <row r="2729" spans="1:2" ht="15">
      <c r="A2729" s="77" t="s">
        <v>6640</v>
      </c>
      <c r="B2729" s="76" t="s">
        <v>11198</v>
      </c>
    </row>
    <row r="2730" spans="1:2" ht="15">
      <c r="A2730" s="77" t="s">
        <v>6641</v>
      </c>
      <c r="B2730" s="76" t="s">
        <v>11198</v>
      </c>
    </row>
    <row r="2731" spans="1:2" ht="15">
      <c r="A2731" s="77" t="s">
        <v>6642</v>
      </c>
      <c r="B2731" s="76" t="s">
        <v>11198</v>
      </c>
    </row>
    <row r="2732" spans="1:2" ht="15">
      <c r="A2732" s="77" t="s">
        <v>6643</v>
      </c>
      <c r="B2732" s="76" t="s">
        <v>11198</v>
      </c>
    </row>
    <row r="2733" spans="1:2" ht="15">
      <c r="A2733" s="77" t="s">
        <v>6644</v>
      </c>
      <c r="B2733" s="76" t="s">
        <v>11198</v>
      </c>
    </row>
    <row r="2734" spans="1:2" ht="15">
      <c r="A2734" s="77" t="s">
        <v>6645</v>
      </c>
      <c r="B2734" s="76" t="s">
        <v>11198</v>
      </c>
    </row>
    <row r="2735" spans="1:2" ht="15">
      <c r="A2735" s="77" t="s">
        <v>6646</v>
      </c>
      <c r="B2735" s="76" t="s">
        <v>11198</v>
      </c>
    </row>
    <row r="2736" spans="1:2" ht="15">
      <c r="A2736" s="77" t="s">
        <v>6647</v>
      </c>
      <c r="B2736" s="76" t="s">
        <v>11198</v>
      </c>
    </row>
    <row r="2737" spans="1:2" ht="15">
      <c r="A2737" s="77" t="s">
        <v>6648</v>
      </c>
      <c r="B2737" s="76" t="s">
        <v>11198</v>
      </c>
    </row>
    <row r="2738" spans="1:2" ht="15">
      <c r="A2738" s="77" t="s">
        <v>6649</v>
      </c>
      <c r="B2738" s="76" t="s">
        <v>11198</v>
      </c>
    </row>
    <row r="2739" spans="1:2" ht="15">
      <c r="A2739" s="77" t="s">
        <v>6650</v>
      </c>
      <c r="B2739" s="76" t="s">
        <v>11198</v>
      </c>
    </row>
    <row r="2740" spans="1:2" ht="15">
      <c r="A2740" s="77" t="s">
        <v>6651</v>
      </c>
      <c r="B2740" s="76" t="s">
        <v>11198</v>
      </c>
    </row>
    <row r="2741" spans="1:2" ht="15">
      <c r="A2741" s="77" t="s">
        <v>6652</v>
      </c>
      <c r="B2741" s="76" t="s">
        <v>11198</v>
      </c>
    </row>
    <row r="2742" spans="1:2" ht="15">
      <c r="A2742" s="77" t="s">
        <v>6653</v>
      </c>
      <c r="B2742" s="76" t="s">
        <v>11198</v>
      </c>
    </row>
    <row r="2743" spans="1:2" ht="15">
      <c r="A2743" s="77" t="s">
        <v>6654</v>
      </c>
      <c r="B2743" s="76" t="s">
        <v>11198</v>
      </c>
    </row>
    <row r="2744" spans="1:2" ht="15">
      <c r="A2744" s="77" t="s">
        <v>6655</v>
      </c>
      <c r="B2744" s="76" t="s">
        <v>11198</v>
      </c>
    </row>
    <row r="2745" spans="1:2" ht="15">
      <c r="A2745" s="77" t="s">
        <v>6656</v>
      </c>
      <c r="B2745" s="76" t="s">
        <v>11198</v>
      </c>
    </row>
    <row r="2746" spans="1:2" ht="15">
      <c r="A2746" s="77" t="s">
        <v>6657</v>
      </c>
      <c r="B2746" s="76" t="s">
        <v>11198</v>
      </c>
    </row>
    <row r="2747" spans="1:2" ht="15">
      <c r="A2747" s="77" t="s">
        <v>6658</v>
      </c>
      <c r="B2747" s="76" t="s">
        <v>11198</v>
      </c>
    </row>
    <row r="2748" spans="1:2" ht="15">
      <c r="A2748" s="77" t="s">
        <v>6659</v>
      </c>
      <c r="B2748" s="76" t="s">
        <v>11198</v>
      </c>
    </row>
    <row r="2749" spans="1:2" ht="15">
      <c r="A2749" s="77" t="s">
        <v>6660</v>
      </c>
      <c r="B2749" s="76" t="s">
        <v>11198</v>
      </c>
    </row>
    <row r="2750" spans="1:2" ht="15">
      <c r="A2750" s="77" t="s">
        <v>6661</v>
      </c>
      <c r="B2750" s="76" t="s">
        <v>11198</v>
      </c>
    </row>
    <row r="2751" spans="1:2" ht="15">
      <c r="A2751" s="77" t="s">
        <v>6662</v>
      </c>
      <c r="B2751" s="76" t="s">
        <v>11198</v>
      </c>
    </row>
    <row r="2752" spans="1:2" ht="15">
      <c r="A2752" s="77" t="s">
        <v>6663</v>
      </c>
      <c r="B2752" s="76" t="s">
        <v>11198</v>
      </c>
    </row>
    <row r="2753" spans="1:2" ht="15">
      <c r="A2753" s="77" t="s">
        <v>6664</v>
      </c>
      <c r="B2753" s="76" t="s">
        <v>11198</v>
      </c>
    </row>
    <row r="2754" spans="1:2" ht="15">
      <c r="A2754" s="77" t="s">
        <v>6665</v>
      </c>
      <c r="B2754" s="76" t="s">
        <v>11198</v>
      </c>
    </row>
    <row r="2755" spans="1:2" ht="15">
      <c r="A2755" s="77" t="s">
        <v>6666</v>
      </c>
      <c r="B2755" s="76" t="s">
        <v>11198</v>
      </c>
    </row>
    <row r="2756" spans="1:2" ht="15">
      <c r="A2756" s="77" t="s">
        <v>6667</v>
      </c>
      <c r="B2756" s="76" t="s">
        <v>11198</v>
      </c>
    </row>
    <row r="2757" spans="1:2" ht="15">
      <c r="A2757" s="77" t="s">
        <v>6668</v>
      </c>
      <c r="B2757" s="76" t="s">
        <v>11198</v>
      </c>
    </row>
    <row r="2758" spans="1:2" ht="15">
      <c r="A2758" s="77" t="s">
        <v>6669</v>
      </c>
      <c r="B2758" s="76" t="s">
        <v>11198</v>
      </c>
    </row>
    <row r="2759" spans="1:2" ht="15">
      <c r="A2759" s="77" t="s">
        <v>6670</v>
      </c>
      <c r="B2759" s="76" t="s">
        <v>11198</v>
      </c>
    </row>
    <row r="2760" spans="1:2" ht="15">
      <c r="A2760" s="77" t="s">
        <v>6671</v>
      </c>
      <c r="B2760" s="76" t="s">
        <v>11198</v>
      </c>
    </row>
    <row r="2761" spans="1:2" ht="15">
      <c r="A2761" s="77" t="s">
        <v>6672</v>
      </c>
      <c r="B2761" s="76" t="s">
        <v>11198</v>
      </c>
    </row>
    <row r="2762" spans="1:2" ht="15">
      <c r="A2762" s="77" t="s">
        <v>6673</v>
      </c>
      <c r="B2762" s="76" t="s">
        <v>11198</v>
      </c>
    </row>
    <row r="2763" spans="1:2" ht="15">
      <c r="A2763" s="77" t="s">
        <v>6674</v>
      </c>
      <c r="B2763" s="76" t="s">
        <v>11198</v>
      </c>
    </row>
    <row r="2764" spans="1:2" ht="15">
      <c r="A2764" s="77" t="s">
        <v>6675</v>
      </c>
      <c r="B2764" s="76" t="s">
        <v>11198</v>
      </c>
    </row>
    <row r="2765" spans="1:2" ht="15">
      <c r="A2765" s="77" t="s">
        <v>6676</v>
      </c>
      <c r="B2765" s="76" t="s">
        <v>11198</v>
      </c>
    </row>
    <row r="2766" spans="1:2" ht="15">
      <c r="A2766" s="77" t="s">
        <v>6677</v>
      </c>
      <c r="B2766" s="76" t="s">
        <v>11198</v>
      </c>
    </row>
    <row r="2767" spans="1:2" ht="15">
      <c r="A2767" s="77" t="s">
        <v>6678</v>
      </c>
      <c r="B2767" s="76" t="s">
        <v>11198</v>
      </c>
    </row>
    <row r="2768" spans="1:2" ht="15">
      <c r="A2768" s="77" t="s">
        <v>6679</v>
      </c>
      <c r="B2768" s="76" t="s">
        <v>11198</v>
      </c>
    </row>
    <row r="2769" spans="1:2" ht="15">
      <c r="A2769" s="77" t="s">
        <v>6680</v>
      </c>
      <c r="B2769" s="76" t="s">
        <v>11198</v>
      </c>
    </row>
    <row r="2770" spans="1:2" ht="15">
      <c r="A2770" s="77" t="s">
        <v>6681</v>
      </c>
      <c r="B2770" s="76" t="s">
        <v>11198</v>
      </c>
    </row>
    <row r="2771" spans="1:2" ht="15">
      <c r="A2771" s="77" t="s">
        <v>6682</v>
      </c>
      <c r="B2771" s="76" t="s">
        <v>11198</v>
      </c>
    </row>
    <row r="2772" spans="1:2" ht="15">
      <c r="A2772" s="77" t="s">
        <v>6683</v>
      </c>
      <c r="B2772" s="76" t="s">
        <v>11198</v>
      </c>
    </row>
    <row r="2773" spans="1:2" ht="15">
      <c r="A2773" s="77" t="s">
        <v>6684</v>
      </c>
      <c r="B2773" s="76" t="s">
        <v>11198</v>
      </c>
    </row>
    <row r="2774" spans="1:2" ht="15">
      <c r="A2774" s="77" t="s">
        <v>6685</v>
      </c>
      <c r="B2774" s="76" t="s">
        <v>11198</v>
      </c>
    </row>
    <row r="2775" spans="1:2" ht="15">
      <c r="A2775" s="77" t="s">
        <v>6686</v>
      </c>
      <c r="B2775" s="76" t="s">
        <v>11198</v>
      </c>
    </row>
    <row r="2776" spans="1:2" ht="15">
      <c r="A2776" s="77" t="s">
        <v>6687</v>
      </c>
      <c r="B2776" s="76" t="s">
        <v>11198</v>
      </c>
    </row>
    <row r="2777" spans="1:2" ht="15">
      <c r="A2777" s="77" t="s">
        <v>6688</v>
      </c>
      <c r="B2777" s="76" t="s">
        <v>11198</v>
      </c>
    </row>
    <row r="2778" spans="1:2" ht="15">
      <c r="A2778" s="77" t="s">
        <v>6689</v>
      </c>
      <c r="B2778" s="76" t="s">
        <v>11198</v>
      </c>
    </row>
    <row r="2779" spans="1:2" ht="15">
      <c r="A2779" s="77" t="s">
        <v>6690</v>
      </c>
      <c r="B2779" s="76" t="s">
        <v>11198</v>
      </c>
    </row>
    <row r="2780" spans="1:2" ht="15">
      <c r="A2780" s="77" t="s">
        <v>6691</v>
      </c>
      <c r="B2780" s="76" t="s">
        <v>11198</v>
      </c>
    </row>
    <row r="2781" spans="1:2" ht="15">
      <c r="A2781" s="77" t="s">
        <v>6692</v>
      </c>
      <c r="B2781" s="76" t="s">
        <v>11198</v>
      </c>
    </row>
    <row r="2782" spans="1:2" ht="15">
      <c r="A2782" s="77" t="s">
        <v>6693</v>
      </c>
      <c r="B2782" s="76" t="s">
        <v>11198</v>
      </c>
    </row>
    <row r="2783" spans="1:2" ht="15">
      <c r="A2783" s="77" t="s">
        <v>6694</v>
      </c>
      <c r="B2783" s="76" t="s">
        <v>11198</v>
      </c>
    </row>
    <row r="2784" spans="1:2" ht="15">
      <c r="A2784" s="77" t="s">
        <v>6695</v>
      </c>
      <c r="B2784" s="76" t="s">
        <v>11198</v>
      </c>
    </row>
    <row r="2785" spans="1:2" ht="15">
      <c r="A2785" s="77" t="s">
        <v>6696</v>
      </c>
      <c r="B2785" s="76" t="s">
        <v>11198</v>
      </c>
    </row>
    <row r="2786" spans="1:2" ht="15">
      <c r="A2786" s="77" t="s">
        <v>6697</v>
      </c>
      <c r="B2786" s="76" t="s">
        <v>11198</v>
      </c>
    </row>
    <row r="2787" spans="1:2" ht="15">
      <c r="A2787" s="77" t="s">
        <v>6698</v>
      </c>
      <c r="B2787" s="76" t="s">
        <v>11198</v>
      </c>
    </row>
    <row r="2788" spans="1:2" ht="15">
      <c r="A2788" s="77" t="s">
        <v>6699</v>
      </c>
      <c r="B2788" s="76" t="s">
        <v>11198</v>
      </c>
    </row>
    <row r="2789" spans="1:2" ht="15">
      <c r="A2789" s="77" t="s">
        <v>6700</v>
      </c>
      <c r="B2789" s="76" t="s">
        <v>11198</v>
      </c>
    </row>
    <row r="2790" spans="1:2" ht="15">
      <c r="A2790" s="77" t="s">
        <v>6701</v>
      </c>
      <c r="B2790" s="76" t="s">
        <v>11198</v>
      </c>
    </row>
    <row r="2791" spans="1:2" ht="15">
      <c r="A2791" s="77" t="s">
        <v>6702</v>
      </c>
      <c r="B2791" s="76" t="s">
        <v>11198</v>
      </c>
    </row>
    <row r="2792" spans="1:2" ht="15">
      <c r="A2792" s="77" t="s">
        <v>6703</v>
      </c>
      <c r="B2792" s="76" t="s">
        <v>11198</v>
      </c>
    </row>
    <row r="2793" spans="1:2" ht="15">
      <c r="A2793" s="77" t="s">
        <v>6704</v>
      </c>
      <c r="B2793" s="76" t="s">
        <v>11198</v>
      </c>
    </row>
    <row r="2794" spans="1:2" ht="15">
      <c r="A2794" s="77" t="s">
        <v>6705</v>
      </c>
      <c r="B2794" s="76" t="s">
        <v>11198</v>
      </c>
    </row>
    <row r="2795" spans="1:2" ht="15">
      <c r="A2795" s="77" t="s">
        <v>6706</v>
      </c>
      <c r="B2795" s="76" t="s">
        <v>11198</v>
      </c>
    </row>
    <row r="2796" spans="1:2" ht="15">
      <c r="A2796" s="77" t="s">
        <v>6707</v>
      </c>
      <c r="B2796" s="76" t="s">
        <v>11198</v>
      </c>
    </row>
    <row r="2797" spans="1:2" ht="15">
      <c r="A2797" s="77" t="s">
        <v>6708</v>
      </c>
      <c r="B2797" s="76" t="s">
        <v>11198</v>
      </c>
    </row>
    <row r="2798" spans="1:2" ht="15">
      <c r="A2798" s="77" t="s">
        <v>6709</v>
      </c>
      <c r="B2798" s="76" t="s">
        <v>11198</v>
      </c>
    </row>
    <row r="2799" spans="1:2" ht="15">
      <c r="A2799" s="77" t="s">
        <v>6710</v>
      </c>
      <c r="B2799" s="76" t="s">
        <v>11198</v>
      </c>
    </row>
    <row r="2800" spans="1:2" ht="15">
      <c r="A2800" s="77" t="s">
        <v>6711</v>
      </c>
      <c r="B2800" s="76" t="s">
        <v>11198</v>
      </c>
    </row>
    <row r="2801" spans="1:2" ht="15">
      <c r="A2801" s="77" t="s">
        <v>6712</v>
      </c>
      <c r="B2801" s="76" t="s">
        <v>11198</v>
      </c>
    </row>
    <row r="2802" spans="1:2" ht="15">
      <c r="A2802" s="77" t="s">
        <v>6713</v>
      </c>
      <c r="B2802" s="76" t="s">
        <v>11198</v>
      </c>
    </row>
    <row r="2803" spans="1:2" ht="15">
      <c r="A2803" s="77" t="s">
        <v>6714</v>
      </c>
      <c r="B2803" s="76" t="s">
        <v>11198</v>
      </c>
    </row>
    <row r="2804" spans="1:2" ht="15">
      <c r="A2804" s="77" t="s">
        <v>6715</v>
      </c>
      <c r="B2804" s="76" t="s">
        <v>11198</v>
      </c>
    </row>
    <row r="2805" spans="1:2" ht="15">
      <c r="A2805" s="77" t="s">
        <v>6716</v>
      </c>
      <c r="B2805" s="76" t="s">
        <v>11198</v>
      </c>
    </row>
    <row r="2806" spans="1:2" ht="15">
      <c r="A2806" s="77" t="s">
        <v>6717</v>
      </c>
      <c r="B2806" s="76" t="s">
        <v>11198</v>
      </c>
    </row>
    <row r="2807" spans="1:2" ht="15">
      <c r="A2807" s="77" t="s">
        <v>6718</v>
      </c>
      <c r="B2807" s="76" t="s">
        <v>11198</v>
      </c>
    </row>
    <row r="2808" spans="1:2" ht="15">
      <c r="A2808" s="77" t="s">
        <v>6719</v>
      </c>
      <c r="B2808" s="76" t="s">
        <v>11198</v>
      </c>
    </row>
    <row r="2809" spans="1:2" ht="15">
      <c r="A2809" s="77" t="s">
        <v>6720</v>
      </c>
      <c r="B2809" s="76" t="s">
        <v>11198</v>
      </c>
    </row>
    <row r="2810" spans="1:2" ht="15">
      <c r="A2810" s="77" t="s">
        <v>6721</v>
      </c>
      <c r="B2810" s="76" t="s">
        <v>11198</v>
      </c>
    </row>
    <row r="2811" spans="1:2" ht="15">
      <c r="A2811" s="77" t="s">
        <v>6722</v>
      </c>
      <c r="B2811" s="76" t="s">
        <v>11198</v>
      </c>
    </row>
    <row r="2812" spans="1:2" ht="15">
      <c r="A2812" s="77" t="s">
        <v>6723</v>
      </c>
      <c r="B2812" s="76" t="s">
        <v>11198</v>
      </c>
    </row>
    <row r="2813" spans="1:2" ht="15">
      <c r="A2813" s="77" t="s">
        <v>6724</v>
      </c>
      <c r="B2813" s="76" t="s">
        <v>11198</v>
      </c>
    </row>
    <row r="2814" spans="1:2" ht="15">
      <c r="A2814" s="77" t="s">
        <v>6725</v>
      </c>
      <c r="B2814" s="76" t="s">
        <v>11198</v>
      </c>
    </row>
    <row r="2815" spans="1:2" ht="15">
      <c r="A2815" s="77" t="s">
        <v>6726</v>
      </c>
      <c r="B2815" s="76" t="s">
        <v>11198</v>
      </c>
    </row>
    <row r="2816" spans="1:2" ht="15">
      <c r="A2816" s="77" t="s">
        <v>6727</v>
      </c>
      <c r="B2816" s="76" t="s">
        <v>11198</v>
      </c>
    </row>
    <row r="2817" spans="1:2" ht="15">
      <c r="A2817" s="77" t="s">
        <v>6728</v>
      </c>
      <c r="B2817" s="76" t="s">
        <v>11198</v>
      </c>
    </row>
    <row r="2818" spans="1:2" ht="15">
      <c r="A2818" s="77" t="s">
        <v>6729</v>
      </c>
      <c r="B2818" s="76" t="s">
        <v>11198</v>
      </c>
    </row>
    <row r="2819" spans="1:2" ht="15">
      <c r="A2819" s="77" t="s">
        <v>6730</v>
      </c>
      <c r="B2819" s="76" t="s">
        <v>11198</v>
      </c>
    </row>
    <row r="2820" spans="1:2" ht="15">
      <c r="A2820" s="77" t="s">
        <v>6731</v>
      </c>
      <c r="B2820" s="76" t="s">
        <v>11198</v>
      </c>
    </row>
    <row r="2821" spans="1:2" ht="15">
      <c r="A2821" s="77" t="s">
        <v>6732</v>
      </c>
      <c r="B2821" s="76" t="s">
        <v>11198</v>
      </c>
    </row>
    <row r="2822" spans="1:2" ht="15">
      <c r="A2822" s="77" t="s">
        <v>6733</v>
      </c>
      <c r="B2822" s="76" t="s">
        <v>11198</v>
      </c>
    </row>
    <row r="2823" spans="1:2" ht="15">
      <c r="A2823" s="77" t="s">
        <v>6734</v>
      </c>
      <c r="B2823" s="76" t="s">
        <v>11198</v>
      </c>
    </row>
    <row r="2824" spans="1:2" ht="15">
      <c r="A2824" s="77" t="s">
        <v>6735</v>
      </c>
      <c r="B2824" s="76" t="s">
        <v>11198</v>
      </c>
    </row>
    <row r="2825" spans="1:2" ht="15">
      <c r="A2825" s="77" t="s">
        <v>6736</v>
      </c>
      <c r="B2825" s="76" t="s">
        <v>11198</v>
      </c>
    </row>
    <row r="2826" spans="1:2" ht="15">
      <c r="A2826" s="77" t="s">
        <v>6737</v>
      </c>
      <c r="B2826" s="76" t="s">
        <v>11198</v>
      </c>
    </row>
    <row r="2827" spans="1:2" ht="15">
      <c r="A2827" s="77" t="s">
        <v>6738</v>
      </c>
      <c r="B2827" s="76" t="s">
        <v>11198</v>
      </c>
    </row>
    <row r="2828" spans="1:2" ht="15">
      <c r="A2828" s="77" t="s">
        <v>6739</v>
      </c>
      <c r="B2828" s="76" t="s">
        <v>11198</v>
      </c>
    </row>
    <row r="2829" spans="1:2" ht="15">
      <c r="A2829" s="77" t="s">
        <v>6740</v>
      </c>
      <c r="B2829" s="76" t="s">
        <v>11198</v>
      </c>
    </row>
    <row r="2830" spans="1:2" ht="15">
      <c r="A2830" s="77" t="s">
        <v>6741</v>
      </c>
      <c r="B2830" s="76" t="s">
        <v>11198</v>
      </c>
    </row>
    <row r="2831" spans="1:2" ht="15">
      <c r="A2831" s="77" t="s">
        <v>6742</v>
      </c>
      <c r="B2831" s="76" t="s">
        <v>11198</v>
      </c>
    </row>
    <row r="2832" spans="1:2" ht="15">
      <c r="A2832" s="77" t="s">
        <v>6743</v>
      </c>
      <c r="B2832" s="76" t="s">
        <v>11198</v>
      </c>
    </row>
    <row r="2833" spans="1:2" ht="15">
      <c r="A2833" s="77" t="s">
        <v>6744</v>
      </c>
      <c r="B2833" s="76" t="s">
        <v>11198</v>
      </c>
    </row>
    <row r="2834" spans="1:2" ht="15">
      <c r="A2834" s="77" t="s">
        <v>6745</v>
      </c>
      <c r="B2834" s="76" t="s">
        <v>11198</v>
      </c>
    </row>
    <row r="2835" spans="1:2" ht="15">
      <c r="A2835" s="77" t="s">
        <v>6746</v>
      </c>
      <c r="B2835" s="76" t="s">
        <v>11198</v>
      </c>
    </row>
    <row r="2836" spans="1:2" ht="15">
      <c r="A2836" s="77" t="s">
        <v>6747</v>
      </c>
      <c r="B2836" s="76" t="s">
        <v>11198</v>
      </c>
    </row>
    <row r="2837" spans="1:2" ht="15">
      <c r="A2837" s="77" t="s">
        <v>6748</v>
      </c>
      <c r="B2837" s="76" t="s">
        <v>11198</v>
      </c>
    </row>
    <row r="2838" spans="1:2" ht="15">
      <c r="A2838" s="77" t="s">
        <v>6749</v>
      </c>
      <c r="B2838" s="76" t="s">
        <v>11198</v>
      </c>
    </row>
    <row r="2839" spans="1:2" ht="15">
      <c r="A2839" s="77" t="s">
        <v>6750</v>
      </c>
      <c r="B2839" s="76" t="s">
        <v>11198</v>
      </c>
    </row>
    <row r="2840" spans="1:2" ht="15">
      <c r="A2840" s="77" t="s">
        <v>6751</v>
      </c>
      <c r="B2840" s="76" t="s">
        <v>11198</v>
      </c>
    </row>
    <row r="2841" spans="1:2" ht="15">
      <c r="A2841" s="77" t="s">
        <v>6752</v>
      </c>
      <c r="B2841" s="76" t="s">
        <v>11198</v>
      </c>
    </row>
    <row r="2842" spans="1:2" ht="15">
      <c r="A2842" s="77" t="s">
        <v>6753</v>
      </c>
      <c r="B2842" s="76" t="s">
        <v>11198</v>
      </c>
    </row>
    <row r="2843" spans="1:2" ht="15">
      <c r="A2843" s="77" t="s">
        <v>6754</v>
      </c>
      <c r="B2843" s="76" t="s">
        <v>11198</v>
      </c>
    </row>
    <row r="2844" spans="1:2" ht="15">
      <c r="A2844" s="77" t="s">
        <v>6755</v>
      </c>
      <c r="B2844" s="76" t="s">
        <v>11198</v>
      </c>
    </row>
    <row r="2845" spans="1:2" ht="15">
      <c r="A2845" s="77" t="s">
        <v>6756</v>
      </c>
      <c r="B2845" s="76" t="s">
        <v>11198</v>
      </c>
    </row>
    <row r="2846" spans="1:2" ht="15">
      <c r="A2846" s="77" t="s">
        <v>6757</v>
      </c>
      <c r="B2846" s="76" t="s">
        <v>11198</v>
      </c>
    </row>
    <row r="2847" spans="1:2" ht="15">
      <c r="A2847" s="77" t="s">
        <v>6758</v>
      </c>
      <c r="B2847" s="76" t="s">
        <v>11198</v>
      </c>
    </row>
    <row r="2848" spans="1:2" ht="15">
      <c r="A2848" s="77" t="s">
        <v>6759</v>
      </c>
      <c r="B2848" s="76" t="s">
        <v>11198</v>
      </c>
    </row>
    <row r="2849" spans="1:2" ht="15">
      <c r="A2849" s="77" t="s">
        <v>6760</v>
      </c>
      <c r="B2849" s="76" t="s">
        <v>11198</v>
      </c>
    </row>
    <row r="2850" spans="1:2" ht="15">
      <c r="A2850" s="77" t="s">
        <v>6761</v>
      </c>
      <c r="B2850" s="76" t="s">
        <v>11198</v>
      </c>
    </row>
    <row r="2851" spans="1:2" ht="15">
      <c r="A2851" s="77" t="s">
        <v>6762</v>
      </c>
      <c r="B2851" s="76" t="s">
        <v>11198</v>
      </c>
    </row>
    <row r="2852" spans="1:2" ht="15">
      <c r="A2852" s="77" t="s">
        <v>6763</v>
      </c>
      <c r="B2852" s="76" t="s">
        <v>11198</v>
      </c>
    </row>
    <row r="2853" spans="1:2" ht="15">
      <c r="A2853" s="77" t="s">
        <v>6764</v>
      </c>
      <c r="B2853" s="76" t="s">
        <v>11198</v>
      </c>
    </row>
    <row r="2854" spans="1:2" ht="15">
      <c r="A2854" s="77" t="s">
        <v>6765</v>
      </c>
      <c r="B2854" s="76" t="s">
        <v>11198</v>
      </c>
    </row>
    <row r="2855" spans="1:2" ht="15">
      <c r="A2855" s="77" t="s">
        <v>6766</v>
      </c>
      <c r="B2855" s="76" t="s">
        <v>11198</v>
      </c>
    </row>
    <row r="2856" spans="1:2" ht="15">
      <c r="A2856" s="77" t="s">
        <v>6767</v>
      </c>
      <c r="B2856" s="76" t="s">
        <v>11198</v>
      </c>
    </row>
    <row r="2857" spans="1:2" ht="15">
      <c r="A2857" s="77" t="s">
        <v>6768</v>
      </c>
      <c r="B2857" s="76" t="s">
        <v>11198</v>
      </c>
    </row>
    <row r="2858" spans="1:2" ht="15">
      <c r="A2858" s="77" t="s">
        <v>6769</v>
      </c>
      <c r="B2858" s="76" t="s">
        <v>11198</v>
      </c>
    </row>
    <row r="2859" spans="1:2" ht="15">
      <c r="A2859" s="77" t="s">
        <v>6770</v>
      </c>
      <c r="B2859" s="76" t="s">
        <v>11198</v>
      </c>
    </row>
    <row r="2860" spans="1:2" ht="15">
      <c r="A2860" s="77" t="s">
        <v>6771</v>
      </c>
      <c r="B2860" s="76" t="s">
        <v>11198</v>
      </c>
    </row>
    <row r="2861" spans="1:2" ht="15">
      <c r="A2861" s="77" t="s">
        <v>6772</v>
      </c>
      <c r="B2861" s="76" t="s">
        <v>11198</v>
      </c>
    </row>
    <row r="2862" spans="1:2" ht="15">
      <c r="A2862" s="77" t="s">
        <v>6773</v>
      </c>
      <c r="B2862" s="76" t="s">
        <v>11198</v>
      </c>
    </row>
    <row r="2863" spans="1:2" ht="15">
      <c r="A2863" s="77" t="s">
        <v>6774</v>
      </c>
      <c r="B2863" s="76" t="s">
        <v>11198</v>
      </c>
    </row>
    <row r="2864" spans="1:2" ht="15">
      <c r="A2864" s="77" t="s">
        <v>6775</v>
      </c>
      <c r="B2864" s="76" t="s">
        <v>11198</v>
      </c>
    </row>
    <row r="2865" spans="1:2" ht="15">
      <c r="A2865" s="77" t="s">
        <v>6776</v>
      </c>
      <c r="B2865" s="76" t="s">
        <v>11198</v>
      </c>
    </row>
    <row r="2866" spans="1:2" ht="15">
      <c r="A2866" s="77" t="s">
        <v>6777</v>
      </c>
      <c r="B2866" s="76" t="s">
        <v>11198</v>
      </c>
    </row>
    <row r="2867" spans="1:2" ht="15">
      <c r="A2867" s="77" t="s">
        <v>6778</v>
      </c>
      <c r="B2867" s="76" t="s">
        <v>11198</v>
      </c>
    </row>
    <row r="2868" spans="1:2" ht="15">
      <c r="A2868" s="77" t="s">
        <v>6779</v>
      </c>
      <c r="B2868" s="76" t="s">
        <v>11198</v>
      </c>
    </row>
    <row r="2869" spans="1:2" ht="15">
      <c r="A2869" s="77" t="s">
        <v>6780</v>
      </c>
      <c r="B2869" s="76" t="s">
        <v>11198</v>
      </c>
    </row>
    <row r="2870" spans="1:2" ht="15">
      <c r="A2870" s="77" t="s">
        <v>6781</v>
      </c>
      <c r="B2870" s="76" t="s">
        <v>11198</v>
      </c>
    </row>
    <row r="2871" spans="1:2" ht="15">
      <c r="A2871" s="77" t="s">
        <v>6782</v>
      </c>
      <c r="B2871" s="76" t="s">
        <v>11198</v>
      </c>
    </row>
    <row r="2872" spans="1:2" ht="15">
      <c r="A2872" s="77" t="s">
        <v>6783</v>
      </c>
      <c r="B2872" s="76" t="s">
        <v>11198</v>
      </c>
    </row>
    <row r="2873" spans="1:2" ht="15">
      <c r="A2873" s="77" t="s">
        <v>6784</v>
      </c>
      <c r="B2873" s="76" t="s">
        <v>11198</v>
      </c>
    </row>
    <row r="2874" spans="1:2" ht="15">
      <c r="A2874" s="77" t="s">
        <v>6785</v>
      </c>
      <c r="B2874" s="76" t="s">
        <v>11198</v>
      </c>
    </row>
    <row r="2875" spans="1:2" ht="15">
      <c r="A2875" s="77" t="s">
        <v>6786</v>
      </c>
      <c r="B2875" s="76" t="s">
        <v>11198</v>
      </c>
    </row>
    <row r="2876" spans="1:2" ht="15">
      <c r="A2876" s="77" t="s">
        <v>6787</v>
      </c>
      <c r="B2876" s="76" t="s">
        <v>11198</v>
      </c>
    </row>
    <row r="2877" spans="1:2" ht="15">
      <c r="A2877" s="77" t="s">
        <v>6788</v>
      </c>
      <c r="B2877" s="76" t="s">
        <v>11198</v>
      </c>
    </row>
    <row r="2878" spans="1:2" ht="15">
      <c r="A2878" s="77" t="s">
        <v>6789</v>
      </c>
      <c r="B2878" s="76" t="s">
        <v>11198</v>
      </c>
    </row>
    <row r="2879" spans="1:2" ht="15">
      <c r="A2879" s="77" t="s">
        <v>6790</v>
      </c>
      <c r="B2879" s="76" t="s">
        <v>11198</v>
      </c>
    </row>
    <row r="2880" spans="1:2" ht="15">
      <c r="A2880" s="77" t="s">
        <v>6791</v>
      </c>
      <c r="B2880" s="76" t="s">
        <v>11198</v>
      </c>
    </row>
    <row r="2881" spans="1:2" ht="15">
      <c r="A2881" s="77" t="s">
        <v>6792</v>
      </c>
      <c r="B2881" s="76" t="s">
        <v>11198</v>
      </c>
    </row>
    <row r="2882" spans="1:2" ht="15">
      <c r="A2882" s="77" t="s">
        <v>6793</v>
      </c>
      <c r="B2882" s="76" t="s">
        <v>11198</v>
      </c>
    </row>
    <row r="2883" spans="1:2" ht="15">
      <c r="A2883" s="77" t="s">
        <v>6794</v>
      </c>
      <c r="B2883" s="76" t="s">
        <v>11198</v>
      </c>
    </row>
    <row r="2884" spans="1:2" ht="15">
      <c r="A2884" s="77" t="s">
        <v>6795</v>
      </c>
      <c r="B2884" s="76" t="s">
        <v>11198</v>
      </c>
    </row>
    <row r="2885" spans="1:2" ht="15">
      <c r="A2885" s="77" t="s">
        <v>6796</v>
      </c>
      <c r="B2885" s="76" t="s">
        <v>11198</v>
      </c>
    </row>
    <row r="2886" spans="1:2" ht="15">
      <c r="A2886" s="77" t="s">
        <v>6797</v>
      </c>
      <c r="B2886" s="76" t="s">
        <v>11198</v>
      </c>
    </row>
    <row r="2887" spans="1:2" ht="15">
      <c r="A2887" s="77" t="s">
        <v>6798</v>
      </c>
      <c r="B2887" s="76" t="s">
        <v>11198</v>
      </c>
    </row>
    <row r="2888" spans="1:2" ht="15">
      <c r="A2888" s="77" t="s">
        <v>6799</v>
      </c>
      <c r="B2888" s="76" t="s">
        <v>11198</v>
      </c>
    </row>
    <row r="2889" spans="1:2" ht="15">
      <c r="A2889" s="77" t="s">
        <v>6800</v>
      </c>
      <c r="B2889" s="76" t="s">
        <v>11198</v>
      </c>
    </row>
    <row r="2890" spans="1:2" ht="15">
      <c r="A2890" s="77" t="s">
        <v>6801</v>
      </c>
      <c r="B2890" s="76" t="s">
        <v>11198</v>
      </c>
    </row>
    <row r="2891" spans="1:2" ht="15">
      <c r="A2891" s="77" t="s">
        <v>6802</v>
      </c>
      <c r="B2891" s="76" t="s">
        <v>11198</v>
      </c>
    </row>
    <row r="2892" spans="1:2" ht="15">
      <c r="A2892" s="77" t="s">
        <v>6803</v>
      </c>
      <c r="B2892" s="76" t="s">
        <v>11198</v>
      </c>
    </row>
    <row r="2893" spans="1:2" ht="15">
      <c r="A2893" s="77" t="s">
        <v>6804</v>
      </c>
      <c r="B2893" s="76" t="s">
        <v>11198</v>
      </c>
    </row>
    <row r="2894" spans="1:2" ht="15">
      <c r="A2894" s="77" t="s">
        <v>6805</v>
      </c>
      <c r="B2894" s="76" t="s">
        <v>11198</v>
      </c>
    </row>
    <row r="2895" spans="1:2" ht="15">
      <c r="A2895" s="77" t="s">
        <v>6806</v>
      </c>
      <c r="B2895" s="76" t="s">
        <v>11198</v>
      </c>
    </row>
    <row r="2896" spans="1:2" ht="15">
      <c r="A2896" s="77" t="s">
        <v>6807</v>
      </c>
      <c r="B2896" s="76" t="s">
        <v>11198</v>
      </c>
    </row>
    <row r="2897" spans="1:2" ht="15">
      <c r="A2897" s="77" t="s">
        <v>6808</v>
      </c>
      <c r="B2897" s="76" t="s">
        <v>11198</v>
      </c>
    </row>
    <row r="2898" spans="1:2" ht="15">
      <c r="A2898" s="77" t="s">
        <v>6809</v>
      </c>
      <c r="B2898" s="76" t="s">
        <v>11198</v>
      </c>
    </row>
    <row r="2899" spans="1:2" ht="15">
      <c r="A2899" s="77" t="s">
        <v>6810</v>
      </c>
      <c r="B2899" s="76" t="s">
        <v>11198</v>
      </c>
    </row>
    <row r="2900" spans="1:2" ht="15">
      <c r="A2900" s="77" t="s">
        <v>6811</v>
      </c>
      <c r="B2900" s="76" t="s">
        <v>11198</v>
      </c>
    </row>
    <row r="2901" spans="1:2" ht="15">
      <c r="A2901" s="77" t="s">
        <v>6812</v>
      </c>
      <c r="B2901" s="76" t="s">
        <v>11198</v>
      </c>
    </row>
    <row r="2902" spans="1:2" ht="15">
      <c r="A2902" s="77" t="s">
        <v>6813</v>
      </c>
      <c r="B2902" s="76" t="s">
        <v>11198</v>
      </c>
    </row>
    <row r="2903" spans="1:2" ht="15">
      <c r="A2903" s="77" t="s">
        <v>6814</v>
      </c>
      <c r="B2903" s="76" t="s">
        <v>11198</v>
      </c>
    </row>
    <row r="2904" spans="1:2" ht="15">
      <c r="A2904" s="77" t="s">
        <v>6815</v>
      </c>
      <c r="B2904" s="76" t="s">
        <v>11198</v>
      </c>
    </row>
    <row r="2905" spans="1:2" ht="15">
      <c r="A2905" s="77" t="s">
        <v>6816</v>
      </c>
      <c r="B2905" s="76" t="s">
        <v>11198</v>
      </c>
    </row>
    <row r="2906" spans="1:2" ht="15">
      <c r="A2906" s="77" t="s">
        <v>6817</v>
      </c>
      <c r="B2906" s="76" t="s">
        <v>11198</v>
      </c>
    </row>
    <row r="2907" spans="1:2" ht="15">
      <c r="A2907" s="77" t="s">
        <v>6818</v>
      </c>
      <c r="B2907" s="76" t="s">
        <v>11198</v>
      </c>
    </row>
    <row r="2908" spans="1:2" ht="15">
      <c r="A2908" s="77" t="s">
        <v>6819</v>
      </c>
      <c r="B2908" s="76" t="s">
        <v>11198</v>
      </c>
    </row>
    <row r="2909" spans="1:2" ht="15">
      <c r="A2909" s="77" t="s">
        <v>6820</v>
      </c>
      <c r="B2909" s="76" t="s">
        <v>11198</v>
      </c>
    </row>
    <row r="2910" spans="1:2" ht="15">
      <c r="A2910" s="77" t="s">
        <v>6821</v>
      </c>
      <c r="B2910" s="76" t="s">
        <v>11198</v>
      </c>
    </row>
    <row r="2911" spans="1:2" ht="15">
      <c r="A2911" s="77" t="s">
        <v>6822</v>
      </c>
      <c r="B2911" s="76" t="s">
        <v>11198</v>
      </c>
    </row>
    <row r="2912" spans="1:2" ht="15">
      <c r="A2912" s="77" t="s">
        <v>6823</v>
      </c>
      <c r="B2912" s="76" t="s">
        <v>11198</v>
      </c>
    </row>
    <row r="2913" spans="1:2" ht="15">
      <c r="A2913" s="77" t="s">
        <v>6824</v>
      </c>
      <c r="B2913" s="76" t="s">
        <v>11198</v>
      </c>
    </row>
    <row r="2914" spans="1:2" ht="15">
      <c r="A2914" s="77" t="s">
        <v>6825</v>
      </c>
      <c r="B2914" s="76" t="s">
        <v>11198</v>
      </c>
    </row>
    <row r="2915" spans="1:2" ht="15">
      <c r="A2915" s="77" t="s">
        <v>6826</v>
      </c>
      <c r="B2915" s="76" t="s">
        <v>11198</v>
      </c>
    </row>
    <row r="2916" spans="1:2" ht="15">
      <c r="A2916" s="77" t="s">
        <v>6827</v>
      </c>
      <c r="B2916" s="76" t="s">
        <v>11198</v>
      </c>
    </row>
    <row r="2917" spans="1:2" ht="15">
      <c r="A2917" s="77" t="s">
        <v>6828</v>
      </c>
      <c r="B2917" s="76" t="s">
        <v>11198</v>
      </c>
    </row>
    <row r="2918" spans="1:2" ht="15">
      <c r="A2918" s="77" t="s">
        <v>6829</v>
      </c>
      <c r="B2918" s="76" t="s">
        <v>11198</v>
      </c>
    </row>
    <row r="2919" spans="1:2" ht="15">
      <c r="A2919" s="77" t="s">
        <v>6830</v>
      </c>
      <c r="B2919" s="76" t="s">
        <v>11198</v>
      </c>
    </row>
    <row r="2920" spans="1:2" ht="15">
      <c r="A2920" s="77" t="s">
        <v>6831</v>
      </c>
      <c r="B2920" s="76" t="s">
        <v>11198</v>
      </c>
    </row>
    <row r="2921" spans="1:2" ht="15">
      <c r="A2921" s="77" t="s">
        <v>6832</v>
      </c>
      <c r="B2921" s="76" t="s">
        <v>11198</v>
      </c>
    </row>
    <row r="2922" spans="1:2" ht="15">
      <c r="A2922" s="77" t="s">
        <v>6833</v>
      </c>
      <c r="B2922" s="76" t="s">
        <v>11198</v>
      </c>
    </row>
    <row r="2923" spans="1:2" ht="15">
      <c r="A2923" s="77" t="s">
        <v>6834</v>
      </c>
      <c r="B2923" s="76" t="s">
        <v>11198</v>
      </c>
    </row>
    <row r="2924" spans="1:2" ht="15">
      <c r="A2924" s="77" t="s">
        <v>6835</v>
      </c>
      <c r="B2924" s="76" t="s">
        <v>11198</v>
      </c>
    </row>
    <row r="2925" spans="1:2" ht="15">
      <c r="A2925" s="77" t="s">
        <v>6836</v>
      </c>
      <c r="B2925" s="76" t="s">
        <v>11198</v>
      </c>
    </row>
    <row r="2926" spans="1:2" ht="15">
      <c r="A2926" s="77" t="s">
        <v>6837</v>
      </c>
      <c r="B2926" s="76" t="s">
        <v>11198</v>
      </c>
    </row>
    <row r="2927" spans="1:2" ht="15">
      <c r="A2927" s="77" t="s">
        <v>6838</v>
      </c>
      <c r="B2927" s="76" t="s">
        <v>11198</v>
      </c>
    </row>
    <row r="2928" spans="1:2" ht="15">
      <c r="A2928" s="77" t="s">
        <v>6839</v>
      </c>
      <c r="B2928" s="76" t="s">
        <v>11198</v>
      </c>
    </row>
    <row r="2929" spans="1:2" ht="15">
      <c r="A2929" s="77" t="s">
        <v>6840</v>
      </c>
      <c r="B2929" s="76" t="s">
        <v>11198</v>
      </c>
    </row>
    <row r="2930" spans="1:2" ht="15">
      <c r="A2930" s="77" t="s">
        <v>6841</v>
      </c>
      <c r="B2930" s="76" t="s">
        <v>11198</v>
      </c>
    </row>
    <row r="2931" spans="1:2" ht="15">
      <c r="A2931" s="77" t="s">
        <v>6842</v>
      </c>
      <c r="B2931" s="76" t="s">
        <v>11198</v>
      </c>
    </row>
    <row r="2932" spans="1:2" ht="15">
      <c r="A2932" s="77" t="s">
        <v>6843</v>
      </c>
      <c r="B2932" s="76" t="s">
        <v>11198</v>
      </c>
    </row>
    <row r="2933" spans="1:2" ht="15">
      <c r="A2933" s="77" t="s">
        <v>6844</v>
      </c>
      <c r="B2933" s="76" t="s">
        <v>11198</v>
      </c>
    </row>
    <row r="2934" spans="1:2" ht="15">
      <c r="A2934" s="77" t="s">
        <v>6845</v>
      </c>
      <c r="B2934" s="76" t="s">
        <v>11198</v>
      </c>
    </row>
    <row r="2935" spans="1:2" ht="15">
      <c r="A2935" s="77" t="s">
        <v>6846</v>
      </c>
      <c r="B2935" s="76" t="s">
        <v>11198</v>
      </c>
    </row>
    <row r="2936" spans="1:2" ht="15">
      <c r="A2936" s="77" t="s">
        <v>6847</v>
      </c>
      <c r="B2936" s="76" t="s">
        <v>11198</v>
      </c>
    </row>
    <row r="2937" spans="1:2" ht="15">
      <c r="A2937" s="77" t="s">
        <v>6848</v>
      </c>
      <c r="B2937" s="76" t="s">
        <v>11198</v>
      </c>
    </row>
    <row r="2938" spans="1:2" ht="15">
      <c r="A2938" s="77" t="s">
        <v>6849</v>
      </c>
      <c r="B2938" s="76" t="s">
        <v>11198</v>
      </c>
    </row>
    <row r="2939" spans="1:2" ht="15">
      <c r="A2939" s="77" t="s">
        <v>6850</v>
      </c>
      <c r="B2939" s="76" t="s">
        <v>11198</v>
      </c>
    </row>
    <row r="2940" spans="1:2" ht="15">
      <c r="A2940" s="77" t="s">
        <v>6851</v>
      </c>
      <c r="B2940" s="76" t="s">
        <v>11198</v>
      </c>
    </row>
    <row r="2941" spans="1:2" ht="15">
      <c r="A2941" s="77" t="s">
        <v>6852</v>
      </c>
      <c r="B2941" s="76" t="s">
        <v>11198</v>
      </c>
    </row>
    <row r="2942" spans="1:2" ht="15">
      <c r="A2942" s="77" t="s">
        <v>6853</v>
      </c>
      <c r="B2942" s="76" t="s">
        <v>11198</v>
      </c>
    </row>
    <row r="2943" spans="1:2" ht="15">
      <c r="A2943" s="77" t="s">
        <v>6854</v>
      </c>
      <c r="B2943" s="76" t="s">
        <v>11198</v>
      </c>
    </row>
    <row r="2944" spans="1:2" ht="15">
      <c r="A2944" s="77" t="s">
        <v>6855</v>
      </c>
      <c r="B2944" s="76" t="s">
        <v>11198</v>
      </c>
    </row>
    <row r="2945" spans="1:2" ht="15">
      <c r="A2945" s="77" t="s">
        <v>6856</v>
      </c>
      <c r="B2945" s="76" t="s">
        <v>11198</v>
      </c>
    </row>
    <row r="2946" spans="1:2" ht="15">
      <c r="A2946" s="77" t="s">
        <v>6857</v>
      </c>
      <c r="B2946" s="76" t="s">
        <v>11198</v>
      </c>
    </row>
    <row r="2947" spans="1:2" ht="15">
      <c r="A2947" s="77" t="s">
        <v>6858</v>
      </c>
      <c r="B2947" s="76" t="s">
        <v>11198</v>
      </c>
    </row>
    <row r="2948" spans="1:2" ht="15">
      <c r="A2948" s="77" t="s">
        <v>6859</v>
      </c>
      <c r="B2948" s="76" t="s">
        <v>11198</v>
      </c>
    </row>
    <row r="2949" spans="1:2" ht="15">
      <c r="A2949" s="77" t="s">
        <v>6860</v>
      </c>
      <c r="B2949" s="76" t="s">
        <v>11198</v>
      </c>
    </row>
    <row r="2950" spans="1:2" ht="15">
      <c r="A2950" s="77" t="s">
        <v>6861</v>
      </c>
      <c r="B2950" s="76" t="s">
        <v>11198</v>
      </c>
    </row>
    <row r="2951" spans="1:2" ht="15">
      <c r="A2951" s="77" t="s">
        <v>6862</v>
      </c>
      <c r="B2951" s="76" t="s">
        <v>11198</v>
      </c>
    </row>
    <row r="2952" spans="1:2" ht="15">
      <c r="A2952" s="77" t="s">
        <v>6863</v>
      </c>
      <c r="B2952" s="76" t="s">
        <v>11198</v>
      </c>
    </row>
    <row r="2953" spans="1:2" ht="15">
      <c r="A2953" s="77" t="s">
        <v>6864</v>
      </c>
      <c r="B2953" s="76" t="s">
        <v>11198</v>
      </c>
    </row>
    <row r="2954" spans="1:2" ht="15">
      <c r="A2954" s="77" t="s">
        <v>6865</v>
      </c>
      <c r="B2954" s="76" t="s">
        <v>11198</v>
      </c>
    </row>
    <row r="2955" spans="1:2" ht="15">
      <c r="A2955" s="77" t="s">
        <v>6866</v>
      </c>
      <c r="B2955" s="76" t="s">
        <v>11198</v>
      </c>
    </row>
    <row r="2956" spans="1:2" ht="15">
      <c r="A2956" s="77" t="s">
        <v>6867</v>
      </c>
      <c r="B2956" s="76" t="s">
        <v>11198</v>
      </c>
    </row>
    <row r="2957" spans="1:2" ht="15">
      <c r="A2957" s="77" t="s">
        <v>6868</v>
      </c>
      <c r="B2957" s="76" t="s">
        <v>11198</v>
      </c>
    </row>
    <row r="2958" spans="1:2" ht="15">
      <c r="A2958" s="77" t="s">
        <v>6869</v>
      </c>
      <c r="B2958" s="76" t="s">
        <v>11198</v>
      </c>
    </row>
    <row r="2959" spans="1:2" ht="15">
      <c r="A2959" s="77" t="s">
        <v>6870</v>
      </c>
      <c r="B2959" s="76" t="s">
        <v>11198</v>
      </c>
    </row>
    <row r="2960" spans="1:2" ht="15">
      <c r="A2960" s="77" t="s">
        <v>6871</v>
      </c>
      <c r="B2960" s="76" t="s">
        <v>11198</v>
      </c>
    </row>
    <row r="2961" spans="1:2" ht="15">
      <c r="A2961" s="77" t="s">
        <v>6872</v>
      </c>
      <c r="B2961" s="76" t="s">
        <v>11198</v>
      </c>
    </row>
    <row r="2962" spans="1:2" ht="15">
      <c r="A2962" s="77" t="s">
        <v>6873</v>
      </c>
      <c r="B2962" s="76" t="s">
        <v>11198</v>
      </c>
    </row>
    <row r="2963" spans="1:2" ht="15">
      <c r="A2963" s="77" t="s">
        <v>6874</v>
      </c>
      <c r="B2963" s="76" t="s">
        <v>11198</v>
      </c>
    </row>
    <row r="2964" spans="1:2" ht="15">
      <c r="A2964" s="77" t="s">
        <v>6875</v>
      </c>
      <c r="B2964" s="76" t="s">
        <v>11198</v>
      </c>
    </row>
    <row r="2965" spans="1:2" ht="15">
      <c r="A2965" s="77" t="s">
        <v>6876</v>
      </c>
      <c r="B2965" s="76" t="s">
        <v>11198</v>
      </c>
    </row>
    <row r="2966" spans="1:2" ht="15">
      <c r="A2966" s="77" t="s">
        <v>6877</v>
      </c>
      <c r="B2966" s="76" t="s">
        <v>11198</v>
      </c>
    </row>
    <row r="2967" spans="1:2" ht="15">
      <c r="A2967" s="77" t="s">
        <v>6878</v>
      </c>
      <c r="B2967" s="76" t="s">
        <v>11198</v>
      </c>
    </row>
    <row r="2968" spans="1:2" ht="15">
      <c r="A2968" s="77" t="s">
        <v>6879</v>
      </c>
      <c r="B2968" s="76" t="s">
        <v>11198</v>
      </c>
    </row>
    <row r="2969" spans="1:2" ht="15">
      <c r="A2969" s="77" t="s">
        <v>6880</v>
      </c>
      <c r="B2969" s="76" t="s">
        <v>11198</v>
      </c>
    </row>
    <row r="2970" spans="1:2" ht="15">
      <c r="A2970" s="77" t="s">
        <v>6881</v>
      </c>
      <c r="B2970" s="76" t="s">
        <v>11198</v>
      </c>
    </row>
    <row r="2971" spans="1:2" ht="15">
      <c r="A2971" s="77" t="s">
        <v>6882</v>
      </c>
      <c r="B2971" s="76" t="s">
        <v>11198</v>
      </c>
    </row>
    <row r="2972" spans="1:2" ht="15">
      <c r="A2972" s="77" t="s">
        <v>6883</v>
      </c>
      <c r="B2972" s="76" t="s">
        <v>11198</v>
      </c>
    </row>
    <row r="2973" spans="1:2" ht="15">
      <c r="A2973" s="77" t="s">
        <v>6884</v>
      </c>
      <c r="B2973" s="76" t="s">
        <v>11198</v>
      </c>
    </row>
    <row r="2974" spans="1:2" ht="15">
      <c r="A2974" s="77" t="s">
        <v>6885</v>
      </c>
      <c r="B2974" s="76" t="s">
        <v>11198</v>
      </c>
    </row>
    <row r="2975" spans="1:2" ht="15">
      <c r="A2975" s="77" t="s">
        <v>6886</v>
      </c>
      <c r="B2975" s="76" t="s">
        <v>11198</v>
      </c>
    </row>
    <row r="2976" spans="1:2" ht="15">
      <c r="A2976" s="77" t="s">
        <v>6887</v>
      </c>
      <c r="B2976" s="76" t="s">
        <v>11198</v>
      </c>
    </row>
    <row r="2977" spans="1:2" ht="15">
      <c r="A2977" s="77" t="s">
        <v>6888</v>
      </c>
      <c r="B2977" s="76" t="s">
        <v>11198</v>
      </c>
    </row>
    <row r="2978" spans="1:2" ht="15">
      <c r="A2978" s="77" t="s">
        <v>6889</v>
      </c>
      <c r="B2978" s="76" t="s">
        <v>11198</v>
      </c>
    </row>
    <row r="2979" spans="1:2" ht="15">
      <c r="A2979" s="77" t="s">
        <v>6890</v>
      </c>
      <c r="B2979" s="76" t="s">
        <v>11198</v>
      </c>
    </row>
    <row r="2980" spans="1:2" ht="15">
      <c r="A2980" s="77" t="s">
        <v>6891</v>
      </c>
      <c r="B2980" s="76" t="s">
        <v>11198</v>
      </c>
    </row>
    <row r="2981" spans="1:2" ht="15">
      <c r="A2981" s="77" t="s">
        <v>6892</v>
      </c>
      <c r="B2981" s="76" t="s">
        <v>11198</v>
      </c>
    </row>
    <row r="2982" spans="1:2" ht="15">
      <c r="A2982" s="77" t="s">
        <v>6893</v>
      </c>
      <c r="B2982" s="76" t="s">
        <v>11198</v>
      </c>
    </row>
    <row r="2983" spans="1:2" ht="15">
      <c r="A2983" s="77" t="s">
        <v>6894</v>
      </c>
      <c r="B2983" s="76" t="s">
        <v>11198</v>
      </c>
    </row>
    <row r="2984" spans="1:2" ht="15">
      <c r="A2984" s="77" t="s">
        <v>6895</v>
      </c>
      <c r="B2984" s="76" t="s">
        <v>11198</v>
      </c>
    </row>
    <row r="2985" spans="1:2" ht="15">
      <c r="A2985" s="77" t="s">
        <v>6896</v>
      </c>
      <c r="B2985" s="76" t="s">
        <v>11198</v>
      </c>
    </row>
    <row r="2986" spans="1:2" ht="15">
      <c r="A2986" s="77" t="s">
        <v>6897</v>
      </c>
      <c r="B2986" s="76" t="s">
        <v>11198</v>
      </c>
    </row>
    <row r="2987" spans="1:2" ht="15">
      <c r="A2987" s="77" t="s">
        <v>6898</v>
      </c>
      <c r="B2987" s="76" t="s">
        <v>11198</v>
      </c>
    </row>
    <row r="2988" spans="1:2" ht="15">
      <c r="A2988" s="77" t="s">
        <v>6899</v>
      </c>
      <c r="B2988" s="76" t="s">
        <v>11198</v>
      </c>
    </row>
    <row r="2989" spans="1:2" ht="15">
      <c r="A2989" s="77" t="s">
        <v>6900</v>
      </c>
      <c r="B2989" s="76" t="s">
        <v>11198</v>
      </c>
    </row>
    <row r="2990" spans="1:2" ht="15">
      <c r="A2990" s="77" t="s">
        <v>6901</v>
      </c>
      <c r="B2990" s="76" t="s">
        <v>11198</v>
      </c>
    </row>
    <row r="2991" spans="1:2" ht="15">
      <c r="A2991" s="77" t="s">
        <v>6902</v>
      </c>
      <c r="B2991" s="76" t="s">
        <v>11198</v>
      </c>
    </row>
    <row r="2992" spans="1:2" ht="15">
      <c r="A2992" s="77" t="s">
        <v>6903</v>
      </c>
      <c r="B2992" s="76" t="s">
        <v>11198</v>
      </c>
    </row>
    <row r="2993" spans="1:2" ht="15">
      <c r="A2993" s="77" t="s">
        <v>6904</v>
      </c>
      <c r="B2993" s="76" t="s">
        <v>11198</v>
      </c>
    </row>
    <row r="2994" spans="1:2" ht="15">
      <c r="A2994" s="77" t="s">
        <v>6905</v>
      </c>
      <c r="B2994" s="76" t="s">
        <v>11198</v>
      </c>
    </row>
    <row r="2995" spans="1:2" ht="15">
      <c r="A2995" s="77" t="s">
        <v>6906</v>
      </c>
      <c r="B2995" s="76" t="s">
        <v>11198</v>
      </c>
    </row>
    <row r="2996" spans="1:2" ht="15">
      <c r="A2996" s="77" t="s">
        <v>6907</v>
      </c>
      <c r="B2996" s="76" t="s">
        <v>11198</v>
      </c>
    </row>
    <row r="2997" spans="1:2" ht="15">
      <c r="A2997" s="77" t="s">
        <v>6908</v>
      </c>
      <c r="B2997" s="76" t="s">
        <v>11198</v>
      </c>
    </row>
    <row r="2998" spans="1:2" ht="15">
      <c r="A2998" s="77" t="s">
        <v>6909</v>
      </c>
      <c r="B2998" s="76" t="s">
        <v>11198</v>
      </c>
    </row>
    <row r="2999" spans="1:2" ht="15">
      <c r="A2999" s="77" t="s">
        <v>6910</v>
      </c>
      <c r="B2999" s="76" t="s">
        <v>11198</v>
      </c>
    </row>
    <row r="3000" spans="1:2" ht="15">
      <c r="A3000" s="77" t="s">
        <v>6911</v>
      </c>
      <c r="B3000" s="76" t="s">
        <v>11198</v>
      </c>
    </row>
    <row r="3001" spans="1:2" ht="15">
      <c r="A3001" s="77" t="s">
        <v>6912</v>
      </c>
      <c r="B3001" s="76" t="s">
        <v>11198</v>
      </c>
    </row>
    <row r="3002" spans="1:2" ht="15">
      <c r="A3002" s="77" t="s">
        <v>6913</v>
      </c>
      <c r="B3002" s="76" t="s">
        <v>11198</v>
      </c>
    </row>
    <row r="3003" spans="1:2" ht="15">
      <c r="A3003" s="77" t="s">
        <v>6914</v>
      </c>
      <c r="B3003" s="76" t="s">
        <v>11198</v>
      </c>
    </row>
    <row r="3004" spans="1:2" ht="15">
      <c r="A3004" s="77" t="s">
        <v>6915</v>
      </c>
      <c r="B3004" s="76" t="s">
        <v>11198</v>
      </c>
    </row>
    <row r="3005" spans="1:2" ht="15">
      <c r="A3005" s="77" t="s">
        <v>6916</v>
      </c>
      <c r="B3005" s="76" t="s">
        <v>11198</v>
      </c>
    </row>
    <row r="3006" spans="1:2" ht="15">
      <c r="A3006" s="77" t="s">
        <v>6917</v>
      </c>
      <c r="B3006" s="76" t="s">
        <v>11198</v>
      </c>
    </row>
    <row r="3007" spans="1:2" ht="15">
      <c r="A3007" s="77" t="s">
        <v>6918</v>
      </c>
      <c r="B3007" s="76" t="s">
        <v>11198</v>
      </c>
    </row>
    <row r="3008" spans="1:2" ht="15">
      <c r="A3008" s="77" t="s">
        <v>6919</v>
      </c>
      <c r="B3008" s="76" t="s">
        <v>11198</v>
      </c>
    </row>
    <row r="3009" spans="1:2" ht="15">
      <c r="A3009" s="77" t="s">
        <v>6920</v>
      </c>
      <c r="B3009" s="76" t="s">
        <v>11198</v>
      </c>
    </row>
    <row r="3010" spans="1:2" ht="15">
      <c r="A3010" s="77" t="s">
        <v>6921</v>
      </c>
      <c r="B3010" s="76" t="s">
        <v>11198</v>
      </c>
    </row>
    <row r="3011" spans="1:2" ht="15">
      <c r="A3011" s="77" t="s">
        <v>6922</v>
      </c>
      <c r="B3011" s="76" t="s">
        <v>11198</v>
      </c>
    </row>
    <row r="3012" spans="1:2" ht="15">
      <c r="A3012" s="77" t="s">
        <v>6923</v>
      </c>
      <c r="B3012" s="76" t="s">
        <v>11198</v>
      </c>
    </row>
    <row r="3013" spans="1:2" ht="15">
      <c r="A3013" s="77" t="s">
        <v>6924</v>
      </c>
      <c r="B3013" s="76" t="s">
        <v>11198</v>
      </c>
    </row>
    <row r="3014" spans="1:2" ht="15">
      <c r="A3014" s="77" t="s">
        <v>6925</v>
      </c>
      <c r="B3014" s="76" t="s">
        <v>11198</v>
      </c>
    </row>
    <row r="3015" spans="1:2" ht="15">
      <c r="A3015" s="77" t="s">
        <v>6926</v>
      </c>
      <c r="B3015" s="76" t="s">
        <v>11198</v>
      </c>
    </row>
    <row r="3016" spans="1:2" ht="15">
      <c r="A3016" s="77" t="s">
        <v>6927</v>
      </c>
      <c r="B3016" s="76" t="s">
        <v>11198</v>
      </c>
    </row>
    <row r="3017" spans="1:2" ht="15">
      <c r="A3017" s="77" t="s">
        <v>6928</v>
      </c>
      <c r="B3017" s="76" t="s">
        <v>11198</v>
      </c>
    </row>
    <row r="3018" spans="1:2" ht="15">
      <c r="A3018" s="77" t="s">
        <v>6929</v>
      </c>
      <c r="B3018" s="76" t="s">
        <v>11198</v>
      </c>
    </row>
    <row r="3019" spans="1:2" ht="15">
      <c r="A3019" s="77" t="s">
        <v>6930</v>
      </c>
      <c r="B3019" s="76" t="s">
        <v>11198</v>
      </c>
    </row>
    <row r="3020" spans="1:2" ht="15">
      <c r="A3020" s="77" t="s">
        <v>6931</v>
      </c>
      <c r="B3020" s="76" t="s">
        <v>11198</v>
      </c>
    </row>
    <row r="3021" spans="1:2" ht="15">
      <c r="A3021" s="77" t="s">
        <v>6932</v>
      </c>
      <c r="B3021" s="76" t="s">
        <v>11198</v>
      </c>
    </row>
    <row r="3022" spans="1:2" ht="15">
      <c r="A3022" s="77" t="s">
        <v>6933</v>
      </c>
      <c r="B3022" s="76" t="s">
        <v>11198</v>
      </c>
    </row>
    <row r="3023" spans="1:2" ht="15">
      <c r="A3023" s="77" t="s">
        <v>6934</v>
      </c>
      <c r="B3023" s="76" t="s">
        <v>11198</v>
      </c>
    </row>
    <row r="3024" spans="1:2" ht="15">
      <c r="A3024" s="77" t="s">
        <v>6935</v>
      </c>
      <c r="B3024" s="76" t="s">
        <v>11198</v>
      </c>
    </row>
    <row r="3025" spans="1:2" ht="15">
      <c r="A3025" s="77" t="s">
        <v>6936</v>
      </c>
      <c r="B3025" s="76" t="s">
        <v>11198</v>
      </c>
    </row>
    <row r="3026" spans="1:2" ht="15">
      <c r="A3026" s="77" t="s">
        <v>6937</v>
      </c>
      <c r="B3026" s="76" t="s">
        <v>11198</v>
      </c>
    </row>
    <row r="3027" spans="1:2" ht="15">
      <c r="A3027" s="77" t="s">
        <v>6938</v>
      </c>
      <c r="B3027" s="76" t="s">
        <v>11198</v>
      </c>
    </row>
    <row r="3028" spans="1:2" ht="15">
      <c r="A3028" s="77" t="s">
        <v>6939</v>
      </c>
      <c r="B3028" s="76" t="s">
        <v>11198</v>
      </c>
    </row>
    <row r="3029" spans="1:2" ht="15">
      <c r="A3029" s="77" t="s">
        <v>6940</v>
      </c>
      <c r="B3029" s="76" t="s">
        <v>11198</v>
      </c>
    </row>
    <row r="3030" spans="1:2" ht="15">
      <c r="A3030" s="77" t="s">
        <v>6941</v>
      </c>
      <c r="B3030" s="76" t="s">
        <v>11198</v>
      </c>
    </row>
    <row r="3031" spans="1:2" ht="15">
      <c r="A3031" s="77" t="s">
        <v>6942</v>
      </c>
      <c r="B3031" s="76" t="s">
        <v>11198</v>
      </c>
    </row>
    <row r="3032" spans="1:2" ht="15">
      <c r="A3032" s="77" t="s">
        <v>3320</v>
      </c>
      <c r="B3032" s="76" t="s">
        <v>11198</v>
      </c>
    </row>
    <row r="3033" spans="1:2" ht="15">
      <c r="A3033" s="77" t="s">
        <v>6943</v>
      </c>
      <c r="B3033" s="76" t="s">
        <v>11198</v>
      </c>
    </row>
    <row r="3034" spans="1:2" ht="15">
      <c r="A3034" s="77" t="s">
        <v>6944</v>
      </c>
      <c r="B3034" s="76" t="s">
        <v>11198</v>
      </c>
    </row>
    <row r="3035" spans="1:2" ht="15">
      <c r="A3035" s="77" t="s">
        <v>6945</v>
      </c>
      <c r="B3035" s="76" t="s">
        <v>11198</v>
      </c>
    </row>
    <row r="3036" spans="1:2" ht="15">
      <c r="A3036" s="77" t="s">
        <v>6946</v>
      </c>
      <c r="B3036" s="76" t="s">
        <v>11198</v>
      </c>
    </row>
    <row r="3037" spans="1:2" ht="15">
      <c r="A3037" s="77" t="s">
        <v>6947</v>
      </c>
      <c r="B3037" s="76" t="s">
        <v>11198</v>
      </c>
    </row>
    <row r="3038" spans="1:2" ht="15">
      <c r="A3038" s="77" t="s">
        <v>6948</v>
      </c>
      <c r="B3038" s="76" t="s">
        <v>11198</v>
      </c>
    </row>
    <row r="3039" spans="1:2" ht="15">
      <c r="A3039" s="77" t="s">
        <v>6949</v>
      </c>
      <c r="B3039" s="76" t="s">
        <v>11198</v>
      </c>
    </row>
    <row r="3040" spans="1:2" ht="15">
      <c r="A3040" s="77" t="s">
        <v>6950</v>
      </c>
      <c r="B3040" s="76" t="s">
        <v>11198</v>
      </c>
    </row>
    <row r="3041" spans="1:2" ht="15">
      <c r="A3041" s="77" t="s">
        <v>6951</v>
      </c>
      <c r="B3041" s="76" t="s">
        <v>11198</v>
      </c>
    </row>
    <row r="3042" spans="1:2" ht="15">
      <c r="A3042" s="77" t="s">
        <v>6952</v>
      </c>
      <c r="B3042" s="76" t="s">
        <v>11198</v>
      </c>
    </row>
    <row r="3043" spans="1:2" ht="15">
      <c r="A3043" s="77" t="s">
        <v>6953</v>
      </c>
      <c r="B3043" s="76" t="s">
        <v>11198</v>
      </c>
    </row>
    <row r="3044" spans="1:2" ht="15">
      <c r="A3044" s="77" t="s">
        <v>6954</v>
      </c>
      <c r="B3044" s="76" t="s">
        <v>11198</v>
      </c>
    </row>
    <row r="3045" spans="1:2" ht="15">
      <c r="A3045" s="77" t="s">
        <v>6955</v>
      </c>
      <c r="B3045" s="76" t="s">
        <v>11198</v>
      </c>
    </row>
    <row r="3046" spans="1:2" ht="15">
      <c r="A3046" s="77" t="s">
        <v>6956</v>
      </c>
      <c r="B3046" s="76" t="s">
        <v>11198</v>
      </c>
    </row>
    <row r="3047" spans="1:2" ht="15">
      <c r="A3047" s="77" t="s">
        <v>6957</v>
      </c>
      <c r="B3047" s="76" t="s">
        <v>11198</v>
      </c>
    </row>
    <row r="3048" spans="1:2" ht="15">
      <c r="A3048" s="77" t="s">
        <v>6958</v>
      </c>
      <c r="B3048" s="76" t="s">
        <v>11198</v>
      </c>
    </row>
    <row r="3049" spans="1:2" ht="15">
      <c r="A3049" s="77" t="s">
        <v>6959</v>
      </c>
      <c r="B3049" s="76" t="s">
        <v>11198</v>
      </c>
    </row>
    <row r="3050" spans="1:2" ht="15">
      <c r="A3050" s="77" t="s">
        <v>6960</v>
      </c>
      <c r="B3050" s="76" t="s">
        <v>11198</v>
      </c>
    </row>
    <row r="3051" spans="1:2" ht="15">
      <c r="A3051" s="77" t="s">
        <v>6961</v>
      </c>
      <c r="B3051" s="76" t="s">
        <v>11198</v>
      </c>
    </row>
    <row r="3052" spans="1:2" ht="15">
      <c r="A3052" s="77" t="s">
        <v>6962</v>
      </c>
      <c r="B3052" s="76" t="s">
        <v>11198</v>
      </c>
    </row>
    <row r="3053" spans="1:2" ht="15">
      <c r="A3053" s="77" t="s">
        <v>6963</v>
      </c>
      <c r="B3053" s="76" t="s">
        <v>11198</v>
      </c>
    </row>
    <row r="3054" spans="1:2" ht="15">
      <c r="A3054" s="77" t="s">
        <v>6964</v>
      </c>
      <c r="B3054" s="76" t="s">
        <v>11198</v>
      </c>
    </row>
    <row r="3055" spans="1:2" ht="15">
      <c r="A3055" s="77" t="s">
        <v>6965</v>
      </c>
      <c r="B3055" s="76" t="s">
        <v>11198</v>
      </c>
    </row>
    <row r="3056" spans="1:2" ht="15">
      <c r="A3056" s="77" t="s">
        <v>6966</v>
      </c>
      <c r="B3056" s="76" t="s">
        <v>11198</v>
      </c>
    </row>
    <row r="3057" spans="1:2" ht="15">
      <c r="A3057" s="77" t="s">
        <v>6967</v>
      </c>
      <c r="B3057" s="76" t="s">
        <v>11198</v>
      </c>
    </row>
    <row r="3058" spans="1:2" ht="15">
      <c r="A3058" s="77" t="s">
        <v>6968</v>
      </c>
      <c r="B3058" s="76" t="s">
        <v>11198</v>
      </c>
    </row>
    <row r="3059" spans="1:2" ht="15">
      <c r="A3059" s="77" t="s">
        <v>6969</v>
      </c>
      <c r="B3059" s="76" t="s">
        <v>11198</v>
      </c>
    </row>
    <row r="3060" spans="1:2" ht="15">
      <c r="A3060" s="77" t="s">
        <v>6970</v>
      </c>
      <c r="B3060" s="76" t="s">
        <v>11198</v>
      </c>
    </row>
    <row r="3061" spans="1:2" ht="15">
      <c r="A3061" s="77" t="s">
        <v>6971</v>
      </c>
      <c r="B3061" s="76" t="s">
        <v>11198</v>
      </c>
    </row>
    <row r="3062" spans="1:2" ht="15">
      <c r="A3062" s="77" t="s">
        <v>6972</v>
      </c>
      <c r="B3062" s="76" t="s">
        <v>11198</v>
      </c>
    </row>
    <row r="3063" spans="1:2" ht="15">
      <c r="A3063" s="77" t="s">
        <v>6973</v>
      </c>
      <c r="B3063" s="76" t="s">
        <v>11198</v>
      </c>
    </row>
    <row r="3064" spans="1:2" ht="15">
      <c r="A3064" s="77" t="s">
        <v>6974</v>
      </c>
      <c r="B3064" s="76" t="s">
        <v>11198</v>
      </c>
    </row>
    <row r="3065" spans="1:2" ht="15">
      <c r="A3065" s="77" t="s">
        <v>6975</v>
      </c>
      <c r="B3065" s="76" t="s">
        <v>11198</v>
      </c>
    </row>
    <row r="3066" spans="1:2" ht="15">
      <c r="A3066" s="77" t="s">
        <v>6976</v>
      </c>
      <c r="B3066" s="76" t="s">
        <v>11198</v>
      </c>
    </row>
    <row r="3067" spans="1:2" ht="15">
      <c r="A3067" s="77" t="s">
        <v>6977</v>
      </c>
      <c r="B3067" s="76" t="s">
        <v>11198</v>
      </c>
    </row>
    <row r="3068" spans="1:2" ht="15">
      <c r="A3068" s="77" t="s">
        <v>6978</v>
      </c>
      <c r="B3068" s="76" t="s">
        <v>11198</v>
      </c>
    </row>
    <row r="3069" spans="1:2" ht="15">
      <c r="A3069" s="77" t="s">
        <v>6979</v>
      </c>
      <c r="B3069" s="76" t="s">
        <v>11198</v>
      </c>
    </row>
    <row r="3070" spans="1:2" ht="15">
      <c r="A3070" s="77" t="s">
        <v>6980</v>
      </c>
      <c r="B3070" s="76" t="s">
        <v>11198</v>
      </c>
    </row>
    <row r="3071" spans="1:2" ht="15">
      <c r="A3071" s="77" t="s">
        <v>6981</v>
      </c>
      <c r="B3071" s="76" t="s">
        <v>11198</v>
      </c>
    </row>
    <row r="3072" spans="1:2" ht="15">
      <c r="A3072" s="77" t="s">
        <v>6982</v>
      </c>
      <c r="B3072" s="76" t="s">
        <v>11198</v>
      </c>
    </row>
    <row r="3073" spans="1:2" ht="15">
      <c r="A3073" s="77" t="s">
        <v>6983</v>
      </c>
      <c r="B3073" s="76" t="s">
        <v>11198</v>
      </c>
    </row>
    <row r="3074" spans="1:2" ht="15">
      <c r="A3074" s="77" t="s">
        <v>6984</v>
      </c>
      <c r="B3074" s="76" t="s">
        <v>11198</v>
      </c>
    </row>
    <row r="3075" spans="1:2" ht="15">
      <c r="A3075" s="77" t="s">
        <v>6985</v>
      </c>
      <c r="B3075" s="76" t="s">
        <v>11198</v>
      </c>
    </row>
    <row r="3076" spans="1:2" ht="15">
      <c r="A3076" s="77" t="s">
        <v>6986</v>
      </c>
      <c r="B3076" s="76" t="s">
        <v>11198</v>
      </c>
    </row>
    <row r="3077" spans="1:2" ht="15">
      <c r="A3077" s="77" t="s">
        <v>6987</v>
      </c>
      <c r="B3077" s="76" t="s">
        <v>11198</v>
      </c>
    </row>
    <row r="3078" spans="1:2" ht="15">
      <c r="A3078" s="77" t="s">
        <v>6988</v>
      </c>
      <c r="B3078" s="76" t="s">
        <v>11198</v>
      </c>
    </row>
    <row r="3079" spans="1:2" ht="15">
      <c r="A3079" s="77" t="s">
        <v>6989</v>
      </c>
      <c r="B3079" s="76" t="s">
        <v>11198</v>
      </c>
    </row>
    <row r="3080" spans="1:2" ht="15">
      <c r="A3080" s="77" t="s">
        <v>6990</v>
      </c>
      <c r="B3080" s="76" t="s">
        <v>11198</v>
      </c>
    </row>
    <row r="3081" spans="1:2" ht="15">
      <c r="A3081" s="77" t="s">
        <v>6991</v>
      </c>
      <c r="B3081" s="76" t="s">
        <v>11198</v>
      </c>
    </row>
    <row r="3082" spans="1:2" ht="15">
      <c r="A3082" s="77" t="s">
        <v>6992</v>
      </c>
      <c r="B3082" s="76" t="s">
        <v>11198</v>
      </c>
    </row>
    <row r="3083" spans="1:2" ht="15">
      <c r="A3083" s="77" t="s">
        <v>6993</v>
      </c>
      <c r="B3083" s="76" t="s">
        <v>11198</v>
      </c>
    </row>
    <row r="3084" spans="1:2" ht="15">
      <c r="A3084" s="77" t="s">
        <v>6994</v>
      </c>
      <c r="B3084" s="76" t="s">
        <v>11198</v>
      </c>
    </row>
    <row r="3085" spans="1:2" ht="15">
      <c r="A3085" s="77" t="s">
        <v>6995</v>
      </c>
      <c r="B3085" s="76" t="s">
        <v>11198</v>
      </c>
    </row>
    <row r="3086" spans="1:2" ht="15">
      <c r="A3086" s="77" t="s">
        <v>6996</v>
      </c>
      <c r="B3086" s="76" t="s">
        <v>11198</v>
      </c>
    </row>
    <row r="3087" spans="1:2" ht="15">
      <c r="A3087" s="77" t="s">
        <v>6997</v>
      </c>
      <c r="B3087" s="76" t="s">
        <v>11198</v>
      </c>
    </row>
    <row r="3088" spans="1:2" ht="15">
      <c r="A3088" s="77" t="s">
        <v>6998</v>
      </c>
      <c r="B3088" s="76" t="s">
        <v>11198</v>
      </c>
    </row>
    <row r="3089" spans="1:2" ht="15">
      <c r="A3089" s="77" t="s">
        <v>6999</v>
      </c>
      <c r="B3089" s="76" t="s">
        <v>11198</v>
      </c>
    </row>
    <row r="3090" spans="1:2" ht="15">
      <c r="A3090" s="77" t="s">
        <v>7000</v>
      </c>
      <c r="B3090" s="76" t="s">
        <v>11198</v>
      </c>
    </row>
    <row r="3091" spans="1:2" ht="15">
      <c r="A3091" s="77" t="s">
        <v>7001</v>
      </c>
      <c r="B3091" s="76" t="s">
        <v>11198</v>
      </c>
    </row>
    <row r="3092" spans="1:2" ht="15">
      <c r="A3092" s="77" t="s">
        <v>7002</v>
      </c>
      <c r="B3092" s="76" t="s">
        <v>11198</v>
      </c>
    </row>
    <row r="3093" spans="1:2" ht="15">
      <c r="A3093" s="77" t="s">
        <v>7003</v>
      </c>
      <c r="B3093" s="76" t="s">
        <v>11198</v>
      </c>
    </row>
    <row r="3094" spans="1:2" ht="15">
      <c r="A3094" s="77" t="s">
        <v>7004</v>
      </c>
      <c r="B3094" s="76" t="s">
        <v>11198</v>
      </c>
    </row>
    <row r="3095" spans="1:2" ht="15">
      <c r="A3095" s="77" t="s">
        <v>7005</v>
      </c>
      <c r="B3095" s="76" t="s">
        <v>11198</v>
      </c>
    </row>
    <row r="3096" spans="1:2" ht="15">
      <c r="A3096" s="77" t="s">
        <v>7006</v>
      </c>
      <c r="B3096" s="76" t="s">
        <v>11198</v>
      </c>
    </row>
    <row r="3097" spans="1:2" ht="15">
      <c r="A3097" s="77" t="s">
        <v>7007</v>
      </c>
      <c r="B3097" s="76" t="s">
        <v>11198</v>
      </c>
    </row>
    <row r="3098" spans="1:2" ht="15">
      <c r="A3098" s="77" t="s">
        <v>7008</v>
      </c>
      <c r="B3098" s="76" t="s">
        <v>11198</v>
      </c>
    </row>
    <row r="3099" spans="1:2" ht="15">
      <c r="A3099" s="77" t="s">
        <v>7009</v>
      </c>
      <c r="B3099" s="76" t="s">
        <v>11198</v>
      </c>
    </row>
    <row r="3100" spans="1:2" ht="15">
      <c r="A3100" s="77" t="s">
        <v>7010</v>
      </c>
      <c r="B3100" s="76" t="s">
        <v>11198</v>
      </c>
    </row>
    <row r="3101" spans="1:2" ht="15">
      <c r="A3101" s="77" t="s">
        <v>7011</v>
      </c>
      <c r="B3101" s="76" t="s">
        <v>11198</v>
      </c>
    </row>
    <row r="3102" spans="1:2" ht="15">
      <c r="A3102" s="77" t="s">
        <v>7012</v>
      </c>
      <c r="B3102" s="76" t="s">
        <v>11198</v>
      </c>
    </row>
    <row r="3103" spans="1:2" ht="15">
      <c r="A3103" s="77" t="s">
        <v>7013</v>
      </c>
      <c r="B3103" s="76" t="s">
        <v>11198</v>
      </c>
    </row>
    <row r="3104" spans="1:2" ht="15">
      <c r="A3104" s="77" t="s">
        <v>7014</v>
      </c>
      <c r="B3104" s="76" t="s">
        <v>11198</v>
      </c>
    </row>
    <row r="3105" spans="1:2" ht="15">
      <c r="A3105" s="77" t="s">
        <v>7015</v>
      </c>
      <c r="B3105" s="76" t="s">
        <v>11198</v>
      </c>
    </row>
    <row r="3106" spans="1:2" ht="15">
      <c r="A3106" s="77" t="s">
        <v>7016</v>
      </c>
      <c r="B3106" s="76" t="s">
        <v>11198</v>
      </c>
    </row>
    <row r="3107" spans="1:2" ht="15">
      <c r="A3107" s="77" t="s">
        <v>7017</v>
      </c>
      <c r="B3107" s="76" t="s">
        <v>11198</v>
      </c>
    </row>
    <row r="3108" spans="1:2" ht="15">
      <c r="A3108" s="77" t="s">
        <v>7018</v>
      </c>
      <c r="B3108" s="76" t="s">
        <v>11198</v>
      </c>
    </row>
    <row r="3109" spans="1:2" ht="15">
      <c r="A3109" s="77" t="s">
        <v>7019</v>
      </c>
      <c r="B3109" s="76" t="s">
        <v>11198</v>
      </c>
    </row>
    <row r="3110" spans="1:2" ht="15">
      <c r="A3110" s="77" t="s">
        <v>7020</v>
      </c>
      <c r="B3110" s="76" t="s">
        <v>11198</v>
      </c>
    </row>
    <row r="3111" spans="1:2" ht="15">
      <c r="A3111" s="77" t="s">
        <v>7021</v>
      </c>
      <c r="B3111" s="76" t="s">
        <v>11198</v>
      </c>
    </row>
    <row r="3112" spans="1:2" ht="15">
      <c r="A3112" s="77" t="s">
        <v>7022</v>
      </c>
      <c r="B3112" s="76" t="s">
        <v>11198</v>
      </c>
    </row>
    <row r="3113" spans="1:2" ht="15">
      <c r="A3113" s="77" t="s">
        <v>7023</v>
      </c>
      <c r="B3113" s="76" t="s">
        <v>11198</v>
      </c>
    </row>
    <row r="3114" spans="1:2" ht="15">
      <c r="A3114" s="77" t="s">
        <v>7024</v>
      </c>
      <c r="B3114" s="76" t="s">
        <v>11198</v>
      </c>
    </row>
    <row r="3115" spans="1:2" ht="15">
      <c r="A3115" s="77" t="s">
        <v>7025</v>
      </c>
      <c r="B3115" s="76" t="s">
        <v>11198</v>
      </c>
    </row>
    <row r="3116" spans="1:2" ht="15">
      <c r="A3116" s="77" t="s">
        <v>7026</v>
      </c>
      <c r="B3116" s="76" t="s">
        <v>11198</v>
      </c>
    </row>
    <row r="3117" spans="1:2" ht="15">
      <c r="A3117" s="77" t="s">
        <v>7027</v>
      </c>
      <c r="B3117" s="76" t="s">
        <v>11198</v>
      </c>
    </row>
    <row r="3118" spans="1:2" ht="15">
      <c r="A3118" s="77" t="s">
        <v>7028</v>
      </c>
      <c r="B3118" s="76" t="s">
        <v>11198</v>
      </c>
    </row>
    <row r="3119" spans="1:2" ht="15">
      <c r="A3119" s="77" t="s">
        <v>7029</v>
      </c>
      <c r="B3119" s="76" t="s">
        <v>11198</v>
      </c>
    </row>
    <row r="3120" spans="1:2" ht="15">
      <c r="A3120" s="77" t="s">
        <v>7030</v>
      </c>
      <c r="B3120" s="76" t="s">
        <v>11198</v>
      </c>
    </row>
    <row r="3121" spans="1:2" ht="15">
      <c r="A3121" s="77" t="s">
        <v>7031</v>
      </c>
      <c r="B3121" s="76" t="s">
        <v>11198</v>
      </c>
    </row>
    <row r="3122" spans="1:2" ht="15">
      <c r="A3122" s="77" t="s">
        <v>7032</v>
      </c>
      <c r="B3122" s="76" t="s">
        <v>11198</v>
      </c>
    </row>
    <row r="3123" spans="1:2" ht="15">
      <c r="A3123" s="77" t="s">
        <v>7033</v>
      </c>
      <c r="B3123" s="76" t="s">
        <v>11198</v>
      </c>
    </row>
    <row r="3124" spans="1:2" ht="15">
      <c r="A3124" s="77" t="s">
        <v>7034</v>
      </c>
      <c r="B3124" s="76" t="s">
        <v>11198</v>
      </c>
    </row>
    <row r="3125" spans="1:2" ht="15">
      <c r="A3125" s="77" t="s">
        <v>7035</v>
      </c>
      <c r="B3125" s="76" t="s">
        <v>11198</v>
      </c>
    </row>
    <row r="3126" spans="1:2" ht="15">
      <c r="A3126" s="77" t="s">
        <v>7036</v>
      </c>
      <c r="B3126" s="76" t="s">
        <v>11198</v>
      </c>
    </row>
    <row r="3127" spans="1:2" ht="15">
      <c r="A3127" s="77" t="s">
        <v>7037</v>
      </c>
      <c r="B3127" s="76" t="s">
        <v>11198</v>
      </c>
    </row>
    <row r="3128" spans="1:2" ht="15">
      <c r="A3128" s="77" t="s">
        <v>7038</v>
      </c>
      <c r="B3128" s="76" t="s">
        <v>11198</v>
      </c>
    </row>
    <row r="3129" spans="1:2" ht="15">
      <c r="A3129" s="77" t="s">
        <v>7039</v>
      </c>
      <c r="B3129" s="76" t="s">
        <v>11198</v>
      </c>
    </row>
    <row r="3130" spans="1:2" ht="15">
      <c r="A3130" s="77" t="s">
        <v>7040</v>
      </c>
      <c r="B3130" s="76" t="s">
        <v>11198</v>
      </c>
    </row>
    <row r="3131" spans="1:2" ht="15">
      <c r="A3131" s="77" t="s">
        <v>7041</v>
      </c>
      <c r="B3131" s="76" t="s">
        <v>11198</v>
      </c>
    </row>
    <row r="3132" spans="1:2" ht="15">
      <c r="A3132" s="77" t="s">
        <v>7042</v>
      </c>
      <c r="B3132" s="76" t="s">
        <v>11198</v>
      </c>
    </row>
    <row r="3133" spans="1:2" ht="15">
      <c r="A3133" s="77" t="s">
        <v>7043</v>
      </c>
      <c r="B3133" s="76" t="s">
        <v>11198</v>
      </c>
    </row>
    <row r="3134" spans="1:2" ht="15">
      <c r="A3134" s="77" t="s">
        <v>7044</v>
      </c>
      <c r="B3134" s="76" t="s">
        <v>11198</v>
      </c>
    </row>
    <row r="3135" spans="1:2" ht="15">
      <c r="A3135" s="77" t="s">
        <v>7045</v>
      </c>
      <c r="B3135" s="76" t="s">
        <v>11198</v>
      </c>
    </row>
    <row r="3136" spans="1:2" ht="15">
      <c r="A3136" s="77" t="s">
        <v>7046</v>
      </c>
      <c r="B3136" s="76" t="s">
        <v>11198</v>
      </c>
    </row>
    <row r="3137" spans="1:2" ht="15">
      <c r="A3137" s="77" t="s">
        <v>7047</v>
      </c>
      <c r="B3137" s="76" t="s">
        <v>11198</v>
      </c>
    </row>
    <row r="3138" spans="1:2" ht="15">
      <c r="A3138" s="77" t="s">
        <v>7048</v>
      </c>
      <c r="B3138" s="76" t="s">
        <v>11198</v>
      </c>
    </row>
    <row r="3139" spans="1:2" ht="15">
      <c r="A3139" s="77" t="s">
        <v>7049</v>
      </c>
      <c r="B3139" s="76" t="s">
        <v>11198</v>
      </c>
    </row>
    <row r="3140" spans="1:2" ht="15">
      <c r="A3140" s="77" t="s">
        <v>7050</v>
      </c>
      <c r="B3140" s="76" t="s">
        <v>11198</v>
      </c>
    </row>
    <row r="3141" spans="1:2" ht="15">
      <c r="A3141" s="77" t="s">
        <v>7051</v>
      </c>
      <c r="B3141" s="76" t="s">
        <v>11198</v>
      </c>
    </row>
    <row r="3142" spans="1:2" ht="15">
      <c r="A3142" s="77" t="s">
        <v>7052</v>
      </c>
      <c r="B3142" s="76" t="s">
        <v>11198</v>
      </c>
    </row>
    <row r="3143" spans="1:2" ht="15">
      <c r="A3143" s="77" t="s">
        <v>7053</v>
      </c>
      <c r="B3143" s="76" t="s">
        <v>11198</v>
      </c>
    </row>
    <row r="3144" spans="1:2" ht="15">
      <c r="A3144" s="77" t="s">
        <v>7054</v>
      </c>
      <c r="B3144" s="76" t="s">
        <v>11198</v>
      </c>
    </row>
    <row r="3145" spans="1:2" ht="15">
      <c r="A3145" s="77" t="s">
        <v>7055</v>
      </c>
      <c r="B3145" s="76" t="s">
        <v>11198</v>
      </c>
    </row>
    <row r="3146" spans="1:2" ht="15">
      <c r="A3146" s="77" t="s">
        <v>7056</v>
      </c>
      <c r="B3146" s="76" t="s">
        <v>11198</v>
      </c>
    </row>
    <row r="3147" spans="1:2" ht="15">
      <c r="A3147" s="77" t="s">
        <v>7057</v>
      </c>
      <c r="B3147" s="76" t="s">
        <v>11198</v>
      </c>
    </row>
    <row r="3148" spans="1:2" ht="15">
      <c r="A3148" s="77" t="s">
        <v>7058</v>
      </c>
      <c r="B3148" s="76" t="s">
        <v>11198</v>
      </c>
    </row>
    <row r="3149" spans="1:2" ht="15">
      <c r="A3149" s="77" t="s">
        <v>7059</v>
      </c>
      <c r="B3149" s="76" t="s">
        <v>11198</v>
      </c>
    </row>
    <row r="3150" spans="1:2" ht="15">
      <c r="A3150" s="77" t="s">
        <v>7060</v>
      </c>
      <c r="B3150" s="76" t="s">
        <v>11198</v>
      </c>
    </row>
    <row r="3151" spans="1:2" ht="15">
      <c r="A3151" s="77" t="s">
        <v>7061</v>
      </c>
      <c r="B3151" s="76" t="s">
        <v>11198</v>
      </c>
    </row>
    <row r="3152" spans="1:2" ht="15">
      <c r="A3152" s="77" t="s">
        <v>7062</v>
      </c>
      <c r="B3152" s="76" t="s">
        <v>11198</v>
      </c>
    </row>
    <row r="3153" spans="1:2" ht="15">
      <c r="A3153" s="77" t="s">
        <v>7063</v>
      </c>
      <c r="B3153" s="76" t="s">
        <v>11198</v>
      </c>
    </row>
    <row r="3154" spans="1:2" ht="15">
      <c r="A3154" s="77" t="s">
        <v>7064</v>
      </c>
      <c r="B3154" s="76" t="s">
        <v>11198</v>
      </c>
    </row>
    <row r="3155" spans="1:2" ht="15">
      <c r="A3155" s="77" t="s">
        <v>7065</v>
      </c>
      <c r="B3155" s="76" t="s">
        <v>11198</v>
      </c>
    </row>
    <row r="3156" spans="1:2" ht="15">
      <c r="A3156" s="77" t="s">
        <v>7066</v>
      </c>
      <c r="B3156" s="76" t="s">
        <v>11198</v>
      </c>
    </row>
    <row r="3157" spans="1:2" ht="15">
      <c r="A3157" s="77" t="s">
        <v>7067</v>
      </c>
      <c r="B3157" s="76" t="s">
        <v>11198</v>
      </c>
    </row>
    <row r="3158" spans="1:2" ht="15">
      <c r="A3158" s="77" t="s">
        <v>7068</v>
      </c>
      <c r="B3158" s="76" t="s">
        <v>11198</v>
      </c>
    </row>
    <row r="3159" spans="1:2" ht="15">
      <c r="A3159" s="77" t="s">
        <v>7069</v>
      </c>
      <c r="B3159" s="76" t="s">
        <v>11198</v>
      </c>
    </row>
    <row r="3160" spans="1:2" ht="15">
      <c r="A3160" s="77" t="s">
        <v>7070</v>
      </c>
      <c r="B3160" s="76" t="s">
        <v>11198</v>
      </c>
    </row>
    <row r="3161" spans="1:2" ht="15">
      <c r="A3161" s="77" t="s">
        <v>7071</v>
      </c>
      <c r="B3161" s="76" t="s">
        <v>11198</v>
      </c>
    </row>
    <row r="3162" spans="1:2" ht="15">
      <c r="A3162" s="77" t="s">
        <v>7072</v>
      </c>
      <c r="B3162" s="76" t="s">
        <v>11198</v>
      </c>
    </row>
    <row r="3163" spans="1:2" ht="15">
      <c r="A3163" s="77" t="s">
        <v>7073</v>
      </c>
      <c r="B3163" s="76" t="s">
        <v>11198</v>
      </c>
    </row>
    <row r="3164" spans="1:2" ht="15">
      <c r="A3164" s="77" t="s">
        <v>7074</v>
      </c>
      <c r="B3164" s="76" t="s">
        <v>11198</v>
      </c>
    </row>
    <row r="3165" spans="1:2" ht="15">
      <c r="A3165" s="77" t="s">
        <v>7075</v>
      </c>
      <c r="B3165" s="76" t="s">
        <v>11198</v>
      </c>
    </row>
    <row r="3166" spans="1:2" ht="15">
      <c r="A3166" s="77" t="s">
        <v>7076</v>
      </c>
      <c r="B3166" s="76" t="s">
        <v>11198</v>
      </c>
    </row>
    <row r="3167" spans="1:2" ht="15">
      <c r="A3167" s="77" t="s">
        <v>7077</v>
      </c>
      <c r="B3167" s="76" t="s">
        <v>11198</v>
      </c>
    </row>
    <row r="3168" spans="1:2" ht="15">
      <c r="A3168" s="77" t="s">
        <v>7078</v>
      </c>
      <c r="B3168" s="76" t="s">
        <v>11198</v>
      </c>
    </row>
    <row r="3169" spans="1:2" ht="15">
      <c r="A3169" s="77" t="s">
        <v>7079</v>
      </c>
      <c r="B3169" s="76" t="s">
        <v>11198</v>
      </c>
    </row>
    <row r="3170" spans="1:2" ht="15">
      <c r="A3170" s="77" t="s">
        <v>7080</v>
      </c>
      <c r="B3170" s="76" t="s">
        <v>11198</v>
      </c>
    </row>
    <row r="3171" spans="1:2" ht="15">
      <c r="A3171" s="77" t="s">
        <v>7081</v>
      </c>
      <c r="B3171" s="76" t="s">
        <v>11198</v>
      </c>
    </row>
    <row r="3172" spans="1:2" ht="15">
      <c r="A3172" s="77" t="s">
        <v>7082</v>
      </c>
      <c r="B3172" s="76" t="s">
        <v>11198</v>
      </c>
    </row>
    <row r="3173" spans="1:2" ht="15">
      <c r="A3173" s="77" t="s">
        <v>7083</v>
      </c>
      <c r="B3173" s="76" t="s">
        <v>11198</v>
      </c>
    </row>
    <row r="3174" spans="1:2" ht="15">
      <c r="A3174" s="77" t="s">
        <v>7084</v>
      </c>
      <c r="B3174" s="76" t="s">
        <v>11198</v>
      </c>
    </row>
    <row r="3175" spans="1:2" ht="15">
      <c r="A3175" s="77" t="s">
        <v>7085</v>
      </c>
      <c r="B3175" s="76" t="s">
        <v>11198</v>
      </c>
    </row>
    <row r="3176" spans="1:2" ht="15">
      <c r="A3176" s="77" t="s">
        <v>7086</v>
      </c>
      <c r="B3176" s="76" t="s">
        <v>11198</v>
      </c>
    </row>
    <row r="3177" spans="1:2" ht="15">
      <c r="A3177" s="77" t="s">
        <v>7087</v>
      </c>
      <c r="B3177" s="76" t="s">
        <v>11198</v>
      </c>
    </row>
    <row r="3178" spans="1:2" ht="15">
      <c r="A3178" s="77" t="s">
        <v>7088</v>
      </c>
      <c r="B3178" s="76" t="s">
        <v>11198</v>
      </c>
    </row>
    <row r="3179" spans="1:2" ht="15">
      <c r="A3179" s="77" t="s">
        <v>7089</v>
      </c>
      <c r="B3179" s="76" t="s">
        <v>11198</v>
      </c>
    </row>
    <row r="3180" spans="1:2" ht="15">
      <c r="A3180" s="77" t="s">
        <v>7090</v>
      </c>
      <c r="B3180" s="76" t="s">
        <v>11198</v>
      </c>
    </row>
    <row r="3181" spans="1:2" ht="15">
      <c r="A3181" s="77" t="s">
        <v>7091</v>
      </c>
      <c r="B3181" s="76" t="s">
        <v>11198</v>
      </c>
    </row>
    <row r="3182" spans="1:2" ht="15">
      <c r="A3182" s="77" t="s">
        <v>7092</v>
      </c>
      <c r="B3182" s="76" t="s">
        <v>11198</v>
      </c>
    </row>
    <row r="3183" spans="1:2" ht="15">
      <c r="A3183" s="77" t="s">
        <v>7093</v>
      </c>
      <c r="B3183" s="76" t="s">
        <v>11198</v>
      </c>
    </row>
    <row r="3184" spans="1:2" ht="15">
      <c r="A3184" s="77" t="s">
        <v>7094</v>
      </c>
      <c r="B3184" s="76" t="s">
        <v>11198</v>
      </c>
    </row>
    <row r="3185" spans="1:2" ht="15">
      <c r="A3185" s="77" t="s">
        <v>7095</v>
      </c>
      <c r="B3185" s="76" t="s">
        <v>11198</v>
      </c>
    </row>
    <row r="3186" spans="1:2" ht="15">
      <c r="A3186" s="77" t="s">
        <v>7096</v>
      </c>
      <c r="B3186" s="76" t="s">
        <v>11198</v>
      </c>
    </row>
    <row r="3187" spans="1:2" ht="15">
      <c r="A3187" s="77" t="s">
        <v>7097</v>
      </c>
      <c r="B3187" s="76" t="s">
        <v>11198</v>
      </c>
    </row>
    <row r="3188" spans="1:2" ht="15">
      <c r="A3188" s="77" t="s">
        <v>7098</v>
      </c>
      <c r="B3188" s="76" t="s">
        <v>11198</v>
      </c>
    </row>
    <row r="3189" spans="1:2" ht="15">
      <c r="A3189" s="77" t="s">
        <v>7099</v>
      </c>
      <c r="B3189" s="76" t="s">
        <v>11198</v>
      </c>
    </row>
    <row r="3190" spans="1:2" ht="15">
      <c r="A3190" s="77" t="s">
        <v>7100</v>
      </c>
      <c r="B3190" s="76" t="s">
        <v>11198</v>
      </c>
    </row>
    <row r="3191" spans="1:2" ht="15">
      <c r="A3191" s="77" t="s">
        <v>7101</v>
      </c>
      <c r="B3191" s="76" t="s">
        <v>11198</v>
      </c>
    </row>
    <row r="3192" spans="1:2" ht="15">
      <c r="A3192" s="77" t="s">
        <v>7102</v>
      </c>
      <c r="B3192" s="76" t="s">
        <v>11198</v>
      </c>
    </row>
    <row r="3193" spans="1:2" ht="15">
      <c r="A3193" s="77" t="s">
        <v>7103</v>
      </c>
      <c r="B3193" s="76" t="s">
        <v>11198</v>
      </c>
    </row>
    <row r="3194" spans="1:2" ht="15">
      <c r="A3194" s="77" t="s">
        <v>7104</v>
      </c>
      <c r="B3194" s="76" t="s">
        <v>11198</v>
      </c>
    </row>
    <row r="3195" spans="1:2" ht="15">
      <c r="A3195" s="77" t="s">
        <v>7105</v>
      </c>
      <c r="B3195" s="76" t="s">
        <v>11198</v>
      </c>
    </row>
    <row r="3196" spans="1:2" ht="15">
      <c r="A3196" s="77" t="s">
        <v>7106</v>
      </c>
      <c r="B3196" s="76" t="s">
        <v>11198</v>
      </c>
    </row>
    <row r="3197" spans="1:2" ht="15">
      <c r="A3197" s="77" t="s">
        <v>7107</v>
      </c>
      <c r="B3197" s="76" t="s">
        <v>11198</v>
      </c>
    </row>
    <row r="3198" spans="1:2" ht="15">
      <c r="A3198" s="77" t="s">
        <v>7108</v>
      </c>
      <c r="B3198" s="76" t="s">
        <v>11198</v>
      </c>
    </row>
    <row r="3199" spans="1:2" ht="15">
      <c r="A3199" s="77" t="s">
        <v>7109</v>
      </c>
      <c r="B3199" s="76" t="s">
        <v>11198</v>
      </c>
    </row>
    <row r="3200" spans="1:2" ht="15">
      <c r="A3200" s="77" t="s">
        <v>7110</v>
      </c>
      <c r="B3200" s="76" t="s">
        <v>11198</v>
      </c>
    </row>
    <row r="3201" spans="1:2" ht="15">
      <c r="A3201" s="77" t="s">
        <v>7111</v>
      </c>
      <c r="B3201" s="76" t="s">
        <v>11198</v>
      </c>
    </row>
    <row r="3202" spans="1:2" ht="15">
      <c r="A3202" s="77" t="s">
        <v>7112</v>
      </c>
      <c r="B3202" s="76" t="s">
        <v>11198</v>
      </c>
    </row>
    <row r="3203" spans="1:2" ht="15">
      <c r="A3203" s="77" t="s">
        <v>7113</v>
      </c>
      <c r="B3203" s="76" t="s">
        <v>11198</v>
      </c>
    </row>
    <row r="3204" spans="1:2" ht="15">
      <c r="A3204" s="77" t="s">
        <v>7114</v>
      </c>
      <c r="B3204" s="76" t="s">
        <v>11198</v>
      </c>
    </row>
    <row r="3205" spans="1:2" ht="15">
      <c r="A3205" s="77" t="s">
        <v>3870</v>
      </c>
      <c r="B3205" s="76" t="s">
        <v>11198</v>
      </c>
    </row>
    <row r="3206" spans="1:2" ht="15">
      <c r="A3206" s="77" t="s">
        <v>7115</v>
      </c>
      <c r="B3206" s="76" t="s">
        <v>11198</v>
      </c>
    </row>
    <row r="3207" spans="1:2" ht="15">
      <c r="A3207" s="77" t="s">
        <v>7116</v>
      </c>
      <c r="B3207" s="76" t="s">
        <v>11198</v>
      </c>
    </row>
    <row r="3208" spans="1:2" ht="15">
      <c r="A3208" s="77" t="s">
        <v>7117</v>
      </c>
      <c r="B3208" s="76" t="s">
        <v>11198</v>
      </c>
    </row>
    <row r="3209" spans="1:2" ht="15">
      <c r="A3209" s="77" t="s">
        <v>7118</v>
      </c>
      <c r="B3209" s="76" t="s">
        <v>11198</v>
      </c>
    </row>
    <row r="3210" spans="1:2" ht="15">
      <c r="A3210" s="77" t="s">
        <v>7119</v>
      </c>
      <c r="B3210" s="76" t="s">
        <v>11198</v>
      </c>
    </row>
    <row r="3211" spans="1:2" ht="15">
      <c r="A3211" s="77" t="s">
        <v>7120</v>
      </c>
      <c r="B3211" s="76" t="s">
        <v>11198</v>
      </c>
    </row>
    <row r="3212" spans="1:2" ht="15">
      <c r="A3212" s="77" t="s">
        <v>7121</v>
      </c>
      <c r="B3212" s="76" t="s">
        <v>11198</v>
      </c>
    </row>
    <row r="3213" spans="1:2" ht="15">
      <c r="A3213" s="77" t="s">
        <v>7122</v>
      </c>
      <c r="B3213" s="76" t="s">
        <v>11198</v>
      </c>
    </row>
    <row r="3214" spans="1:2" ht="15">
      <c r="A3214" s="77" t="s">
        <v>7123</v>
      </c>
      <c r="B3214" s="76" t="s">
        <v>11198</v>
      </c>
    </row>
    <row r="3215" spans="1:2" ht="15">
      <c r="A3215" s="77" t="s">
        <v>7124</v>
      </c>
      <c r="B3215" s="76" t="s">
        <v>11198</v>
      </c>
    </row>
    <row r="3216" spans="1:2" ht="15">
      <c r="A3216" s="77" t="s">
        <v>7125</v>
      </c>
      <c r="B3216" s="76" t="s">
        <v>11198</v>
      </c>
    </row>
    <row r="3217" spans="1:2" ht="15">
      <c r="A3217" s="77" t="s">
        <v>7126</v>
      </c>
      <c r="B3217" s="76" t="s">
        <v>11198</v>
      </c>
    </row>
    <row r="3218" spans="1:2" ht="15">
      <c r="A3218" s="77" t="s">
        <v>7127</v>
      </c>
      <c r="B3218" s="76" t="s">
        <v>11198</v>
      </c>
    </row>
    <row r="3219" spans="1:2" ht="15">
      <c r="A3219" s="77" t="s">
        <v>7128</v>
      </c>
      <c r="B3219" s="76" t="s">
        <v>11198</v>
      </c>
    </row>
    <row r="3220" spans="1:2" ht="15">
      <c r="A3220" s="77" t="s">
        <v>7129</v>
      </c>
      <c r="B3220" s="76" t="s">
        <v>11198</v>
      </c>
    </row>
    <row r="3221" spans="1:2" ht="15">
      <c r="A3221" s="77" t="s">
        <v>7130</v>
      </c>
      <c r="B3221" s="76" t="s">
        <v>11198</v>
      </c>
    </row>
    <row r="3222" spans="1:2" ht="15">
      <c r="A3222" s="77" t="s">
        <v>7131</v>
      </c>
      <c r="B3222" s="76" t="s">
        <v>11198</v>
      </c>
    </row>
    <row r="3223" spans="1:2" ht="15">
      <c r="A3223" s="77" t="s">
        <v>7132</v>
      </c>
      <c r="B3223" s="76" t="s">
        <v>11198</v>
      </c>
    </row>
    <row r="3224" spans="1:2" ht="15">
      <c r="A3224" s="77" t="s">
        <v>7133</v>
      </c>
      <c r="B3224" s="76" t="s">
        <v>11198</v>
      </c>
    </row>
    <row r="3225" spans="1:2" ht="15">
      <c r="A3225" s="77" t="s">
        <v>7134</v>
      </c>
      <c r="B3225" s="76" t="s">
        <v>11198</v>
      </c>
    </row>
    <row r="3226" spans="1:2" ht="15">
      <c r="A3226" s="77" t="s">
        <v>7135</v>
      </c>
      <c r="B3226" s="76" t="s">
        <v>11198</v>
      </c>
    </row>
    <row r="3227" spans="1:2" ht="15">
      <c r="A3227" s="77" t="s">
        <v>7136</v>
      </c>
      <c r="B3227" s="76" t="s">
        <v>11198</v>
      </c>
    </row>
    <row r="3228" spans="1:2" ht="15">
      <c r="A3228" s="77" t="s">
        <v>7137</v>
      </c>
      <c r="B3228" s="76" t="s">
        <v>11198</v>
      </c>
    </row>
    <row r="3229" spans="1:2" ht="15">
      <c r="A3229" s="77" t="s">
        <v>7138</v>
      </c>
      <c r="B3229" s="76" t="s">
        <v>11198</v>
      </c>
    </row>
    <row r="3230" spans="1:2" ht="15">
      <c r="A3230" s="77" t="s">
        <v>7139</v>
      </c>
      <c r="B3230" s="76" t="s">
        <v>11198</v>
      </c>
    </row>
    <row r="3231" spans="1:2" ht="15">
      <c r="A3231" s="77" t="s">
        <v>7140</v>
      </c>
      <c r="B3231" s="76" t="s">
        <v>11198</v>
      </c>
    </row>
    <row r="3232" spans="1:2" ht="15">
      <c r="A3232" s="77" t="s">
        <v>7141</v>
      </c>
      <c r="B3232" s="76" t="s">
        <v>11198</v>
      </c>
    </row>
    <row r="3233" spans="1:2" ht="15">
      <c r="A3233" s="77" t="s">
        <v>7142</v>
      </c>
      <c r="B3233" s="76" t="s">
        <v>11198</v>
      </c>
    </row>
    <row r="3234" spans="1:2" ht="15">
      <c r="A3234" s="77" t="s">
        <v>7143</v>
      </c>
      <c r="B3234" s="76" t="s">
        <v>11198</v>
      </c>
    </row>
    <row r="3235" spans="1:2" ht="15">
      <c r="A3235" s="77" t="s">
        <v>7144</v>
      </c>
      <c r="B3235" s="76" t="s">
        <v>11198</v>
      </c>
    </row>
    <row r="3236" spans="1:2" ht="15">
      <c r="A3236" s="77" t="s">
        <v>7145</v>
      </c>
      <c r="B3236" s="76" t="s">
        <v>11198</v>
      </c>
    </row>
    <row r="3237" spans="1:2" ht="15">
      <c r="A3237" s="77" t="s">
        <v>7146</v>
      </c>
      <c r="B3237" s="76" t="s">
        <v>11198</v>
      </c>
    </row>
    <row r="3238" spans="1:2" ht="15">
      <c r="A3238" s="77" t="s">
        <v>7147</v>
      </c>
      <c r="B3238" s="76" t="s">
        <v>11198</v>
      </c>
    </row>
    <row r="3239" spans="1:2" ht="15">
      <c r="A3239" s="77" t="s">
        <v>7148</v>
      </c>
      <c r="B3239" s="76" t="s">
        <v>11198</v>
      </c>
    </row>
    <row r="3240" spans="1:2" ht="15">
      <c r="A3240" s="77" t="s">
        <v>7149</v>
      </c>
      <c r="B3240" s="76" t="s">
        <v>11198</v>
      </c>
    </row>
    <row r="3241" spans="1:2" ht="15">
      <c r="A3241" s="77" t="s">
        <v>7150</v>
      </c>
      <c r="B3241" s="76" t="s">
        <v>11198</v>
      </c>
    </row>
    <row r="3242" spans="1:2" ht="15">
      <c r="A3242" s="77" t="s">
        <v>7151</v>
      </c>
      <c r="B3242" s="76" t="s">
        <v>11198</v>
      </c>
    </row>
    <row r="3243" spans="1:2" ht="15">
      <c r="A3243" s="77" t="s">
        <v>7152</v>
      </c>
      <c r="B3243" s="76" t="s">
        <v>11198</v>
      </c>
    </row>
    <row r="3244" spans="1:2" ht="15">
      <c r="A3244" s="77" t="s">
        <v>7153</v>
      </c>
      <c r="B3244" s="76" t="s">
        <v>11198</v>
      </c>
    </row>
    <row r="3245" spans="1:2" ht="15">
      <c r="A3245" s="77" t="s">
        <v>7154</v>
      </c>
      <c r="B3245" s="76" t="s">
        <v>11198</v>
      </c>
    </row>
    <row r="3246" spans="1:2" ht="15">
      <c r="A3246" s="77" t="s">
        <v>7155</v>
      </c>
      <c r="B3246" s="76" t="s">
        <v>11198</v>
      </c>
    </row>
    <row r="3247" spans="1:2" ht="15">
      <c r="A3247" s="77" t="s">
        <v>7156</v>
      </c>
      <c r="B3247" s="76" t="s">
        <v>11198</v>
      </c>
    </row>
    <row r="3248" spans="1:2" ht="15">
      <c r="A3248" s="77" t="s">
        <v>7157</v>
      </c>
      <c r="B3248" s="76" t="s">
        <v>11198</v>
      </c>
    </row>
    <row r="3249" spans="1:2" ht="15">
      <c r="A3249" s="77" t="s">
        <v>7158</v>
      </c>
      <c r="B3249" s="76" t="s">
        <v>11198</v>
      </c>
    </row>
    <row r="3250" spans="1:2" ht="15">
      <c r="A3250" s="77" t="s">
        <v>7159</v>
      </c>
      <c r="B3250" s="76" t="s">
        <v>11198</v>
      </c>
    </row>
    <row r="3251" spans="1:2" ht="15">
      <c r="A3251" s="77" t="s">
        <v>3360</v>
      </c>
      <c r="B3251" s="76" t="s">
        <v>11198</v>
      </c>
    </row>
    <row r="3252" spans="1:2" ht="15">
      <c r="A3252" s="77" t="s">
        <v>7160</v>
      </c>
      <c r="B3252" s="76" t="s">
        <v>11198</v>
      </c>
    </row>
    <row r="3253" spans="1:2" ht="15">
      <c r="A3253" s="77" t="s">
        <v>7161</v>
      </c>
      <c r="B3253" s="76" t="s">
        <v>11198</v>
      </c>
    </row>
    <row r="3254" spans="1:2" ht="15">
      <c r="A3254" s="77" t="s">
        <v>7162</v>
      </c>
      <c r="B3254" s="76" t="s">
        <v>11198</v>
      </c>
    </row>
    <row r="3255" spans="1:2" ht="15">
      <c r="A3255" s="77" t="s">
        <v>7163</v>
      </c>
      <c r="B3255" s="76" t="s">
        <v>11198</v>
      </c>
    </row>
    <row r="3256" spans="1:2" ht="15">
      <c r="A3256" s="77" t="s">
        <v>7164</v>
      </c>
      <c r="B3256" s="76" t="s">
        <v>11198</v>
      </c>
    </row>
    <row r="3257" spans="1:2" ht="15">
      <c r="A3257" s="77" t="s">
        <v>7165</v>
      </c>
      <c r="B3257" s="76" t="s">
        <v>11198</v>
      </c>
    </row>
    <row r="3258" spans="1:2" ht="15">
      <c r="A3258" s="77" t="s">
        <v>7166</v>
      </c>
      <c r="B3258" s="76" t="s">
        <v>11198</v>
      </c>
    </row>
    <row r="3259" spans="1:2" ht="15">
      <c r="A3259" s="77" t="s">
        <v>7167</v>
      </c>
      <c r="B3259" s="76" t="s">
        <v>11198</v>
      </c>
    </row>
    <row r="3260" spans="1:2" ht="15">
      <c r="A3260" s="77" t="s">
        <v>7168</v>
      </c>
      <c r="B3260" s="76" t="s">
        <v>11198</v>
      </c>
    </row>
    <row r="3261" spans="1:2" ht="15">
      <c r="A3261" s="77" t="s">
        <v>7169</v>
      </c>
      <c r="B3261" s="76" t="s">
        <v>11198</v>
      </c>
    </row>
    <row r="3262" spans="1:2" ht="15">
      <c r="A3262" s="77" t="s">
        <v>7170</v>
      </c>
      <c r="B3262" s="76" t="s">
        <v>11198</v>
      </c>
    </row>
    <row r="3263" spans="1:2" ht="15">
      <c r="A3263" s="77" t="s">
        <v>7171</v>
      </c>
      <c r="B3263" s="76" t="s">
        <v>11198</v>
      </c>
    </row>
    <row r="3264" spans="1:2" ht="15">
      <c r="A3264" s="77" t="s">
        <v>7172</v>
      </c>
      <c r="B3264" s="76" t="s">
        <v>11198</v>
      </c>
    </row>
    <row r="3265" spans="1:2" ht="15">
      <c r="A3265" s="77" t="s">
        <v>7173</v>
      </c>
      <c r="B3265" s="76" t="s">
        <v>11198</v>
      </c>
    </row>
    <row r="3266" spans="1:2" ht="15">
      <c r="A3266" s="77" t="s">
        <v>7174</v>
      </c>
      <c r="B3266" s="76" t="s">
        <v>11198</v>
      </c>
    </row>
    <row r="3267" spans="1:2" ht="15">
      <c r="A3267" s="77" t="s">
        <v>7175</v>
      </c>
      <c r="B3267" s="76" t="s">
        <v>11198</v>
      </c>
    </row>
    <row r="3268" spans="1:2" ht="15">
      <c r="A3268" s="77" t="s">
        <v>7176</v>
      </c>
      <c r="B3268" s="76" t="s">
        <v>11198</v>
      </c>
    </row>
    <row r="3269" spans="1:2" ht="15">
      <c r="A3269" s="77" t="s">
        <v>7177</v>
      </c>
      <c r="B3269" s="76" t="s">
        <v>11198</v>
      </c>
    </row>
    <row r="3270" spans="1:2" ht="15">
      <c r="A3270" s="77" t="s">
        <v>7178</v>
      </c>
      <c r="B3270" s="76" t="s">
        <v>11198</v>
      </c>
    </row>
    <row r="3271" spans="1:2" ht="15">
      <c r="A3271" s="77" t="s">
        <v>7179</v>
      </c>
      <c r="B3271" s="76" t="s">
        <v>11198</v>
      </c>
    </row>
    <row r="3272" spans="1:2" ht="15">
      <c r="A3272" s="77" t="s">
        <v>7180</v>
      </c>
      <c r="B3272" s="76" t="s">
        <v>11198</v>
      </c>
    </row>
    <row r="3273" spans="1:2" ht="15">
      <c r="A3273" s="77" t="s">
        <v>7181</v>
      </c>
      <c r="B3273" s="76" t="s">
        <v>11198</v>
      </c>
    </row>
    <row r="3274" spans="1:2" ht="15">
      <c r="A3274" s="77" t="s">
        <v>7182</v>
      </c>
      <c r="B3274" s="76" t="s">
        <v>11198</v>
      </c>
    </row>
    <row r="3275" spans="1:2" ht="15">
      <c r="A3275" s="77" t="s">
        <v>7183</v>
      </c>
      <c r="B3275" s="76" t="s">
        <v>11198</v>
      </c>
    </row>
    <row r="3276" spans="1:2" ht="15">
      <c r="A3276" s="77" t="s">
        <v>7184</v>
      </c>
      <c r="B3276" s="76" t="s">
        <v>11198</v>
      </c>
    </row>
    <row r="3277" spans="1:2" ht="15">
      <c r="A3277" s="77" t="s">
        <v>7185</v>
      </c>
      <c r="B3277" s="76" t="s">
        <v>11198</v>
      </c>
    </row>
    <row r="3278" spans="1:2" ht="15">
      <c r="A3278" s="77" t="s">
        <v>7186</v>
      </c>
      <c r="B3278" s="76" t="s">
        <v>11198</v>
      </c>
    </row>
    <row r="3279" spans="1:2" ht="15">
      <c r="A3279" s="77" t="s">
        <v>7187</v>
      </c>
      <c r="B3279" s="76" t="s">
        <v>11198</v>
      </c>
    </row>
    <row r="3280" spans="1:2" ht="15">
      <c r="A3280" s="77" t="s">
        <v>7188</v>
      </c>
      <c r="B3280" s="76" t="s">
        <v>11198</v>
      </c>
    </row>
    <row r="3281" spans="1:2" ht="15">
      <c r="A3281" s="77" t="s">
        <v>7189</v>
      </c>
      <c r="B3281" s="76" t="s">
        <v>11198</v>
      </c>
    </row>
    <row r="3282" spans="1:2" ht="15">
      <c r="A3282" s="77" t="s">
        <v>7190</v>
      </c>
      <c r="B3282" s="76" t="s">
        <v>11198</v>
      </c>
    </row>
    <row r="3283" spans="1:2" ht="15">
      <c r="A3283" s="77" t="s">
        <v>7191</v>
      </c>
      <c r="B3283" s="76" t="s">
        <v>11198</v>
      </c>
    </row>
    <row r="3284" spans="1:2" ht="15">
      <c r="A3284" s="77" t="s">
        <v>7192</v>
      </c>
      <c r="B3284" s="76" t="s">
        <v>11198</v>
      </c>
    </row>
    <row r="3285" spans="1:2" ht="15">
      <c r="A3285" s="77" t="s">
        <v>7193</v>
      </c>
      <c r="B3285" s="76" t="s">
        <v>11198</v>
      </c>
    </row>
    <row r="3286" spans="1:2" ht="15">
      <c r="A3286" s="77" t="s">
        <v>7194</v>
      </c>
      <c r="B3286" s="76" t="s">
        <v>11198</v>
      </c>
    </row>
    <row r="3287" spans="1:2" ht="15">
      <c r="A3287" s="77" t="s">
        <v>7195</v>
      </c>
      <c r="B3287" s="76" t="s">
        <v>11198</v>
      </c>
    </row>
    <row r="3288" spans="1:2" ht="15">
      <c r="A3288" s="77" t="s">
        <v>7196</v>
      </c>
      <c r="B3288" s="76" t="s">
        <v>11198</v>
      </c>
    </row>
    <row r="3289" spans="1:2" ht="15">
      <c r="A3289" s="77" t="s">
        <v>7197</v>
      </c>
      <c r="B3289" s="76" t="s">
        <v>11198</v>
      </c>
    </row>
    <row r="3290" spans="1:2" ht="15">
      <c r="A3290" s="77" t="s">
        <v>7198</v>
      </c>
      <c r="B3290" s="76" t="s">
        <v>11198</v>
      </c>
    </row>
    <row r="3291" spans="1:2" ht="15">
      <c r="A3291" s="77" t="s">
        <v>7199</v>
      </c>
      <c r="B3291" s="76" t="s">
        <v>11198</v>
      </c>
    </row>
    <row r="3292" spans="1:2" ht="15">
      <c r="A3292" s="77" t="s">
        <v>7200</v>
      </c>
      <c r="B3292" s="76" t="s">
        <v>11198</v>
      </c>
    </row>
    <row r="3293" spans="1:2" ht="15">
      <c r="A3293" s="77" t="s">
        <v>7201</v>
      </c>
      <c r="B3293" s="76" t="s">
        <v>11198</v>
      </c>
    </row>
    <row r="3294" spans="1:2" ht="15">
      <c r="A3294" s="77" t="s">
        <v>7202</v>
      </c>
      <c r="B3294" s="76" t="s">
        <v>11198</v>
      </c>
    </row>
    <row r="3295" spans="1:2" ht="15">
      <c r="A3295" s="77" t="s">
        <v>7203</v>
      </c>
      <c r="B3295" s="76" t="s">
        <v>11198</v>
      </c>
    </row>
    <row r="3296" spans="1:2" ht="15">
      <c r="A3296" s="77" t="s">
        <v>7204</v>
      </c>
      <c r="B3296" s="76" t="s">
        <v>11198</v>
      </c>
    </row>
    <row r="3297" spans="1:2" ht="15">
      <c r="A3297" s="77" t="s">
        <v>7205</v>
      </c>
      <c r="B3297" s="76" t="s">
        <v>11198</v>
      </c>
    </row>
    <row r="3298" spans="1:2" ht="15">
      <c r="A3298" s="77" t="s">
        <v>7206</v>
      </c>
      <c r="B3298" s="76" t="s">
        <v>11198</v>
      </c>
    </row>
    <row r="3299" spans="1:2" ht="15">
      <c r="A3299" s="77" t="s">
        <v>7207</v>
      </c>
      <c r="B3299" s="76" t="s">
        <v>11198</v>
      </c>
    </row>
    <row r="3300" spans="1:2" ht="15">
      <c r="A3300" s="77" t="s">
        <v>7208</v>
      </c>
      <c r="B3300" s="76" t="s">
        <v>11198</v>
      </c>
    </row>
    <row r="3301" spans="1:2" ht="15">
      <c r="A3301" s="77" t="s">
        <v>7209</v>
      </c>
      <c r="B3301" s="76" t="s">
        <v>11198</v>
      </c>
    </row>
    <row r="3302" spans="1:2" ht="15">
      <c r="A3302" s="77" t="s">
        <v>7210</v>
      </c>
      <c r="B3302" s="76" t="s">
        <v>11198</v>
      </c>
    </row>
    <row r="3303" spans="1:2" ht="15">
      <c r="A3303" s="77" t="s">
        <v>7211</v>
      </c>
      <c r="B3303" s="76" t="s">
        <v>11198</v>
      </c>
    </row>
    <row r="3304" spans="1:2" ht="15">
      <c r="A3304" s="77" t="s">
        <v>7212</v>
      </c>
      <c r="B3304" s="76" t="s">
        <v>11198</v>
      </c>
    </row>
    <row r="3305" spans="1:2" ht="15">
      <c r="A3305" s="77" t="s">
        <v>7213</v>
      </c>
      <c r="B3305" s="76" t="s">
        <v>11198</v>
      </c>
    </row>
    <row r="3306" spans="1:2" ht="15">
      <c r="A3306" s="77" t="s">
        <v>7214</v>
      </c>
      <c r="B3306" s="76" t="s">
        <v>11198</v>
      </c>
    </row>
    <row r="3307" spans="1:2" ht="15">
      <c r="A3307" s="77" t="s">
        <v>7215</v>
      </c>
      <c r="B3307" s="76" t="s">
        <v>11198</v>
      </c>
    </row>
    <row r="3308" spans="1:2" ht="15">
      <c r="A3308" s="77" t="s">
        <v>7216</v>
      </c>
      <c r="B3308" s="76" t="s">
        <v>11198</v>
      </c>
    </row>
    <row r="3309" spans="1:2" ht="15">
      <c r="A3309" s="77" t="s">
        <v>7217</v>
      </c>
      <c r="B3309" s="76" t="s">
        <v>11198</v>
      </c>
    </row>
    <row r="3310" spans="1:2" ht="15">
      <c r="A3310" s="77" t="s">
        <v>7218</v>
      </c>
      <c r="B3310" s="76" t="s">
        <v>11198</v>
      </c>
    </row>
    <row r="3311" spans="1:2" ht="15">
      <c r="A3311" s="77" t="s">
        <v>7219</v>
      </c>
      <c r="B3311" s="76" t="s">
        <v>11198</v>
      </c>
    </row>
    <row r="3312" spans="1:2" ht="15">
      <c r="A3312" s="77" t="s">
        <v>7220</v>
      </c>
      <c r="B3312" s="76" t="s">
        <v>11198</v>
      </c>
    </row>
    <row r="3313" spans="1:2" ht="15">
      <c r="A3313" s="77" t="s">
        <v>7221</v>
      </c>
      <c r="B3313" s="76" t="s">
        <v>11198</v>
      </c>
    </row>
    <row r="3314" spans="1:2" ht="15">
      <c r="A3314" s="77" t="s">
        <v>7222</v>
      </c>
      <c r="B3314" s="76" t="s">
        <v>11198</v>
      </c>
    </row>
    <row r="3315" spans="1:2" ht="15">
      <c r="A3315" s="77" t="s">
        <v>7223</v>
      </c>
      <c r="B3315" s="76" t="s">
        <v>11198</v>
      </c>
    </row>
    <row r="3316" spans="1:2" ht="15">
      <c r="A3316" s="77" t="s">
        <v>7224</v>
      </c>
      <c r="B3316" s="76" t="s">
        <v>11198</v>
      </c>
    </row>
    <row r="3317" spans="1:2" ht="15">
      <c r="A3317" s="77" t="s">
        <v>7225</v>
      </c>
      <c r="B3317" s="76" t="s">
        <v>11198</v>
      </c>
    </row>
    <row r="3318" spans="1:2" ht="15">
      <c r="A3318" s="77" t="s">
        <v>7226</v>
      </c>
      <c r="B3318" s="76" t="s">
        <v>11198</v>
      </c>
    </row>
    <row r="3319" spans="1:2" ht="15">
      <c r="A3319" s="77" t="s">
        <v>7227</v>
      </c>
      <c r="B3319" s="76" t="s">
        <v>11198</v>
      </c>
    </row>
    <row r="3320" spans="1:2" ht="15">
      <c r="A3320" s="77" t="s">
        <v>7228</v>
      </c>
      <c r="B3320" s="76" t="s">
        <v>11198</v>
      </c>
    </row>
    <row r="3321" spans="1:2" ht="15">
      <c r="A3321" s="77" t="s">
        <v>7229</v>
      </c>
      <c r="B3321" s="76" t="s">
        <v>11198</v>
      </c>
    </row>
    <row r="3322" spans="1:2" ht="15">
      <c r="A3322" s="77" t="s">
        <v>7230</v>
      </c>
      <c r="B3322" s="76" t="s">
        <v>11198</v>
      </c>
    </row>
    <row r="3323" spans="1:2" ht="15">
      <c r="A3323" s="77" t="s">
        <v>7231</v>
      </c>
      <c r="B3323" s="76" t="s">
        <v>11198</v>
      </c>
    </row>
    <row r="3324" spans="1:2" ht="15">
      <c r="A3324" s="77" t="s">
        <v>7232</v>
      </c>
      <c r="B3324" s="76" t="s">
        <v>11198</v>
      </c>
    </row>
    <row r="3325" spans="1:2" ht="15">
      <c r="A3325" s="77" t="s">
        <v>7233</v>
      </c>
      <c r="B3325" s="76" t="s">
        <v>11198</v>
      </c>
    </row>
    <row r="3326" spans="1:2" ht="15">
      <c r="A3326" s="77" t="s">
        <v>7234</v>
      </c>
      <c r="B3326" s="76" t="s">
        <v>11198</v>
      </c>
    </row>
    <row r="3327" spans="1:2" ht="15">
      <c r="A3327" s="77" t="s">
        <v>7235</v>
      </c>
      <c r="B3327" s="76" t="s">
        <v>11198</v>
      </c>
    </row>
    <row r="3328" spans="1:2" ht="15">
      <c r="A3328" s="77" t="s">
        <v>7236</v>
      </c>
      <c r="B3328" s="76" t="s">
        <v>11198</v>
      </c>
    </row>
    <row r="3329" spans="1:2" ht="15">
      <c r="A3329" s="77" t="s">
        <v>7237</v>
      </c>
      <c r="B3329" s="76" t="s">
        <v>11198</v>
      </c>
    </row>
    <row r="3330" spans="1:2" ht="15">
      <c r="A3330" s="77" t="s">
        <v>7238</v>
      </c>
      <c r="B3330" s="76" t="s">
        <v>11198</v>
      </c>
    </row>
    <row r="3331" spans="1:2" ht="15">
      <c r="A3331" s="77" t="s">
        <v>7239</v>
      </c>
      <c r="B3331" s="76" t="s">
        <v>11198</v>
      </c>
    </row>
    <row r="3332" spans="1:2" ht="15">
      <c r="A3332" s="77" t="s">
        <v>7240</v>
      </c>
      <c r="B3332" s="76" t="s">
        <v>11198</v>
      </c>
    </row>
    <row r="3333" spans="1:2" ht="15">
      <c r="A3333" s="77" t="s">
        <v>7241</v>
      </c>
      <c r="B3333" s="76" t="s">
        <v>11198</v>
      </c>
    </row>
    <row r="3334" spans="1:2" ht="15">
      <c r="A3334" s="77" t="s">
        <v>7242</v>
      </c>
      <c r="B3334" s="76" t="s">
        <v>11198</v>
      </c>
    </row>
    <row r="3335" spans="1:2" ht="15">
      <c r="A3335" s="77" t="s">
        <v>7243</v>
      </c>
      <c r="B3335" s="76" t="s">
        <v>11198</v>
      </c>
    </row>
    <row r="3336" spans="1:2" ht="15">
      <c r="A3336" s="77" t="s">
        <v>7244</v>
      </c>
      <c r="B3336" s="76" t="s">
        <v>11198</v>
      </c>
    </row>
    <row r="3337" spans="1:2" ht="15">
      <c r="A3337" s="77" t="s">
        <v>7245</v>
      </c>
      <c r="B3337" s="76" t="s">
        <v>11198</v>
      </c>
    </row>
    <row r="3338" spans="1:2" ht="15">
      <c r="A3338" s="77" t="s">
        <v>7246</v>
      </c>
      <c r="B3338" s="76" t="s">
        <v>11198</v>
      </c>
    </row>
    <row r="3339" spans="1:2" ht="15">
      <c r="A3339" s="77" t="s">
        <v>7247</v>
      </c>
      <c r="B3339" s="76" t="s">
        <v>11198</v>
      </c>
    </row>
    <row r="3340" spans="1:2" ht="15">
      <c r="A3340" s="77" t="s">
        <v>7248</v>
      </c>
      <c r="B3340" s="76" t="s">
        <v>11198</v>
      </c>
    </row>
    <row r="3341" spans="1:2" ht="15">
      <c r="A3341" s="77" t="s">
        <v>7249</v>
      </c>
      <c r="B3341" s="76" t="s">
        <v>11198</v>
      </c>
    </row>
    <row r="3342" spans="1:2" ht="15">
      <c r="A3342" s="77" t="s">
        <v>7250</v>
      </c>
      <c r="B3342" s="76" t="s">
        <v>11198</v>
      </c>
    </row>
    <row r="3343" spans="1:2" ht="15">
      <c r="A3343" s="77" t="s">
        <v>7251</v>
      </c>
      <c r="B3343" s="76" t="s">
        <v>11198</v>
      </c>
    </row>
    <row r="3344" spans="1:2" ht="15">
      <c r="A3344" s="77" t="s">
        <v>7252</v>
      </c>
      <c r="B3344" s="76" t="s">
        <v>11198</v>
      </c>
    </row>
    <row r="3345" spans="1:2" ht="15">
      <c r="A3345" s="77" t="s">
        <v>7253</v>
      </c>
      <c r="B3345" s="76" t="s">
        <v>11198</v>
      </c>
    </row>
    <row r="3346" spans="1:2" ht="15">
      <c r="A3346" s="77" t="s">
        <v>7254</v>
      </c>
      <c r="B3346" s="76" t="s">
        <v>11198</v>
      </c>
    </row>
    <row r="3347" spans="1:2" ht="15">
      <c r="A3347" s="77" t="s">
        <v>7255</v>
      </c>
      <c r="B3347" s="76" t="s">
        <v>11198</v>
      </c>
    </row>
    <row r="3348" spans="1:2" ht="15">
      <c r="A3348" s="77" t="s">
        <v>7256</v>
      </c>
      <c r="B3348" s="76" t="s">
        <v>11198</v>
      </c>
    </row>
    <row r="3349" spans="1:2" ht="15">
      <c r="A3349" s="77" t="s">
        <v>7257</v>
      </c>
      <c r="B3349" s="76" t="s">
        <v>11198</v>
      </c>
    </row>
    <row r="3350" spans="1:2" ht="15">
      <c r="A3350" s="77" t="s">
        <v>7258</v>
      </c>
      <c r="B3350" s="76" t="s">
        <v>11198</v>
      </c>
    </row>
    <row r="3351" spans="1:2" ht="15">
      <c r="A3351" s="77" t="s">
        <v>7259</v>
      </c>
      <c r="B3351" s="76" t="s">
        <v>11198</v>
      </c>
    </row>
    <row r="3352" spans="1:2" ht="15">
      <c r="A3352" s="77" t="s">
        <v>7260</v>
      </c>
      <c r="B3352" s="76" t="s">
        <v>11198</v>
      </c>
    </row>
    <row r="3353" spans="1:2" ht="15">
      <c r="A3353" s="77" t="s">
        <v>7261</v>
      </c>
      <c r="B3353" s="76" t="s">
        <v>11198</v>
      </c>
    </row>
    <row r="3354" spans="1:2" ht="15">
      <c r="A3354" s="77" t="s">
        <v>7262</v>
      </c>
      <c r="B3354" s="76" t="s">
        <v>11198</v>
      </c>
    </row>
    <row r="3355" spans="1:2" ht="15">
      <c r="A3355" s="77" t="s">
        <v>7263</v>
      </c>
      <c r="B3355" s="76" t="s">
        <v>11198</v>
      </c>
    </row>
    <row r="3356" spans="1:2" ht="15">
      <c r="A3356" s="77" t="s">
        <v>7264</v>
      </c>
      <c r="B3356" s="76" t="s">
        <v>11198</v>
      </c>
    </row>
    <row r="3357" spans="1:2" ht="15">
      <c r="A3357" s="77" t="s">
        <v>7265</v>
      </c>
      <c r="B3357" s="76" t="s">
        <v>11198</v>
      </c>
    </row>
    <row r="3358" spans="1:2" ht="15">
      <c r="A3358" s="77" t="s">
        <v>7266</v>
      </c>
      <c r="B3358" s="76" t="s">
        <v>11198</v>
      </c>
    </row>
    <row r="3359" spans="1:2" ht="15">
      <c r="A3359" s="77" t="s">
        <v>7267</v>
      </c>
      <c r="B3359" s="76" t="s">
        <v>11198</v>
      </c>
    </row>
    <row r="3360" spans="1:2" ht="15">
      <c r="A3360" s="77" t="s">
        <v>7268</v>
      </c>
      <c r="B3360" s="76" t="s">
        <v>11198</v>
      </c>
    </row>
    <row r="3361" spans="1:2" ht="15">
      <c r="A3361" s="77" t="s">
        <v>7269</v>
      </c>
      <c r="B3361" s="76" t="s">
        <v>11198</v>
      </c>
    </row>
    <row r="3362" spans="1:2" ht="15">
      <c r="A3362" s="77" t="s">
        <v>7270</v>
      </c>
      <c r="B3362" s="76" t="s">
        <v>11198</v>
      </c>
    </row>
    <row r="3363" spans="1:2" ht="15">
      <c r="A3363" s="77" t="s">
        <v>7271</v>
      </c>
      <c r="B3363" s="76" t="s">
        <v>11198</v>
      </c>
    </row>
    <row r="3364" spans="1:2" ht="15">
      <c r="A3364" s="77" t="s">
        <v>7272</v>
      </c>
      <c r="B3364" s="76" t="s">
        <v>11198</v>
      </c>
    </row>
    <row r="3365" spans="1:2" ht="15">
      <c r="A3365" s="77" t="s">
        <v>7273</v>
      </c>
      <c r="B3365" s="76" t="s">
        <v>11198</v>
      </c>
    </row>
    <row r="3366" spans="1:2" ht="15">
      <c r="A3366" s="77" t="s">
        <v>7274</v>
      </c>
      <c r="B3366" s="76" t="s">
        <v>11198</v>
      </c>
    </row>
    <row r="3367" spans="1:2" ht="15">
      <c r="A3367" s="77" t="s">
        <v>7275</v>
      </c>
      <c r="B3367" s="76" t="s">
        <v>11198</v>
      </c>
    </row>
    <row r="3368" spans="1:2" ht="15">
      <c r="A3368" s="77" t="s">
        <v>7276</v>
      </c>
      <c r="B3368" s="76" t="s">
        <v>11198</v>
      </c>
    </row>
    <row r="3369" spans="1:2" ht="15">
      <c r="A3369" s="77" t="s">
        <v>7277</v>
      </c>
      <c r="B3369" s="76" t="s">
        <v>11198</v>
      </c>
    </row>
    <row r="3370" spans="1:2" ht="15">
      <c r="A3370" s="77" t="s">
        <v>7278</v>
      </c>
      <c r="B3370" s="76" t="s">
        <v>11198</v>
      </c>
    </row>
    <row r="3371" spans="1:2" ht="15">
      <c r="A3371" s="77" t="s">
        <v>7279</v>
      </c>
      <c r="B3371" s="76" t="s">
        <v>11198</v>
      </c>
    </row>
    <row r="3372" spans="1:2" ht="15">
      <c r="A3372" s="77" t="s">
        <v>7280</v>
      </c>
      <c r="B3372" s="76" t="s">
        <v>11198</v>
      </c>
    </row>
    <row r="3373" spans="1:2" ht="15">
      <c r="A3373" s="77" t="s">
        <v>7281</v>
      </c>
      <c r="B3373" s="76" t="s">
        <v>11198</v>
      </c>
    </row>
    <row r="3374" spans="1:2" ht="15">
      <c r="A3374" s="77" t="s">
        <v>7282</v>
      </c>
      <c r="B3374" s="76" t="s">
        <v>11198</v>
      </c>
    </row>
    <row r="3375" spans="1:2" ht="15">
      <c r="A3375" s="77" t="s">
        <v>7283</v>
      </c>
      <c r="B3375" s="76" t="s">
        <v>11198</v>
      </c>
    </row>
    <row r="3376" spans="1:2" ht="15">
      <c r="A3376" s="77" t="s">
        <v>7284</v>
      </c>
      <c r="B3376" s="76" t="s">
        <v>11198</v>
      </c>
    </row>
    <row r="3377" spans="1:2" ht="15">
      <c r="A3377" s="77" t="s">
        <v>7285</v>
      </c>
      <c r="B3377" s="76" t="s">
        <v>11198</v>
      </c>
    </row>
    <row r="3378" spans="1:2" ht="15">
      <c r="A3378" s="77" t="s">
        <v>7286</v>
      </c>
      <c r="B3378" s="76" t="s">
        <v>11198</v>
      </c>
    </row>
    <row r="3379" spans="1:2" ht="15">
      <c r="A3379" s="77" t="s">
        <v>7287</v>
      </c>
      <c r="B3379" s="76" t="s">
        <v>11198</v>
      </c>
    </row>
    <row r="3380" spans="1:2" ht="15">
      <c r="A3380" s="77" t="s">
        <v>7288</v>
      </c>
      <c r="B3380" s="76" t="s">
        <v>11198</v>
      </c>
    </row>
    <row r="3381" spans="1:2" ht="15">
      <c r="A3381" s="77" t="s">
        <v>7289</v>
      </c>
      <c r="B3381" s="76" t="s">
        <v>11198</v>
      </c>
    </row>
    <row r="3382" spans="1:2" ht="15">
      <c r="A3382" s="77" t="s">
        <v>7290</v>
      </c>
      <c r="B3382" s="76" t="s">
        <v>11198</v>
      </c>
    </row>
    <row r="3383" spans="1:2" ht="15">
      <c r="A3383" s="77" t="s">
        <v>7291</v>
      </c>
      <c r="B3383" s="76" t="s">
        <v>11198</v>
      </c>
    </row>
    <row r="3384" spans="1:2" ht="15">
      <c r="A3384" s="77" t="s">
        <v>7292</v>
      </c>
      <c r="B3384" s="76" t="s">
        <v>11198</v>
      </c>
    </row>
    <row r="3385" spans="1:2" ht="15">
      <c r="A3385" s="77" t="s">
        <v>7293</v>
      </c>
      <c r="B3385" s="76" t="s">
        <v>11198</v>
      </c>
    </row>
    <row r="3386" spans="1:2" ht="15">
      <c r="A3386" s="77" t="s">
        <v>7294</v>
      </c>
      <c r="B3386" s="76" t="s">
        <v>11198</v>
      </c>
    </row>
    <row r="3387" spans="1:2" ht="15">
      <c r="A3387" s="77" t="s">
        <v>7295</v>
      </c>
      <c r="B3387" s="76" t="s">
        <v>11198</v>
      </c>
    </row>
    <row r="3388" spans="1:2" ht="15">
      <c r="A3388" s="77" t="s">
        <v>7296</v>
      </c>
      <c r="B3388" s="76" t="s">
        <v>11198</v>
      </c>
    </row>
    <row r="3389" spans="1:2" ht="15">
      <c r="A3389" s="77" t="s">
        <v>7297</v>
      </c>
      <c r="B3389" s="76" t="s">
        <v>11198</v>
      </c>
    </row>
    <row r="3390" spans="1:2" ht="15">
      <c r="A3390" s="77" t="s">
        <v>7298</v>
      </c>
      <c r="B3390" s="76" t="s">
        <v>11198</v>
      </c>
    </row>
    <row r="3391" spans="1:2" ht="15">
      <c r="A3391" s="77" t="s">
        <v>7299</v>
      </c>
      <c r="B3391" s="76" t="s">
        <v>11198</v>
      </c>
    </row>
    <row r="3392" spans="1:2" ht="15">
      <c r="A3392" s="77" t="s">
        <v>7300</v>
      </c>
      <c r="B3392" s="76" t="s">
        <v>11198</v>
      </c>
    </row>
    <row r="3393" spans="1:2" ht="15">
      <c r="A3393" s="77" t="s">
        <v>7301</v>
      </c>
      <c r="B3393" s="76" t="s">
        <v>11198</v>
      </c>
    </row>
    <row r="3394" spans="1:2" ht="15">
      <c r="A3394" s="77" t="s">
        <v>7302</v>
      </c>
      <c r="B3394" s="76" t="s">
        <v>11198</v>
      </c>
    </row>
    <row r="3395" spans="1:2" ht="15">
      <c r="A3395" s="77" t="s">
        <v>7303</v>
      </c>
      <c r="B3395" s="76" t="s">
        <v>11198</v>
      </c>
    </row>
    <row r="3396" spans="1:2" ht="15">
      <c r="A3396" s="77" t="s">
        <v>7304</v>
      </c>
      <c r="B3396" s="76" t="s">
        <v>11198</v>
      </c>
    </row>
    <row r="3397" spans="1:2" ht="15">
      <c r="A3397" s="77" t="s">
        <v>7305</v>
      </c>
      <c r="B3397" s="76" t="s">
        <v>11198</v>
      </c>
    </row>
    <row r="3398" spans="1:2" ht="15">
      <c r="A3398" s="77" t="s">
        <v>7306</v>
      </c>
      <c r="B3398" s="76" t="s">
        <v>11198</v>
      </c>
    </row>
    <row r="3399" spans="1:2" ht="15">
      <c r="A3399" s="77" t="s">
        <v>7307</v>
      </c>
      <c r="B3399" s="76" t="s">
        <v>11198</v>
      </c>
    </row>
    <row r="3400" spans="1:2" ht="15">
      <c r="A3400" s="77" t="s">
        <v>7308</v>
      </c>
      <c r="B3400" s="76" t="s">
        <v>11198</v>
      </c>
    </row>
    <row r="3401" spans="1:2" ht="15">
      <c r="A3401" s="77" t="s">
        <v>7309</v>
      </c>
      <c r="B3401" s="76" t="s">
        <v>11198</v>
      </c>
    </row>
    <row r="3402" spans="1:2" ht="15">
      <c r="A3402" s="77" t="s">
        <v>7310</v>
      </c>
      <c r="B3402" s="76" t="s">
        <v>11198</v>
      </c>
    </row>
    <row r="3403" spans="1:2" ht="15">
      <c r="A3403" s="77" t="s">
        <v>7311</v>
      </c>
      <c r="B3403" s="76" t="s">
        <v>11198</v>
      </c>
    </row>
    <row r="3404" spans="1:2" ht="15">
      <c r="A3404" s="77" t="s">
        <v>7312</v>
      </c>
      <c r="B3404" s="76" t="s">
        <v>11198</v>
      </c>
    </row>
    <row r="3405" spans="1:2" ht="15">
      <c r="A3405" s="77" t="s">
        <v>7313</v>
      </c>
      <c r="B3405" s="76" t="s">
        <v>11198</v>
      </c>
    </row>
    <row r="3406" spans="1:2" ht="15">
      <c r="A3406" s="77" t="s">
        <v>7314</v>
      </c>
      <c r="B3406" s="76" t="s">
        <v>11198</v>
      </c>
    </row>
    <row r="3407" spans="1:2" ht="15">
      <c r="A3407" s="77" t="s">
        <v>7315</v>
      </c>
      <c r="B3407" s="76" t="s">
        <v>11198</v>
      </c>
    </row>
    <row r="3408" spans="1:2" ht="15">
      <c r="A3408" s="77" t="s">
        <v>7316</v>
      </c>
      <c r="B3408" s="76" t="s">
        <v>11198</v>
      </c>
    </row>
    <row r="3409" spans="1:2" ht="15">
      <c r="A3409" s="77" t="s">
        <v>7317</v>
      </c>
      <c r="B3409" s="76" t="s">
        <v>11198</v>
      </c>
    </row>
    <row r="3410" spans="1:2" ht="15">
      <c r="A3410" s="77" t="s">
        <v>7318</v>
      </c>
      <c r="B3410" s="76" t="s">
        <v>11198</v>
      </c>
    </row>
    <row r="3411" spans="1:2" ht="15">
      <c r="A3411" s="77" t="s">
        <v>7319</v>
      </c>
      <c r="B3411" s="76" t="s">
        <v>11198</v>
      </c>
    </row>
    <row r="3412" spans="1:2" ht="15">
      <c r="A3412" s="77" t="s">
        <v>7320</v>
      </c>
      <c r="B3412" s="76" t="s">
        <v>11198</v>
      </c>
    </row>
    <row r="3413" spans="1:2" ht="15">
      <c r="A3413" s="77" t="s">
        <v>7321</v>
      </c>
      <c r="B3413" s="76" t="s">
        <v>11198</v>
      </c>
    </row>
    <row r="3414" spans="1:2" ht="15">
      <c r="A3414" s="77" t="s">
        <v>7322</v>
      </c>
      <c r="B3414" s="76" t="s">
        <v>11198</v>
      </c>
    </row>
    <row r="3415" spans="1:2" ht="15">
      <c r="A3415" s="77" t="s">
        <v>7323</v>
      </c>
      <c r="B3415" s="76" t="s">
        <v>11198</v>
      </c>
    </row>
    <row r="3416" spans="1:2" ht="15">
      <c r="A3416" s="77" t="s">
        <v>7324</v>
      </c>
      <c r="B3416" s="76" t="s">
        <v>11198</v>
      </c>
    </row>
    <row r="3417" spans="1:2" ht="15">
      <c r="A3417" s="77" t="s">
        <v>7325</v>
      </c>
      <c r="B3417" s="76" t="s">
        <v>11198</v>
      </c>
    </row>
    <row r="3418" spans="1:2" ht="15">
      <c r="A3418" s="77" t="s">
        <v>7326</v>
      </c>
      <c r="B3418" s="76" t="s">
        <v>11198</v>
      </c>
    </row>
    <row r="3419" spans="1:2" ht="15">
      <c r="A3419" s="77" t="s">
        <v>7327</v>
      </c>
      <c r="B3419" s="76" t="s">
        <v>11198</v>
      </c>
    </row>
    <row r="3420" spans="1:2" ht="15">
      <c r="A3420" s="77" t="s">
        <v>7328</v>
      </c>
      <c r="B3420" s="76" t="s">
        <v>11198</v>
      </c>
    </row>
    <row r="3421" spans="1:2" ht="15">
      <c r="A3421" s="77" t="s">
        <v>7329</v>
      </c>
      <c r="B3421" s="76" t="s">
        <v>11198</v>
      </c>
    </row>
    <row r="3422" spans="1:2" ht="15">
      <c r="A3422" s="77" t="s">
        <v>7330</v>
      </c>
      <c r="B3422" s="76" t="s">
        <v>11198</v>
      </c>
    </row>
    <row r="3423" spans="1:2" ht="15">
      <c r="A3423" s="77" t="s">
        <v>7331</v>
      </c>
      <c r="B3423" s="76" t="s">
        <v>11198</v>
      </c>
    </row>
    <row r="3424" spans="1:2" ht="15">
      <c r="A3424" s="77" t="s">
        <v>7332</v>
      </c>
      <c r="B3424" s="76" t="s">
        <v>11198</v>
      </c>
    </row>
    <row r="3425" spans="1:2" ht="15">
      <c r="A3425" s="77" t="s">
        <v>7333</v>
      </c>
      <c r="B3425" s="76" t="s">
        <v>11198</v>
      </c>
    </row>
    <row r="3426" spans="1:2" ht="15">
      <c r="A3426" s="77" t="s">
        <v>7334</v>
      </c>
      <c r="B3426" s="76" t="s">
        <v>11198</v>
      </c>
    </row>
    <row r="3427" spans="1:2" ht="15">
      <c r="A3427" s="77" t="s">
        <v>7335</v>
      </c>
      <c r="B3427" s="76" t="s">
        <v>11198</v>
      </c>
    </row>
    <row r="3428" spans="1:2" ht="15">
      <c r="A3428" s="77" t="s">
        <v>7336</v>
      </c>
      <c r="B3428" s="76" t="s">
        <v>11198</v>
      </c>
    </row>
    <row r="3429" spans="1:2" ht="15">
      <c r="A3429" s="77" t="s">
        <v>7337</v>
      </c>
      <c r="B3429" s="76" t="s">
        <v>11198</v>
      </c>
    </row>
    <row r="3430" spans="1:2" ht="15">
      <c r="A3430" s="77" t="s">
        <v>7338</v>
      </c>
      <c r="B3430" s="76" t="s">
        <v>11198</v>
      </c>
    </row>
    <row r="3431" spans="1:2" ht="15">
      <c r="A3431" s="77" t="s">
        <v>7339</v>
      </c>
      <c r="B3431" s="76" t="s">
        <v>11198</v>
      </c>
    </row>
    <row r="3432" spans="1:2" ht="15">
      <c r="A3432" s="77" t="s">
        <v>7340</v>
      </c>
      <c r="B3432" s="76" t="s">
        <v>11198</v>
      </c>
    </row>
    <row r="3433" spans="1:2" ht="15">
      <c r="A3433" s="77" t="s">
        <v>7341</v>
      </c>
      <c r="B3433" s="76" t="s">
        <v>11198</v>
      </c>
    </row>
    <row r="3434" spans="1:2" ht="15">
      <c r="A3434" s="77" t="s">
        <v>7342</v>
      </c>
      <c r="B3434" s="76" t="s">
        <v>11198</v>
      </c>
    </row>
    <row r="3435" spans="1:2" ht="15">
      <c r="A3435" s="77" t="s">
        <v>7343</v>
      </c>
      <c r="B3435" s="76" t="s">
        <v>11198</v>
      </c>
    </row>
    <row r="3436" spans="1:2" ht="15">
      <c r="A3436" s="77" t="s">
        <v>7344</v>
      </c>
      <c r="B3436" s="76" t="s">
        <v>11198</v>
      </c>
    </row>
    <row r="3437" spans="1:2" ht="15">
      <c r="A3437" s="77" t="s">
        <v>7345</v>
      </c>
      <c r="B3437" s="76" t="s">
        <v>11198</v>
      </c>
    </row>
    <row r="3438" spans="1:2" ht="15">
      <c r="A3438" s="77" t="s">
        <v>7346</v>
      </c>
      <c r="B3438" s="76" t="s">
        <v>11198</v>
      </c>
    </row>
    <row r="3439" spans="1:2" ht="15">
      <c r="A3439" s="77" t="s">
        <v>7347</v>
      </c>
      <c r="B3439" s="76" t="s">
        <v>11198</v>
      </c>
    </row>
    <row r="3440" spans="1:2" ht="15">
      <c r="A3440" s="77" t="s">
        <v>7348</v>
      </c>
      <c r="B3440" s="76" t="s">
        <v>11198</v>
      </c>
    </row>
    <row r="3441" spans="1:2" ht="15">
      <c r="A3441" s="77" t="s">
        <v>7349</v>
      </c>
      <c r="B3441" s="76" t="s">
        <v>11198</v>
      </c>
    </row>
    <row r="3442" spans="1:2" ht="15">
      <c r="A3442" s="77" t="s">
        <v>7350</v>
      </c>
      <c r="B3442" s="76" t="s">
        <v>11198</v>
      </c>
    </row>
    <row r="3443" spans="1:2" ht="15">
      <c r="A3443" s="77" t="s">
        <v>7351</v>
      </c>
      <c r="B3443" s="76" t="s">
        <v>11198</v>
      </c>
    </row>
    <row r="3444" spans="1:2" ht="15">
      <c r="A3444" s="77" t="s">
        <v>7352</v>
      </c>
      <c r="B3444" s="76" t="s">
        <v>11198</v>
      </c>
    </row>
    <row r="3445" spans="1:2" ht="15">
      <c r="A3445" s="77" t="s">
        <v>7353</v>
      </c>
      <c r="B3445" s="76" t="s">
        <v>11198</v>
      </c>
    </row>
    <row r="3446" spans="1:2" ht="15">
      <c r="A3446" s="77" t="s">
        <v>7354</v>
      </c>
      <c r="B3446" s="76" t="s">
        <v>11198</v>
      </c>
    </row>
    <row r="3447" spans="1:2" ht="15">
      <c r="A3447" s="77" t="s">
        <v>7355</v>
      </c>
      <c r="B3447" s="76" t="s">
        <v>11198</v>
      </c>
    </row>
    <row r="3448" spans="1:2" ht="15">
      <c r="A3448" s="77" t="s">
        <v>7356</v>
      </c>
      <c r="B3448" s="76" t="s">
        <v>11198</v>
      </c>
    </row>
    <row r="3449" spans="1:2" ht="15">
      <c r="A3449" s="77" t="s">
        <v>7357</v>
      </c>
      <c r="B3449" s="76" t="s">
        <v>11198</v>
      </c>
    </row>
    <row r="3450" spans="1:2" ht="15">
      <c r="A3450" s="77" t="s">
        <v>7358</v>
      </c>
      <c r="B3450" s="76" t="s">
        <v>11198</v>
      </c>
    </row>
    <row r="3451" spans="1:2" ht="15">
      <c r="A3451" s="77" t="s">
        <v>7359</v>
      </c>
      <c r="B3451" s="76" t="s">
        <v>11198</v>
      </c>
    </row>
    <row r="3452" spans="1:2" ht="15">
      <c r="A3452" s="77" t="s">
        <v>7360</v>
      </c>
      <c r="B3452" s="76" t="s">
        <v>11198</v>
      </c>
    </row>
    <row r="3453" spans="1:2" ht="15">
      <c r="A3453" s="77" t="s">
        <v>7361</v>
      </c>
      <c r="B3453" s="76" t="s">
        <v>11198</v>
      </c>
    </row>
    <row r="3454" spans="1:2" ht="15">
      <c r="A3454" s="77" t="s">
        <v>7362</v>
      </c>
      <c r="B3454" s="76" t="s">
        <v>11198</v>
      </c>
    </row>
    <row r="3455" spans="1:2" ht="15">
      <c r="A3455" s="77" t="s">
        <v>7363</v>
      </c>
      <c r="B3455" s="76" t="s">
        <v>11198</v>
      </c>
    </row>
    <row r="3456" spans="1:2" ht="15">
      <c r="A3456" s="77" t="s">
        <v>7364</v>
      </c>
      <c r="B3456" s="76" t="s">
        <v>11198</v>
      </c>
    </row>
    <row r="3457" spans="1:2" ht="15">
      <c r="A3457" s="77" t="s">
        <v>7365</v>
      </c>
      <c r="B3457" s="76" t="s">
        <v>11198</v>
      </c>
    </row>
    <row r="3458" spans="1:2" ht="15">
      <c r="A3458" s="77" t="s">
        <v>7366</v>
      </c>
      <c r="B3458" s="76" t="s">
        <v>11198</v>
      </c>
    </row>
    <row r="3459" spans="1:2" ht="15">
      <c r="A3459" s="77" t="s">
        <v>7367</v>
      </c>
      <c r="B3459" s="76" t="s">
        <v>11198</v>
      </c>
    </row>
    <row r="3460" spans="1:2" ht="15">
      <c r="A3460" s="77" t="s">
        <v>7368</v>
      </c>
      <c r="B3460" s="76" t="s">
        <v>11198</v>
      </c>
    </row>
    <row r="3461" spans="1:2" ht="15">
      <c r="A3461" s="77" t="s">
        <v>7369</v>
      </c>
      <c r="B3461" s="76" t="s">
        <v>11198</v>
      </c>
    </row>
    <row r="3462" spans="1:2" ht="15">
      <c r="A3462" s="77" t="s">
        <v>7370</v>
      </c>
      <c r="B3462" s="76" t="s">
        <v>11198</v>
      </c>
    </row>
    <row r="3463" spans="1:2" ht="15">
      <c r="A3463" s="77" t="s">
        <v>7371</v>
      </c>
      <c r="B3463" s="76" t="s">
        <v>11198</v>
      </c>
    </row>
    <row r="3464" spans="1:2" ht="15">
      <c r="A3464" s="77" t="s">
        <v>7372</v>
      </c>
      <c r="B3464" s="76" t="s">
        <v>11198</v>
      </c>
    </row>
    <row r="3465" spans="1:2" ht="15">
      <c r="A3465" s="77" t="s">
        <v>7373</v>
      </c>
      <c r="B3465" s="76" t="s">
        <v>11198</v>
      </c>
    </row>
    <row r="3466" spans="1:2" ht="15">
      <c r="A3466" s="77" t="s">
        <v>7374</v>
      </c>
      <c r="B3466" s="76" t="s">
        <v>11198</v>
      </c>
    </row>
    <row r="3467" spans="1:2" ht="15">
      <c r="A3467" s="77" t="s">
        <v>7375</v>
      </c>
      <c r="B3467" s="76" t="s">
        <v>11198</v>
      </c>
    </row>
    <row r="3468" spans="1:2" ht="15">
      <c r="A3468" s="77" t="s">
        <v>7376</v>
      </c>
      <c r="B3468" s="76" t="s">
        <v>11198</v>
      </c>
    </row>
    <row r="3469" spans="1:2" ht="15">
      <c r="A3469" s="77" t="s">
        <v>7377</v>
      </c>
      <c r="B3469" s="76" t="s">
        <v>11198</v>
      </c>
    </row>
    <row r="3470" spans="1:2" ht="15">
      <c r="A3470" s="77" t="s">
        <v>7378</v>
      </c>
      <c r="B3470" s="76" t="s">
        <v>11198</v>
      </c>
    </row>
    <row r="3471" spans="1:2" ht="15">
      <c r="A3471" s="77" t="s">
        <v>7379</v>
      </c>
      <c r="B3471" s="76" t="s">
        <v>11198</v>
      </c>
    </row>
    <row r="3472" spans="1:2" ht="15">
      <c r="A3472" s="77" t="s">
        <v>7380</v>
      </c>
      <c r="B3472" s="76" t="s">
        <v>11198</v>
      </c>
    </row>
    <row r="3473" spans="1:2" ht="15">
      <c r="A3473" s="77" t="s">
        <v>7381</v>
      </c>
      <c r="B3473" s="76" t="s">
        <v>11198</v>
      </c>
    </row>
    <row r="3474" spans="1:2" ht="15">
      <c r="A3474" s="77" t="s">
        <v>7382</v>
      </c>
      <c r="B3474" s="76" t="s">
        <v>11198</v>
      </c>
    </row>
    <row r="3475" spans="1:2" ht="15">
      <c r="A3475" s="77" t="s">
        <v>7383</v>
      </c>
      <c r="B3475" s="76" t="s">
        <v>11198</v>
      </c>
    </row>
    <row r="3476" spans="1:2" ht="15">
      <c r="A3476" s="77" t="s">
        <v>7384</v>
      </c>
      <c r="B3476" s="76" t="s">
        <v>11198</v>
      </c>
    </row>
    <row r="3477" spans="1:2" ht="15">
      <c r="A3477" s="77" t="s">
        <v>7385</v>
      </c>
      <c r="B3477" s="76" t="s">
        <v>11198</v>
      </c>
    </row>
    <row r="3478" spans="1:2" ht="15">
      <c r="A3478" s="77" t="s">
        <v>7386</v>
      </c>
      <c r="B3478" s="76" t="s">
        <v>11198</v>
      </c>
    </row>
    <row r="3479" spans="1:2" ht="15">
      <c r="A3479" s="77" t="s">
        <v>7387</v>
      </c>
      <c r="B3479" s="76" t="s">
        <v>11198</v>
      </c>
    </row>
    <row r="3480" spans="1:2" ht="15">
      <c r="A3480" s="77" t="s">
        <v>7388</v>
      </c>
      <c r="B3480" s="76" t="s">
        <v>11198</v>
      </c>
    </row>
    <row r="3481" spans="1:2" ht="15">
      <c r="A3481" s="77" t="s">
        <v>7389</v>
      </c>
      <c r="B3481" s="76" t="s">
        <v>11198</v>
      </c>
    </row>
    <row r="3482" spans="1:2" ht="15">
      <c r="A3482" s="77" t="s">
        <v>7390</v>
      </c>
      <c r="B3482" s="76" t="s">
        <v>11198</v>
      </c>
    </row>
    <row r="3483" spans="1:2" ht="15">
      <c r="A3483" s="77" t="s">
        <v>7391</v>
      </c>
      <c r="B3483" s="76" t="s">
        <v>11198</v>
      </c>
    </row>
    <row r="3484" spans="1:2" ht="15">
      <c r="A3484" s="77" t="s">
        <v>7392</v>
      </c>
      <c r="B3484" s="76" t="s">
        <v>11198</v>
      </c>
    </row>
    <row r="3485" spans="1:2" ht="15">
      <c r="A3485" s="77" t="s">
        <v>7393</v>
      </c>
      <c r="B3485" s="76" t="s">
        <v>11198</v>
      </c>
    </row>
    <row r="3486" spans="1:2" ht="15">
      <c r="A3486" s="77" t="s">
        <v>7394</v>
      </c>
      <c r="B3486" s="76" t="s">
        <v>11198</v>
      </c>
    </row>
    <row r="3487" spans="1:2" ht="15">
      <c r="A3487" s="77" t="s">
        <v>7395</v>
      </c>
      <c r="B3487" s="76" t="s">
        <v>11198</v>
      </c>
    </row>
    <row r="3488" spans="1:2" ht="15">
      <c r="A3488" s="77" t="s">
        <v>7396</v>
      </c>
      <c r="B3488" s="76" t="s">
        <v>11198</v>
      </c>
    </row>
    <row r="3489" spans="1:2" ht="15">
      <c r="A3489" s="77" t="s">
        <v>7397</v>
      </c>
      <c r="B3489" s="76" t="s">
        <v>11198</v>
      </c>
    </row>
    <row r="3490" spans="1:2" ht="15">
      <c r="A3490" s="77" t="s">
        <v>7398</v>
      </c>
      <c r="B3490" s="76" t="s">
        <v>11198</v>
      </c>
    </row>
    <row r="3491" spans="1:2" ht="15">
      <c r="A3491" s="77" t="s">
        <v>7399</v>
      </c>
      <c r="B3491" s="76" t="s">
        <v>11198</v>
      </c>
    </row>
    <row r="3492" spans="1:2" ht="15">
      <c r="A3492" s="77" t="s">
        <v>7400</v>
      </c>
      <c r="B3492" s="76" t="s">
        <v>11198</v>
      </c>
    </row>
    <row r="3493" spans="1:2" ht="15">
      <c r="A3493" s="77" t="s">
        <v>7401</v>
      </c>
      <c r="B3493" s="76" t="s">
        <v>11198</v>
      </c>
    </row>
    <row r="3494" spans="1:2" ht="15">
      <c r="A3494" s="77" t="s">
        <v>7402</v>
      </c>
      <c r="B3494" s="76" t="s">
        <v>11198</v>
      </c>
    </row>
    <row r="3495" spans="1:2" ht="15">
      <c r="A3495" s="77" t="s">
        <v>7403</v>
      </c>
      <c r="B3495" s="76" t="s">
        <v>11198</v>
      </c>
    </row>
    <row r="3496" spans="1:2" ht="15">
      <c r="A3496" s="77" t="s">
        <v>7404</v>
      </c>
      <c r="B3496" s="76" t="s">
        <v>11198</v>
      </c>
    </row>
    <row r="3497" spans="1:2" ht="15">
      <c r="A3497" s="77" t="s">
        <v>7405</v>
      </c>
      <c r="B3497" s="76" t="s">
        <v>11198</v>
      </c>
    </row>
    <row r="3498" spans="1:2" ht="15">
      <c r="A3498" s="77" t="s">
        <v>7406</v>
      </c>
      <c r="B3498" s="76" t="s">
        <v>11198</v>
      </c>
    </row>
    <row r="3499" spans="1:2" ht="15">
      <c r="A3499" s="77" t="s">
        <v>7407</v>
      </c>
      <c r="B3499" s="76" t="s">
        <v>11198</v>
      </c>
    </row>
    <row r="3500" spans="1:2" ht="15">
      <c r="A3500" s="77" t="s">
        <v>7408</v>
      </c>
      <c r="B3500" s="76" t="s">
        <v>11198</v>
      </c>
    </row>
    <row r="3501" spans="1:2" ht="15">
      <c r="A3501" s="77" t="s">
        <v>7409</v>
      </c>
      <c r="B3501" s="76" t="s">
        <v>11198</v>
      </c>
    </row>
    <row r="3502" spans="1:2" ht="15">
      <c r="A3502" s="77" t="s">
        <v>7410</v>
      </c>
      <c r="B3502" s="76" t="s">
        <v>11198</v>
      </c>
    </row>
    <row r="3503" spans="1:2" ht="15">
      <c r="A3503" s="77" t="s">
        <v>7411</v>
      </c>
      <c r="B3503" s="76" t="s">
        <v>11198</v>
      </c>
    </row>
    <row r="3504" spans="1:2" ht="15">
      <c r="A3504" s="77" t="s">
        <v>7412</v>
      </c>
      <c r="B3504" s="76" t="s">
        <v>11198</v>
      </c>
    </row>
    <row r="3505" spans="1:2" ht="15">
      <c r="A3505" s="77" t="s">
        <v>7413</v>
      </c>
      <c r="B3505" s="76" t="s">
        <v>11198</v>
      </c>
    </row>
    <row r="3506" spans="1:2" ht="15">
      <c r="A3506" s="77" t="s">
        <v>7414</v>
      </c>
      <c r="B3506" s="76" t="s">
        <v>11198</v>
      </c>
    </row>
    <row r="3507" spans="1:2" ht="15">
      <c r="A3507" s="77" t="s">
        <v>7415</v>
      </c>
      <c r="B3507" s="76" t="s">
        <v>11198</v>
      </c>
    </row>
    <row r="3508" spans="1:2" ht="15">
      <c r="A3508" s="77" t="s">
        <v>7416</v>
      </c>
      <c r="B3508" s="76" t="s">
        <v>11198</v>
      </c>
    </row>
    <row r="3509" spans="1:2" ht="15">
      <c r="A3509" s="77" t="s">
        <v>7417</v>
      </c>
      <c r="B3509" s="76" t="s">
        <v>11198</v>
      </c>
    </row>
    <row r="3510" spans="1:2" ht="15">
      <c r="A3510" s="77" t="s">
        <v>7418</v>
      </c>
      <c r="B3510" s="76" t="s">
        <v>11198</v>
      </c>
    </row>
    <row r="3511" spans="1:2" ht="15">
      <c r="A3511" s="77" t="s">
        <v>7419</v>
      </c>
      <c r="B3511" s="76" t="s">
        <v>11198</v>
      </c>
    </row>
    <row r="3512" spans="1:2" ht="15">
      <c r="A3512" s="77" t="s">
        <v>7420</v>
      </c>
      <c r="B3512" s="76" t="s">
        <v>11198</v>
      </c>
    </row>
    <row r="3513" spans="1:2" ht="15">
      <c r="A3513" s="77" t="s">
        <v>7421</v>
      </c>
      <c r="B3513" s="76" t="s">
        <v>11198</v>
      </c>
    </row>
    <row r="3514" spans="1:2" ht="15">
      <c r="A3514" s="77" t="s">
        <v>7422</v>
      </c>
      <c r="B3514" s="76" t="s">
        <v>11198</v>
      </c>
    </row>
    <row r="3515" spans="1:2" ht="15">
      <c r="A3515" s="77" t="s">
        <v>7423</v>
      </c>
      <c r="B3515" s="76" t="s">
        <v>11198</v>
      </c>
    </row>
    <row r="3516" spans="1:2" ht="15">
      <c r="A3516" s="77" t="s">
        <v>7424</v>
      </c>
      <c r="B3516" s="76" t="s">
        <v>11198</v>
      </c>
    </row>
    <row r="3517" spans="1:2" ht="15">
      <c r="A3517" s="77" t="s">
        <v>7425</v>
      </c>
      <c r="B3517" s="76" t="s">
        <v>11198</v>
      </c>
    </row>
    <row r="3518" spans="1:2" ht="15">
      <c r="A3518" s="77" t="s">
        <v>7426</v>
      </c>
      <c r="B3518" s="76" t="s">
        <v>11198</v>
      </c>
    </row>
    <row r="3519" spans="1:2" ht="15">
      <c r="A3519" s="77" t="s">
        <v>7427</v>
      </c>
      <c r="B3519" s="76" t="s">
        <v>11198</v>
      </c>
    </row>
    <row r="3520" spans="1:2" ht="15">
      <c r="A3520" s="77" t="s">
        <v>7428</v>
      </c>
      <c r="B3520" s="76" t="s">
        <v>11198</v>
      </c>
    </row>
    <row r="3521" spans="1:2" ht="15">
      <c r="A3521" s="77" t="s">
        <v>7429</v>
      </c>
      <c r="B3521" s="76" t="s">
        <v>11198</v>
      </c>
    </row>
    <row r="3522" spans="1:2" ht="15">
      <c r="A3522" s="77" t="s">
        <v>7430</v>
      </c>
      <c r="B3522" s="76" t="s">
        <v>11198</v>
      </c>
    </row>
    <row r="3523" spans="1:2" ht="15">
      <c r="A3523" s="77" t="s">
        <v>7431</v>
      </c>
      <c r="B3523" s="76" t="s">
        <v>11198</v>
      </c>
    </row>
    <row r="3524" spans="1:2" ht="15">
      <c r="A3524" s="77" t="s">
        <v>7432</v>
      </c>
      <c r="B3524" s="76" t="s">
        <v>11198</v>
      </c>
    </row>
    <row r="3525" spans="1:2" ht="15">
      <c r="A3525" s="77" t="s">
        <v>7433</v>
      </c>
      <c r="B3525" s="76" t="s">
        <v>11198</v>
      </c>
    </row>
    <row r="3526" spans="1:2" ht="15">
      <c r="A3526" s="77" t="s">
        <v>7434</v>
      </c>
      <c r="B3526" s="76" t="s">
        <v>11198</v>
      </c>
    </row>
    <row r="3527" spans="1:2" ht="15">
      <c r="A3527" s="77" t="s">
        <v>7435</v>
      </c>
      <c r="B3527" s="76" t="s">
        <v>11198</v>
      </c>
    </row>
    <row r="3528" spans="1:2" ht="15">
      <c r="A3528" s="77" t="s">
        <v>7436</v>
      </c>
      <c r="B3528" s="76" t="s">
        <v>11198</v>
      </c>
    </row>
    <row r="3529" spans="1:2" ht="15">
      <c r="A3529" s="77" t="s">
        <v>7437</v>
      </c>
      <c r="B3529" s="76" t="s">
        <v>11198</v>
      </c>
    </row>
    <row r="3530" spans="1:2" ht="15">
      <c r="A3530" s="77" t="s">
        <v>7438</v>
      </c>
      <c r="B3530" s="76" t="s">
        <v>11198</v>
      </c>
    </row>
    <row r="3531" spans="1:2" ht="15">
      <c r="A3531" s="77" t="s">
        <v>7439</v>
      </c>
      <c r="B3531" s="76" t="s">
        <v>11198</v>
      </c>
    </row>
    <row r="3532" spans="1:2" ht="15">
      <c r="A3532" s="77" t="s">
        <v>7440</v>
      </c>
      <c r="B3532" s="76" t="s">
        <v>11198</v>
      </c>
    </row>
    <row r="3533" spans="1:2" ht="15">
      <c r="A3533" s="77" t="s">
        <v>7441</v>
      </c>
      <c r="B3533" s="76" t="s">
        <v>11198</v>
      </c>
    </row>
    <row r="3534" spans="1:2" ht="15">
      <c r="A3534" s="77" t="s">
        <v>7442</v>
      </c>
      <c r="B3534" s="76" t="s">
        <v>11198</v>
      </c>
    </row>
    <row r="3535" spans="1:2" ht="15">
      <c r="A3535" s="77" t="s">
        <v>7443</v>
      </c>
      <c r="B3535" s="76" t="s">
        <v>11198</v>
      </c>
    </row>
    <row r="3536" spans="1:2" ht="15">
      <c r="A3536" s="77" t="s">
        <v>7444</v>
      </c>
      <c r="B3536" s="76" t="s">
        <v>11198</v>
      </c>
    </row>
    <row r="3537" spans="1:2" ht="15">
      <c r="A3537" s="77" t="s">
        <v>7445</v>
      </c>
      <c r="B3537" s="76" t="s">
        <v>11198</v>
      </c>
    </row>
    <row r="3538" spans="1:2" ht="15">
      <c r="A3538" s="77" t="s">
        <v>7446</v>
      </c>
      <c r="B3538" s="76" t="s">
        <v>11198</v>
      </c>
    </row>
    <row r="3539" spans="1:2" ht="15">
      <c r="A3539" s="77" t="s">
        <v>7447</v>
      </c>
      <c r="B3539" s="76" t="s">
        <v>11198</v>
      </c>
    </row>
    <row r="3540" spans="1:2" ht="15">
      <c r="A3540" s="77" t="s">
        <v>7448</v>
      </c>
      <c r="B3540" s="76" t="s">
        <v>11198</v>
      </c>
    </row>
    <row r="3541" spans="1:2" ht="15">
      <c r="A3541" s="77" t="s">
        <v>7449</v>
      </c>
      <c r="B3541" s="76" t="s">
        <v>11198</v>
      </c>
    </row>
    <row r="3542" spans="1:2" ht="15">
      <c r="A3542" s="77" t="s">
        <v>7450</v>
      </c>
      <c r="B3542" s="76" t="s">
        <v>11198</v>
      </c>
    </row>
    <row r="3543" spans="1:2" ht="15">
      <c r="A3543" s="77" t="s">
        <v>7451</v>
      </c>
      <c r="B3543" s="76" t="s">
        <v>11198</v>
      </c>
    </row>
    <row r="3544" spans="1:2" ht="15">
      <c r="A3544" s="77" t="s">
        <v>7452</v>
      </c>
      <c r="B3544" s="76" t="s">
        <v>11198</v>
      </c>
    </row>
    <row r="3545" spans="1:2" ht="15">
      <c r="A3545" s="77" t="s">
        <v>7453</v>
      </c>
      <c r="B3545" s="76" t="s">
        <v>11198</v>
      </c>
    </row>
    <row r="3546" spans="1:2" ht="15">
      <c r="A3546" s="77" t="s">
        <v>7454</v>
      </c>
      <c r="B3546" s="76" t="s">
        <v>11198</v>
      </c>
    </row>
    <row r="3547" spans="1:2" ht="15">
      <c r="A3547" s="77" t="s">
        <v>7455</v>
      </c>
      <c r="B3547" s="76" t="s">
        <v>11198</v>
      </c>
    </row>
    <row r="3548" spans="1:2" ht="15">
      <c r="A3548" s="77" t="s">
        <v>7456</v>
      </c>
      <c r="B3548" s="76" t="s">
        <v>11198</v>
      </c>
    </row>
    <row r="3549" spans="1:2" ht="15">
      <c r="A3549" s="77" t="s">
        <v>7457</v>
      </c>
      <c r="B3549" s="76" t="s">
        <v>11198</v>
      </c>
    </row>
    <row r="3550" spans="1:2" ht="15">
      <c r="A3550" s="77" t="s">
        <v>7458</v>
      </c>
      <c r="B3550" s="76" t="s">
        <v>11198</v>
      </c>
    </row>
    <row r="3551" spans="1:2" ht="15">
      <c r="A3551" s="77" t="s">
        <v>7459</v>
      </c>
      <c r="B3551" s="76" t="s">
        <v>11198</v>
      </c>
    </row>
    <row r="3552" spans="1:2" ht="15">
      <c r="A3552" s="77" t="s">
        <v>7460</v>
      </c>
      <c r="B3552" s="76" t="s">
        <v>11198</v>
      </c>
    </row>
    <row r="3553" spans="1:2" ht="15">
      <c r="A3553" s="77" t="s">
        <v>7461</v>
      </c>
      <c r="B3553" s="76" t="s">
        <v>11198</v>
      </c>
    </row>
    <row r="3554" spans="1:2" ht="15">
      <c r="A3554" s="77" t="s">
        <v>7462</v>
      </c>
      <c r="B3554" s="76" t="s">
        <v>11198</v>
      </c>
    </row>
    <row r="3555" spans="1:2" ht="15">
      <c r="A3555" s="77" t="s">
        <v>7463</v>
      </c>
      <c r="B3555" s="76" t="s">
        <v>11198</v>
      </c>
    </row>
    <row r="3556" spans="1:2" ht="15">
      <c r="A3556" s="77" t="s">
        <v>7464</v>
      </c>
      <c r="B3556" s="76" t="s">
        <v>11198</v>
      </c>
    </row>
    <row r="3557" spans="1:2" ht="15">
      <c r="A3557" s="77" t="s">
        <v>7465</v>
      </c>
      <c r="B3557" s="76" t="s">
        <v>11198</v>
      </c>
    </row>
    <row r="3558" spans="1:2" ht="15">
      <c r="A3558" s="77" t="s">
        <v>7466</v>
      </c>
      <c r="B3558" s="76" t="s">
        <v>11198</v>
      </c>
    </row>
    <row r="3559" spans="1:2" ht="15">
      <c r="A3559" s="77" t="s">
        <v>7467</v>
      </c>
      <c r="B3559" s="76" t="s">
        <v>11198</v>
      </c>
    </row>
    <row r="3560" spans="1:2" ht="15">
      <c r="A3560" s="77" t="s">
        <v>7468</v>
      </c>
      <c r="B3560" s="76" t="s">
        <v>11198</v>
      </c>
    </row>
    <row r="3561" spans="1:2" ht="15">
      <c r="A3561" s="77" t="s">
        <v>7469</v>
      </c>
      <c r="B3561" s="76" t="s">
        <v>11198</v>
      </c>
    </row>
    <row r="3562" spans="1:2" ht="15">
      <c r="A3562" s="77" t="s">
        <v>7470</v>
      </c>
      <c r="B3562" s="76" t="s">
        <v>11198</v>
      </c>
    </row>
    <row r="3563" spans="1:2" ht="15">
      <c r="A3563" s="77" t="s">
        <v>7471</v>
      </c>
      <c r="B3563" s="76" t="s">
        <v>11198</v>
      </c>
    </row>
    <row r="3564" spans="1:2" ht="15">
      <c r="A3564" s="77" t="s">
        <v>7472</v>
      </c>
      <c r="B3564" s="76" t="s">
        <v>11198</v>
      </c>
    </row>
    <row r="3565" spans="1:2" ht="15">
      <c r="A3565" s="77" t="s">
        <v>7473</v>
      </c>
      <c r="B3565" s="76" t="s">
        <v>11198</v>
      </c>
    </row>
    <row r="3566" spans="1:2" ht="15">
      <c r="A3566" s="77" t="s">
        <v>7474</v>
      </c>
      <c r="B3566" s="76" t="s">
        <v>11198</v>
      </c>
    </row>
    <row r="3567" spans="1:2" ht="15">
      <c r="A3567" s="77" t="s">
        <v>7475</v>
      </c>
      <c r="B3567" s="76" t="s">
        <v>11198</v>
      </c>
    </row>
    <row r="3568" spans="1:2" ht="15">
      <c r="A3568" s="77" t="s">
        <v>7476</v>
      </c>
      <c r="B3568" s="76" t="s">
        <v>11198</v>
      </c>
    </row>
    <row r="3569" spans="1:2" ht="15">
      <c r="A3569" s="77" t="s">
        <v>7477</v>
      </c>
      <c r="B3569" s="76" t="s">
        <v>11198</v>
      </c>
    </row>
    <row r="3570" spans="1:2" ht="15">
      <c r="A3570" s="77" t="s">
        <v>7478</v>
      </c>
      <c r="B3570" s="76" t="s">
        <v>11198</v>
      </c>
    </row>
    <row r="3571" spans="1:2" ht="15">
      <c r="A3571" s="77" t="s">
        <v>7479</v>
      </c>
      <c r="B3571" s="76" t="s">
        <v>11198</v>
      </c>
    </row>
    <row r="3572" spans="1:2" ht="15">
      <c r="A3572" s="77" t="s">
        <v>7480</v>
      </c>
      <c r="B3572" s="76" t="s">
        <v>11198</v>
      </c>
    </row>
    <row r="3573" spans="1:2" ht="15">
      <c r="A3573" s="77" t="s">
        <v>7481</v>
      </c>
      <c r="B3573" s="76" t="s">
        <v>11198</v>
      </c>
    </row>
    <row r="3574" spans="1:2" ht="15">
      <c r="A3574" s="77" t="s">
        <v>7482</v>
      </c>
      <c r="B3574" s="76" t="s">
        <v>11198</v>
      </c>
    </row>
    <row r="3575" spans="1:2" ht="15">
      <c r="A3575" s="77" t="s">
        <v>7483</v>
      </c>
      <c r="B3575" s="76" t="s">
        <v>11198</v>
      </c>
    </row>
    <row r="3576" spans="1:2" ht="15">
      <c r="A3576" s="77" t="s">
        <v>7484</v>
      </c>
      <c r="B3576" s="76" t="s">
        <v>11198</v>
      </c>
    </row>
    <row r="3577" spans="1:2" ht="15">
      <c r="A3577" s="77" t="s">
        <v>7485</v>
      </c>
      <c r="B3577" s="76" t="s">
        <v>11198</v>
      </c>
    </row>
    <row r="3578" spans="1:2" ht="15">
      <c r="A3578" s="77" t="s">
        <v>7486</v>
      </c>
      <c r="B3578" s="76" t="s">
        <v>11198</v>
      </c>
    </row>
    <row r="3579" spans="1:2" ht="15">
      <c r="A3579" s="77" t="s">
        <v>7487</v>
      </c>
      <c r="B3579" s="76" t="s">
        <v>11198</v>
      </c>
    </row>
    <row r="3580" spans="1:2" ht="15">
      <c r="A3580" s="77" t="s">
        <v>7488</v>
      </c>
      <c r="B3580" s="76" t="s">
        <v>11198</v>
      </c>
    </row>
    <row r="3581" spans="1:2" ht="15">
      <c r="A3581" s="77" t="s">
        <v>7489</v>
      </c>
      <c r="B3581" s="76" t="s">
        <v>11198</v>
      </c>
    </row>
    <row r="3582" spans="1:2" ht="15">
      <c r="A3582" s="77" t="s">
        <v>7490</v>
      </c>
      <c r="B3582" s="76" t="s">
        <v>11198</v>
      </c>
    </row>
    <row r="3583" spans="1:2" ht="15">
      <c r="A3583" s="77" t="s">
        <v>7491</v>
      </c>
      <c r="B3583" s="76" t="s">
        <v>11198</v>
      </c>
    </row>
    <row r="3584" spans="1:2" ht="15">
      <c r="A3584" s="77" t="s">
        <v>7492</v>
      </c>
      <c r="B3584" s="76" t="s">
        <v>11198</v>
      </c>
    </row>
    <row r="3585" spans="1:2" ht="15">
      <c r="A3585" s="77" t="s">
        <v>7493</v>
      </c>
      <c r="B3585" s="76" t="s">
        <v>11198</v>
      </c>
    </row>
    <row r="3586" spans="1:2" ht="15">
      <c r="A3586" s="77" t="s">
        <v>7494</v>
      </c>
      <c r="B3586" s="76" t="s">
        <v>11198</v>
      </c>
    </row>
    <row r="3587" spans="1:2" ht="15">
      <c r="A3587" s="77" t="s">
        <v>7495</v>
      </c>
      <c r="B3587" s="76" t="s">
        <v>11198</v>
      </c>
    </row>
    <row r="3588" spans="1:2" ht="15">
      <c r="A3588" s="77" t="s">
        <v>7496</v>
      </c>
      <c r="B3588" s="76" t="s">
        <v>11198</v>
      </c>
    </row>
    <row r="3589" spans="1:2" ht="15">
      <c r="A3589" s="77" t="s">
        <v>7497</v>
      </c>
      <c r="B3589" s="76" t="s">
        <v>11198</v>
      </c>
    </row>
    <row r="3590" spans="1:2" ht="15">
      <c r="A3590" s="77" t="s">
        <v>7498</v>
      </c>
      <c r="B3590" s="76" t="s">
        <v>11198</v>
      </c>
    </row>
    <row r="3591" spans="1:2" ht="15">
      <c r="A3591" s="77" t="s">
        <v>7499</v>
      </c>
      <c r="B3591" s="76" t="s">
        <v>11198</v>
      </c>
    </row>
    <row r="3592" spans="1:2" ht="15">
      <c r="A3592" s="77" t="s">
        <v>7500</v>
      </c>
      <c r="B3592" s="76" t="s">
        <v>11198</v>
      </c>
    </row>
    <row r="3593" spans="1:2" ht="15">
      <c r="A3593" s="77" t="s">
        <v>7501</v>
      </c>
      <c r="B3593" s="76" t="s">
        <v>11198</v>
      </c>
    </row>
    <row r="3594" spans="1:2" ht="15">
      <c r="A3594" s="77" t="s">
        <v>7502</v>
      </c>
      <c r="B3594" s="76" t="s">
        <v>11198</v>
      </c>
    </row>
    <row r="3595" spans="1:2" ht="15">
      <c r="A3595" s="77" t="s">
        <v>7503</v>
      </c>
      <c r="B3595" s="76" t="s">
        <v>11198</v>
      </c>
    </row>
    <row r="3596" spans="1:2" ht="15">
      <c r="A3596" s="77" t="s">
        <v>7504</v>
      </c>
      <c r="B3596" s="76" t="s">
        <v>11198</v>
      </c>
    </row>
    <row r="3597" spans="1:2" ht="15">
      <c r="A3597" s="77" t="s">
        <v>7505</v>
      </c>
      <c r="B3597" s="76" t="s">
        <v>11198</v>
      </c>
    </row>
    <row r="3598" spans="1:2" ht="15">
      <c r="A3598" s="77" t="s">
        <v>7506</v>
      </c>
      <c r="B3598" s="76" t="s">
        <v>11198</v>
      </c>
    </row>
    <row r="3599" spans="1:2" ht="15">
      <c r="A3599" s="77" t="s">
        <v>7507</v>
      </c>
      <c r="B3599" s="76" t="s">
        <v>11198</v>
      </c>
    </row>
    <row r="3600" spans="1:2" ht="15">
      <c r="A3600" s="77" t="s">
        <v>7508</v>
      </c>
      <c r="B3600" s="76" t="s">
        <v>11198</v>
      </c>
    </row>
    <row r="3601" spans="1:2" ht="15">
      <c r="A3601" s="77" t="s">
        <v>7509</v>
      </c>
      <c r="B3601" s="76" t="s">
        <v>11198</v>
      </c>
    </row>
    <row r="3602" spans="1:2" ht="15">
      <c r="A3602" s="77" t="s">
        <v>7510</v>
      </c>
      <c r="B3602" s="76" t="s">
        <v>11198</v>
      </c>
    </row>
    <row r="3603" spans="1:2" ht="15">
      <c r="A3603" s="77" t="s">
        <v>7511</v>
      </c>
      <c r="B3603" s="76" t="s">
        <v>11198</v>
      </c>
    </row>
    <row r="3604" spans="1:2" ht="15">
      <c r="A3604" s="77" t="s">
        <v>7512</v>
      </c>
      <c r="B3604" s="76" t="s">
        <v>11198</v>
      </c>
    </row>
    <row r="3605" spans="1:2" ht="15">
      <c r="A3605" s="77" t="s">
        <v>7513</v>
      </c>
      <c r="B3605" s="76" t="s">
        <v>11198</v>
      </c>
    </row>
    <row r="3606" spans="1:2" ht="15">
      <c r="A3606" s="77" t="s">
        <v>7514</v>
      </c>
      <c r="B3606" s="76" t="s">
        <v>11198</v>
      </c>
    </row>
    <row r="3607" spans="1:2" ht="15">
      <c r="A3607" s="77" t="s">
        <v>7515</v>
      </c>
      <c r="B3607" s="76" t="s">
        <v>11198</v>
      </c>
    </row>
    <row r="3608" spans="1:2" ht="15">
      <c r="A3608" s="77" t="s">
        <v>7516</v>
      </c>
      <c r="B3608" s="76" t="s">
        <v>11198</v>
      </c>
    </row>
    <row r="3609" spans="1:2" ht="15">
      <c r="A3609" s="77" t="s">
        <v>7517</v>
      </c>
      <c r="B3609" s="76" t="s">
        <v>11198</v>
      </c>
    </row>
    <row r="3610" spans="1:2" ht="15">
      <c r="A3610" s="77" t="s">
        <v>7518</v>
      </c>
      <c r="B3610" s="76" t="s">
        <v>11198</v>
      </c>
    </row>
    <row r="3611" spans="1:2" ht="15">
      <c r="A3611" s="77" t="s">
        <v>7519</v>
      </c>
      <c r="B3611" s="76" t="s">
        <v>11198</v>
      </c>
    </row>
    <row r="3612" spans="1:2" ht="15">
      <c r="A3612" s="77" t="s">
        <v>7520</v>
      </c>
      <c r="B3612" s="76" t="s">
        <v>11198</v>
      </c>
    </row>
    <row r="3613" spans="1:2" ht="15">
      <c r="A3613" s="77" t="s">
        <v>7521</v>
      </c>
      <c r="B3613" s="76" t="s">
        <v>11198</v>
      </c>
    </row>
    <row r="3614" spans="1:2" ht="15">
      <c r="A3614" s="77" t="s">
        <v>7522</v>
      </c>
      <c r="B3614" s="76" t="s">
        <v>11198</v>
      </c>
    </row>
    <row r="3615" spans="1:2" ht="15">
      <c r="A3615" s="77" t="s">
        <v>7523</v>
      </c>
      <c r="B3615" s="76" t="s">
        <v>11198</v>
      </c>
    </row>
    <row r="3616" spans="1:2" ht="15">
      <c r="A3616" s="77" t="s">
        <v>7524</v>
      </c>
      <c r="B3616" s="76" t="s">
        <v>11198</v>
      </c>
    </row>
    <row r="3617" spans="1:2" ht="15">
      <c r="A3617" s="77" t="s">
        <v>7525</v>
      </c>
      <c r="B3617" s="76" t="s">
        <v>11198</v>
      </c>
    </row>
    <row r="3618" spans="1:2" ht="15">
      <c r="A3618" s="77" t="s">
        <v>7526</v>
      </c>
      <c r="B3618" s="76" t="s">
        <v>11198</v>
      </c>
    </row>
    <row r="3619" spans="1:2" ht="15">
      <c r="A3619" s="77" t="s">
        <v>7527</v>
      </c>
      <c r="B3619" s="76" t="s">
        <v>11198</v>
      </c>
    </row>
    <row r="3620" spans="1:2" ht="15">
      <c r="A3620" s="77" t="s">
        <v>7528</v>
      </c>
      <c r="B3620" s="76" t="s">
        <v>11198</v>
      </c>
    </row>
    <row r="3621" spans="1:2" ht="15">
      <c r="A3621" s="77" t="s">
        <v>7529</v>
      </c>
      <c r="B3621" s="76" t="s">
        <v>11198</v>
      </c>
    </row>
    <row r="3622" spans="1:2" ht="15">
      <c r="A3622" s="77" t="s">
        <v>7530</v>
      </c>
      <c r="B3622" s="76" t="s">
        <v>11198</v>
      </c>
    </row>
    <row r="3623" spans="1:2" ht="15">
      <c r="A3623" s="77" t="s">
        <v>7531</v>
      </c>
      <c r="B3623" s="76" t="s">
        <v>11198</v>
      </c>
    </row>
    <row r="3624" spans="1:2" ht="15">
      <c r="A3624" s="77" t="s">
        <v>7532</v>
      </c>
      <c r="B3624" s="76" t="s">
        <v>11198</v>
      </c>
    </row>
    <row r="3625" spans="1:2" ht="15">
      <c r="A3625" s="77" t="s">
        <v>7533</v>
      </c>
      <c r="B3625" s="76" t="s">
        <v>11198</v>
      </c>
    </row>
    <row r="3626" spans="1:2" ht="15">
      <c r="A3626" s="77" t="s">
        <v>7534</v>
      </c>
      <c r="B3626" s="76" t="s">
        <v>11198</v>
      </c>
    </row>
    <row r="3627" spans="1:2" ht="15">
      <c r="A3627" s="77" t="s">
        <v>7535</v>
      </c>
      <c r="B3627" s="76" t="s">
        <v>11198</v>
      </c>
    </row>
    <row r="3628" spans="1:2" ht="15">
      <c r="A3628" s="77" t="s">
        <v>7536</v>
      </c>
      <c r="B3628" s="76" t="s">
        <v>11198</v>
      </c>
    </row>
    <row r="3629" spans="1:2" ht="15">
      <c r="A3629" s="77" t="s">
        <v>7537</v>
      </c>
      <c r="B3629" s="76" t="s">
        <v>11198</v>
      </c>
    </row>
    <row r="3630" spans="1:2" ht="15">
      <c r="A3630" s="77" t="s">
        <v>7538</v>
      </c>
      <c r="B3630" s="76" t="s">
        <v>11198</v>
      </c>
    </row>
    <row r="3631" spans="1:2" ht="15">
      <c r="A3631" s="77" t="s">
        <v>7539</v>
      </c>
      <c r="B3631" s="76" t="s">
        <v>11198</v>
      </c>
    </row>
    <row r="3632" spans="1:2" ht="15">
      <c r="A3632" s="77" t="s">
        <v>7540</v>
      </c>
      <c r="B3632" s="76" t="s">
        <v>11198</v>
      </c>
    </row>
    <row r="3633" spans="1:2" ht="15">
      <c r="A3633" s="77" t="s">
        <v>7541</v>
      </c>
      <c r="B3633" s="76" t="s">
        <v>11198</v>
      </c>
    </row>
    <row r="3634" spans="1:2" ht="15">
      <c r="A3634" s="77" t="s">
        <v>7542</v>
      </c>
      <c r="B3634" s="76" t="s">
        <v>11198</v>
      </c>
    </row>
    <row r="3635" spans="1:2" ht="15">
      <c r="A3635" s="77" t="s">
        <v>7543</v>
      </c>
      <c r="B3635" s="76" t="s">
        <v>11198</v>
      </c>
    </row>
    <row r="3636" spans="1:2" ht="15">
      <c r="A3636" s="77" t="s">
        <v>7544</v>
      </c>
      <c r="B3636" s="76" t="s">
        <v>11198</v>
      </c>
    </row>
    <row r="3637" spans="1:2" ht="15">
      <c r="A3637" s="77" t="s">
        <v>7545</v>
      </c>
      <c r="B3637" s="76" t="s">
        <v>11198</v>
      </c>
    </row>
    <row r="3638" spans="1:2" ht="15">
      <c r="A3638" s="77" t="s">
        <v>7546</v>
      </c>
      <c r="B3638" s="76" t="s">
        <v>11198</v>
      </c>
    </row>
    <row r="3639" spans="1:2" ht="15">
      <c r="A3639" s="77" t="s">
        <v>7547</v>
      </c>
      <c r="B3639" s="76" t="s">
        <v>11198</v>
      </c>
    </row>
    <row r="3640" spans="1:2" ht="15">
      <c r="A3640" s="77" t="s">
        <v>7548</v>
      </c>
      <c r="B3640" s="76" t="s">
        <v>11198</v>
      </c>
    </row>
    <row r="3641" spans="1:2" ht="15">
      <c r="A3641" s="77" t="s">
        <v>7549</v>
      </c>
      <c r="B3641" s="76" t="s">
        <v>11198</v>
      </c>
    </row>
    <row r="3642" spans="1:2" ht="15">
      <c r="A3642" s="77" t="s">
        <v>7550</v>
      </c>
      <c r="B3642" s="76" t="s">
        <v>11198</v>
      </c>
    </row>
    <row r="3643" spans="1:2" ht="15">
      <c r="A3643" s="77" t="s">
        <v>7551</v>
      </c>
      <c r="B3643" s="76" t="s">
        <v>11198</v>
      </c>
    </row>
    <row r="3644" spans="1:2" ht="15">
      <c r="A3644" s="77" t="s">
        <v>7552</v>
      </c>
      <c r="B3644" s="76" t="s">
        <v>11198</v>
      </c>
    </row>
    <row r="3645" spans="1:2" ht="15">
      <c r="A3645" s="77" t="s">
        <v>7553</v>
      </c>
      <c r="B3645" s="76" t="s">
        <v>11198</v>
      </c>
    </row>
    <row r="3646" spans="1:2" ht="15">
      <c r="A3646" s="77" t="s">
        <v>7554</v>
      </c>
      <c r="B3646" s="76" t="s">
        <v>11198</v>
      </c>
    </row>
    <row r="3647" spans="1:2" ht="15">
      <c r="A3647" s="77" t="s">
        <v>7555</v>
      </c>
      <c r="B3647" s="76" t="s">
        <v>11198</v>
      </c>
    </row>
    <row r="3648" spans="1:2" ht="15">
      <c r="A3648" s="77" t="s">
        <v>7556</v>
      </c>
      <c r="B3648" s="76" t="s">
        <v>11198</v>
      </c>
    </row>
    <row r="3649" spans="1:2" ht="15">
      <c r="A3649" s="77" t="s">
        <v>7557</v>
      </c>
      <c r="B3649" s="76" t="s">
        <v>11198</v>
      </c>
    </row>
    <row r="3650" spans="1:2" ht="15">
      <c r="A3650" s="77" t="s">
        <v>7558</v>
      </c>
      <c r="B3650" s="76" t="s">
        <v>11198</v>
      </c>
    </row>
    <row r="3651" spans="1:2" ht="15">
      <c r="A3651" s="77" t="s">
        <v>7559</v>
      </c>
      <c r="B3651" s="76" t="s">
        <v>11198</v>
      </c>
    </row>
    <row r="3652" spans="1:2" ht="15">
      <c r="A3652" s="77" t="s">
        <v>7560</v>
      </c>
      <c r="B3652" s="76" t="s">
        <v>11198</v>
      </c>
    </row>
    <row r="3653" spans="1:2" ht="15">
      <c r="A3653" s="77" t="s">
        <v>7561</v>
      </c>
      <c r="B3653" s="76" t="s">
        <v>11198</v>
      </c>
    </row>
    <row r="3654" spans="1:2" ht="15">
      <c r="A3654" s="77" t="s">
        <v>7562</v>
      </c>
      <c r="B3654" s="76" t="s">
        <v>11198</v>
      </c>
    </row>
    <row r="3655" spans="1:2" ht="15">
      <c r="A3655" s="77" t="s">
        <v>7563</v>
      </c>
      <c r="B3655" s="76" t="s">
        <v>11198</v>
      </c>
    </row>
    <row r="3656" spans="1:2" ht="15">
      <c r="A3656" s="77" t="s">
        <v>7564</v>
      </c>
      <c r="B3656" s="76" t="s">
        <v>11198</v>
      </c>
    </row>
    <row r="3657" spans="1:2" ht="15">
      <c r="A3657" s="77" t="s">
        <v>7565</v>
      </c>
      <c r="B3657" s="76" t="s">
        <v>11198</v>
      </c>
    </row>
    <row r="3658" spans="1:2" ht="15">
      <c r="A3658" s="77" t="s">
        <v>7566</v>
      </c>
      <c r="B3658" s="76" t="s">
        <v>11198</v>
      </c>
    </row>
    <row r="3659" spans="1:2" ht="15">
      <c r="A3659" s="77" t="s">
        <v>7567</v>
      </c>
      <c r="B3659" s="76" t="s">
        <v>11198</v>
      </c>
    </row>
    <row r="3660" spans="1:2" ht="15">
      <c r="A3660" s="77" t="s">
        <v>7568</v>
      </c>
      <c r="B3660" s="76" t="s">
        <v>11198</v>
      </c>
    </row>
    <row r="3661" spans="1:2" ht="15">
      <c r="A3661" s="77" t="s">
        <v>7569</v>
      </c>
      <c r="B3661" s="76" t="s">
        <v>11198</v>
      </c>
    </row>
    <row r="3662" spans="1:2" ht="15">
      <c r="A3662" s="77" t="s">
        <v>7570</v>
      </c>
      <c r="B3662" s="76" t="s">
        <v>11198</v>
      </c>
    </row>
    <row r="3663" spans="1:2" ht="15">
      <c r="A3663" s="77" t="s">
        <v>7571</v>
      </c>
      <c r="B3663" s="76" t="s">
        <v>11198</v>
      </c>
    </row>
    <row r="3664" spans="1:2" ht="15">
      <c r="A3664" s="77" t="s">
        <v>7572</v>
      </c>
      <c r="B3664" s="76" t="s">
        <v>11198</v>
      </c>
    </row>
    <row r="3665" spans="1:2" ht="15">
      <c r="A3665" s="77" t="s">
        <v>7573</v>
      </c>
      <c r="B3665" s="76" t="s">
        <v>11198</v>
      </c>
    </row>
    <row r="3666" spans="1:2" ht="15">
      <c r="A3666" s="77" t="s">
        <v>7574</v>
      </c>
      <c r="B3666" s="76" t="s">
        <v>11198</v>
      </c>
    </row>
    <row r="3667" spans="1:2" ht="15">
      <c r="A3667" s="77" t="s">
        <v>7575</v>
      </c>
      <c r="B3667" s="76" t="s">
        <v>11198</v>
      </c>
    </row>
    <row r="3668" spans="1:2" ht="15">
      <c r="A3668" s="77" t="s">
        <v>7576</v>
      </c>
      <c r="B3668" s="76" t="s">
        <v>11198</v>
      </c>
    </row>
    <row r="3669" spans="1:2" ht="15">
      <c r="A3669" s="77" t="s">
        <v>7577</v>
      </c>
      <c r="B3669" s="76" t="s">
        <v>11198</v>
      </c>
    </row>
    <row r="3670" spans="1:2" ht="15">
      <c r="A3670" s="77" t="s">
        <v>7578</v>
      </c>
      <c r="B3670" s="76" t="s">
        <v>11198</v>
      </c>
    </row>
    <row r="3671" spans="1:2" ht="15">
      <c r="A3671" s="77" t="s">
        <v>7579</v>
      </c>
      <c r="B3671" s="76" t="s">
        <v>11198</v>
      </c>
    </row>
    <row r="3672" spans="1:2" ht="15">
      <c r="A3672" s="77" t="s">
        <v>7580</v>
      </c>
      <c r="B3672" s="76" t="s">
        <v>11198</v>
      </c>
    </row>
    <row r="3673" spans="1:2" ht="15">
      <c r="A3673" s="77" t="s">
        <v>7581</v>
      </c>
      <c r="B3673" s="76" t="s">
        <v>11198</v>
      </c>
    </row>
    <row r="3674" spans="1:2" ht="15">
      <c r="A3674" s="77" t="s">
        <v>7582</v>
      </c>
      <c r="B3674" s="76" t="s">
        <v>11198</v>
      </c>
    </row>
    <row r="3675" spans="1:2" ht="15">
      <c r="A3675" s="77" t="s">
        <v>7583</v>
      </c>
      <c r="B3675" s="76" t="s">
        <v>11198</v>
      </c>
    </row>
    <row r="3676" spans="1:2" ht="15">
      <c r="A3676" s="77" t="s">
        <v>7584</v>
      </c>
      <c r="B3676" s="76" t="s">
        <v>11198</v>
      </c>
    </row>
    <row r="3677" spans="1:2" ht="15">
      <c r="A3677" s="77" t="s">
        <v>7585</v>
      </c>
      <c r="B3677" s="76" t="s">
        <v>11198</v>
      </c>
    </row>
    <row r="3678" spans="1:2" ht="15">
      <c r="A3678" s="77" t="s">
        <v>7586</v>
      </c>
      <c r="B3678" s="76" t="s">
        <v>11198</v>
      </c>
    </row>
    <row r="3679" spans="1:2" ht="15">
      <c r="A3679" s="77" t="s">
        <v>7587</v>
      </c>
      <c r="B3679" s="76" t="s">
        <v>11198</v>
      </c>
    </row>
    <row r="3680" spans="1:2" ht="15">
      <c r="A3680" s="77" t="s">
        <v>7588</v>
      </c>
      <c r="B3680" s="76" t="s">
        <v>11198</v>
      </c>
    </row>
    <row r="3681" spans="1:2" ht="15">
      <c r="A3681" s="77" t="s">
        <v>7589</v>
      </c>
      <c r="B3681" s="76" t="s">
        <v>11198</v>
      </c>
    </row>
    <row r="3682" spans="1:2" ht="15">
      <c r="A3682" s="77" t="s">
        <v>7590</v>
      </c>
      <c r="B3682" s="76" t="s">
        <v>11198</v>
      </c>
    </row>
    <row r="3683" spans="1:2" ht="15">
      <c r="A3683" s="77" t="s">
        <v>7591</v>
      </c>
      <c r="B3683" s="76" t="s">
        <v>11198</v>
      </c>
    </row>
    <row r="3684" spans="1:2" ht="15">
      <c r="A3684" s="77" t="s">
        <v>7592</v>
      </c>
      <c r="B3684" s="76" t="s">
        <v>11198</v>
      </c>
    </row>
    <row r="3685" spans="1:2" ht="15">
      <c r="A3685" s="77" t="s">
        <v>7593</v>
      </c>
      <c r="B3685" s="76" t="s">
        <v>11198</v>
      </c>
    </row>
    <row r="3686" spans="1:2" ht="15">
      <c r="A3686" s="77" t="s">
        <v>7594</v>
      </c>
      <c r="B3686" s="76" t="s">
        <v>11198</v>
      </c>
    </row>
    <row r="3687" spans="1:2" ht="15">
      <c r="A3687" s="77" t="s">
        <v>7595</v>
      </c>
      <c r="B3687" s="76" t="s">
        <v>11198</v>
      </c>
    </row>
    <row r="3688" spans="1:2" ht="15">
      <c r="A3688" s="77" t="s">
        <v>7596</v>
      </c>
      <c r="B3688" s="76" t="s">
        <v>11198</v>
      </c>
    </row>
    <row r="3689" spans="1:2" ht="15">
      <c r="A3689" s="77" t="s">
        <v>7597</v>
      </c>
      <c r="B3689" s="76" t="s">
        <v>11198</v>
      </c>
    </row>
    <row r="3690" spans="1:2" ht="15">
      <c r="A3690" s="77" t="s">
        <v>7598</v>
      </c>
      <c r="B3690" s="76" t="s">
        <v>11198</v>
      </c>
    </row>
    <row r="3691" spans="1:2" ht="15">
      <c r="A3691" s="77" t="s">
        <v>7599</v>
      </c>
      <c r="B3691" s="76" t="s">
        <v>11198</v>
      </c>
    </row>
    <row r="3692" spans="1:2" ht="15">
      <c r="A3692" s="77" t="s">
        <v>7600</v>
      </c>
      <c r="B3692" s="76" t="s">
        <v>11198</v>
      </c>
    </row>
    <row r="3693" spans="1:2" ht="15">
      <c r="A3693" s="77" t="s">
        <v>7601</v>
      </c>
      <c r="B3693" s="76" t="s">
        <v>11198</v>
      </c>
    </row>
    <row r="3694" spans="1:2" ht="15">
      <c r="A3694" s="77" t="s">
        <v>7602</v>
      </c>
      <c r="B3694" s="76" t="s">
        <v>11198</v>
      </c>
    </row>
    <row r="3695" spans="1:2" ht="15">
      <c r="A3695" s="77" t="s">
        <v>7603</v>
      </c>
      <c r="B3695" s="76" t="s">
        <v>11198</v>
      </c>
    </row>
    <row r="3696" spans="1:2" ht="15">
      <c r="A3696" s="77" t="s">
        <v>7604</v>
      </c>
      <c r="B3696" s="76" t="s">
        <v>11198</v>
      </c>
    </row>
    <row r="3697" spans="1:2" ht="15">
      <c r="A3697" s="77" t="s">
        <v>7605</v>
      </c>
      <c r="B3697" s="76" t="s">
        <v>11198</v>
      </c>
    </row>
    <row r="3698" spans="1:2" ht="15">
      <c r="A3698" s="77" t="s">
        <v>7606</v>
      </c>
      <c r="B3698" s="76" t="s">
        <v>11198</v>
      </c>
    </row>
    <row r="3699" spans="1:2" ht="15">
      <c r="A3699" s="77" t="s">
        <v>7607</v>
      </c>
      <c r="B3699" s="76" t="s">
        <v>11198</v>
      </c>
    </row>
    <row r="3700" spans="1:2" ht="15">
      <c r="A3700" s="77" t="s">
        <v>7608</v>
      </c>
      <c r="B3700" s="76" t="s">
        <v>11198</v>
      </c>
    </row>
    <row r="3701" spans="1:2" ht="15">
      <c r="A3701" s="77" t="s">
        <v>7609</v>
      </c>
      <c r="B3701" s="76" t="s">
        <v>11198</v>
      </c>
    </row>
    <row r="3702" spans="1:2" ht="15">
      <c r="A3702" s="77" t="s">
        <v>7610</v>
      </c>
      <c r="B3702" s="76" t="s">
        <v>11198</v>
      </c>
    </row>
    <row r="3703" spans="1:2" ht="15">
      <c r="A3703" s="77" t="s">
        <v>7611</v>
      </c>
      <c r="B3703" s="76" t="s">
        <v>11198</v>
      </c>
    </row>
    <row r="3704" spans="1:2" ht="15">
      <c r="A3704" s="77" t="s">
        <v>7612</v>
      </c>
      <c r="B3704" s="76" t="s">
        <v>11198</v>
      </c>
    </row>
    <row r="3705" spans="1:2" ht="15">
      <c r="A3705" s="77" t="s">
        <v>7613</v>
      </c>
      <c r="B3705" s="76" t="s">
        <v>11198</v>
      </c>
    </row>
    <row r="3706" spans="1:2" ht="15">
      <c r="A3706" s="77" t="s">
        <v>7614</v>
      </c>
      <c r="B3706" s="76" t="s">
        <v>11198</v>
      </c>
    </row>
    <row r="3707" spans="1:2" ht="15">
      <c r="A3707" s="77" t="s">
        <v>7615</v>
      </c>
      <c r="B3707" s="76" t="s">
        <v>11198</v>
      </c>
    </row>
    <row r="3708" spans="1:2" ht="15">
      <c r="A3708" s="77" t="s">
        <v>7616</v>
      </c>
      <c r="B3708" s="76" t="s">
        <v>11198</v>
      </c>
    </row>
    <row r="3709" spans="1:2" ht="15">
      <c r="A3709" s="77" t="s">
        <v>7617</v>
      </c>
      <c r="B3709" s="76" t="s">
        <v>11198</v>
      </c>
    </row>
    <row r="3710" spans="1:2" ht="15">
      <c r="A3710" s="77" t="s">
        <v>7618</v>
      </c>
      <c r="B3710" s="76" t="s">
        <v>11198</v>
      </c>
    </row>
    <row r="3711" spans="1:2" ht="15">
      <c r="A3711" s="77" t="s">
        <v>7619</v>
      </c>
      <c r="B3711" s="76" t="s">
        <v>11198</v>
      </c>
    </row>
    <row r="3712" spans="1:2" ht="15">
      <c r="A3712" s="77" t="s">
        <v>7620</v>
      </c>
      <c r="B3712" s="76" t="s">
        <v>11198</v>
      </c>
    </row>
    <row r="3713" spans="1:2" ht="15">
      <c r="A3713" s="77" t="s">
        <v>7621</v>
      </c>
      <c r="B3713" s="76" t="s">
        <v>11198</v>
      </c>
    </row>
    <row r="3714" spans="1:2" ht="15">
      <c r="A3714" s="77" t="s">
        <v>7622</v>
      </c>
      <c r="B3714" s="76" t="s">
        <v>11198</v>
      </c>
    </row>
    <row r="3715" spans="1:2" ht="15">
      <c r="A3715" s="77" t="s">
        <v>7623</v>
      </c>
      <c r="B3715" s="76" t="s">
        <v>11198</v>
      </c>
    </row>
    <row r="3716" spans="1:2" ht="15">
      <c r="A3716" s="77" t="s">
        <v>7624</v>
      </c>
      <c r="B3716" s="76" t="s">
        <v>11198</v>
      </c>
    </row>
    <row r="3717" spans="1:2" ht="15">
      <c r="A3717" s="77" t="s">
        <v>7625</v>
      </c>
      <c r="B3717" s="76" t="s">
        <v>11198</v>
      </c>
    </row>
    <row r="3718" spans="1:2" ht="15">
      <c r="A3718" s="77" t="s">
        <v>7626</v>
      </c>
      <c r="B3718" s="76" t="s">
        <v>11198</v>
      </c>
    </row>
    <row r="3719" spans="1:2" ht="15">
      <c r="A3719" s="77" t="s">
        <v>7627</v>
      </c>
      <c r="B3719" s="76" t="s">
        <v>11198</v>
      </c>
    </row>
    <row r="3720" spans="1:2" ht="15">
      <c r="A3720" s="77" t="s">
        <v>7628</v>
      </c>
      <c r="B3720" s="76" t="s">
        <v>11198</v>
      </c>
    </row>
    <row r="3721" spans="1:2" ht="15">
      <c r="A3721" s="77" t="s">
        <v>7629</v>
      </c>
      <c r="B3721" s="76" t="s">
        <v>11198</v>
      </c>
    </row>
    <row r="3722" spans="1:2" ht="15">
      <c r="A3722" s="77" t="s">
        <v>7630</v>
      </c>
      <c r="B3722" s="76" t="s">
        <v>11198</v>
      </c>
    </row>
    <row r="3723" spans="1:2" ht="15">
      <c r="A3723" s="77" t="s">
        <v>7631</v>
      </c>
      <c r="B3723" s="76" t="s">
        <v>11198</v>
      </c>
    </row>
    <row r="3724" spans="1:2" ht="15">
      <c r="A3724" s="77" t="s">
        <v>7632</v>
      </c>
      <c r="B3724" s="76" t="s">
        <v>11198</v>
      </c>
    </row>
    <row r="3725" spans="1:2" ht="15">
      <c r="A3725" s="77" t="s">
        <v>7633</v>
      </c>
      <c r="B3725" s="76" t="s">
        <v>11198</v>
      </c>
    </row>
    <row r="3726" spans="1:2" ht="15">
      <c r="A3726" s="77" t="s">
        <v>7634</v>
      </c>
      <c r="B3726" s="76" t="s">
        <v>11198</v>
      </c>
    </row>
    <row r="3727" spans="1:2" ht="15">
      <c r="A3727" s="77" t="s">
        <v>7635</v>
      </c>
      <c r="B3727" s="76" t="s">
        <v>11198</v>
      </c>
    </row>
    <row r="3728" spans="1:2" ht="15">
      <c r="A3728" s="77" t="s">
        <v>7636</v>
      </c>
      <c r="B3728" s="76" t="s">
        <v>11198</v>
      </c>
    </row>
    <row r="3729" spans="1:2" ht="15">
      <c r="A3729" s="77" t="s">
        <v>7637</v>
      </c>
      <c r="B3729" s="76" t="s">
        <v>11198</v>
      </c>
    </row>
    <row r="3730" spans="1:2" ht="15">
      <c r="A3730" s="77" t="s">
        <v>7638</v>
      </c>
      <c r="B3730" s="76" t="s">
        <v>11198</v>
      </c>
    </row>
    <row r="3731" spans="1:2" ht="15">
      <c r="A3731" s="77" t="s">
        <v>7639</v>
      </c>
      <c r="B3731" s="76" t="s">
        <v>11198</v>
      </c>
    </row>
    <row r="3732" spans="1:2" ht="15">
      <c r="A3732" s="77" t="s">
        <v>7640</v>
      </c>
      <c r="B3732" s="76" t="s">
        <v>11198</v>
      </c>
    </row>
    <row r="3733" spans="1:2" ht="15">
      <c r="A3733" s="77" t="s">
        <v>7641</v>
      </c>
      <c r="B3733" s="76" t="s">
        <v>11198</v>
      </c>
    </row>
    <row r="3734" spans="1:2" ht="15">
      <c r="A3734" s="77" t="s">
        <v>7642</v>
      </c>
      <c r="B3734" s="76" t="s">
        <v>11198</v>
      </c>
    </row>
    <row r="3735" spans="1:2" ht="15">
      <c r="A3735" s="77" t="s">
        <v>7643</v>
      </c>
      <c r="B3735" s="76" t="s">
        <v>11198</v>
      </c>
    </row>
    <row r="3736" spans="1:2" ht="15">
      <c r="A3736" s="77" t="s">
        <v>7644</v>
      </c>
      <c r="B3736" s="76" t="s">
        <v>11198</v>
      </c>
    </row>
    <row r="3737" spans="1:2" ht="15">
      <c r="A3737" s="77" t="s">
        <v>7645</v>
      </c>
      <c r="B3737" s="76" t="s">
        <v>11198</v>
      </c>
    </row>
    <row r="3738" spans="1:2" ht="15">
      <c r="A3738" s="77" t="s">
        <v>7646</v>
      </c>
      <c r="B3738" s="76" t="s">
        <v>11198</v>
      </c>
    </row>
    <row r="3739" spans="1:2" ht="15">
      <c r="A3739" s="77" t="s">
        <v>7647</v>
      </c>
      <c r="B3739" s="76" t="s">
        <v>11198</v>
      </c>
    </row>
    <row r="3740" spans="1:2" ht="15">
      <c r="A3740" s="77" t="s">
        <v>7648</v>
      </c>
      <c r="B3740" s="76" t="s">
        <v>11198</v>
      </c>
    </row>
    <row r="3741" spans="1:2" ht="15">
      <c r="A3741" s="77" t="s">
        <v>7649</v>
      </c>
      <c r="B3741" s="76" t="s">
        <v>11198</v>
      </c>
    </row>
    <row r="3742" spans="1:2" ht="15">
      <c r="A3742" s="77" t="s">
        <v>7650</v>
      </c>
      <c r="B3742" s="76" t="s">
        <v>11198</v>
      </c>
    </row>
    <row r="3743" spans="1:2" ht="15">
      <c r="A3743" s="77" t="s">
        <v>7651</v>
      </c>
      <c r="B3743" s="76" t="s">
        <v>11198</v>
      </c>
    </row>
    <row r="3744" spans="1:2" ht="15">
      <c r="A3744" s="77" t="s">
        <v>7652</v>
      </c>
      <c r="B3744" s="76" t="s">
        <v>11198</v>
      </c>
    </row>
    <row r="3745" spans="1:2" ht="15">
      <c r="A3745" s="77" t="s">
        <v>7653</v>
      </c>
      <c r="B3745" s="76" t="s">
        <v>11198</v>
      </c>
    </row>
    <row r="3746" spans="1:2" ht="15">
      <c r="A3746" s="77" t="s">
        <v>7654</v>
      </c>
      <c r="B3746" s="76" t="s">
        <v>11198</v>
      </c>
    </row>
    <row r="3747" spans="1:2" ht="15">
      <c r="A3747" s="77" t="s">
        <v>7655</v>
      </c>
      <c r="B3747" s="76" t="s">
        <v>11198</v>
      </c>
    </row>
    <row r="3748" spans="1:2" ht="15">
      <c r="A3748" s="77" t="s">
        <v>7656</v>
      </c>
      <c r="B3748" s="76" t="s">
        <v>11198</v>
      </c>
    </row>
    <row r="3749" spans="1:2" ht="15">
      <c r="A3749" s="77" t="s">
        <v>7657</v>
      </c>
      <c r="B3749" s="76" t="s">
        <v>11198</v>
      </c>
    </row>
    <row r="3750" spans="1:2" ht="15">
      <c r="A3750" s="77" t="s">
        <v>7658</v>
      </c>
      <c r="B3750" s="76" t="s">
        <v>11198</v>
      </c>
    </row>
    <row r="3751" spans="1:2" ht="15">
      <c r="A3751" s="77" t="s">
        <v>7659</v>
      </c>
      <c r="B3751" s="76" t="s">
        <v>11198</v>
      </c>
    </row>
    <row r="3752" spans="1:2" ht="15">
      <c r="A3752" s="77" t="s">
        <v>7660</v>
      </c>
      <c r="B3752" s="76" t="s">
        <v>11198</v>
      </c>
    </row>
    <row r="3753" spans="1:2" ht="15">
      <c r="A3753" s="77" t="s">
        <v>7661</v>
      </c>
      <c r="B3753" s="76" t="s">
        <v>11198</v>
      </c>
    </row>
    <row r="3754" spans="1:2" ht="15">
      <c r="A3754" s="77" t="s">
        <v>7662</v>
      </c>
      <c r="B3754" s="76" t="s">
        <v>11198</v>
      </c>
    </row>
    <row r="3755" spans="1:2" ht="15">
      <c r="A3755" s="77" t="s">
        <v>7663</v>
      </c>
      <c r="B3755" s="76" t="s">
        <v>11198</v>
      </c>
    </row>
    <row r="3756" spans="1:2" ht="15">
      <c r="A3756" s="77" t="s">
        <v>7664</v>
      </c>
      <c r="B3756" s="76" t="s">
        <v>11198</v>
      </c>
    </row>
    <row r="3757" spans="1:2" ht="15">
      <c r="A3757" s="77" t="s">
        <v>7665</v>
      </c>
      <c r="B3757" s="76" t="s">
        <v>11198</v>
      </c>
    </row>
    <row r="3758" spans="1:2" ht="15">
      <c r="A3758" s="77" t="s">
        <v>7666</v>
      </c>
      <c r="B3758" s="76" t="s">
        <v>11198</v>
      </c>
    </row>
    <row r="3759" spans="1:2" ht="15">
      <c r="A3759" s="77" t="s">
        <v>7667</v>
      </c>
      <c r="B3759" s="76" t="s">
        <v>11198</v>
      </c>
    </row>
    <row r="3760" spans="1:2" ht="15">
      <c r="A3760" s="77" t="s">
        <v>7668</v>
      </c>
      <c r="B3760" s="76" t="s">
        <v>11198</v>
      </c>
    </row>
    <row r="3761" spans="1:2" ht="15">
      <c r="A3761" s="77" t="s">
        <v>7669</v>
      </c>
      <c r="B3761" s="76" t="s">
        <v>11198</v>
      </c>
    </row>
    <row r="3762" spans="1:2" ht="15">
      <c r="A3762" s="77" t="s">
        <v>7670</v>
      </c>
      <c r="B3762" s="76" t="s">
        <v>11198</v>
      </c>
    </row>
    <row r="3763" spans="1:2" ht="15">
      <c r="A3763" s="77" t="s">
        <v>7671</v>
      </c>
      <c r="B3763" s="76" t="s">
        <v>11198</v>
      </c>
    </row>
    <row r="3764" spans="1:2" ht="15">
      <c r="A3764" s="77" t="s">
        <v>7672</v>
      </c>
      <c r="B3764" s="76" t="s">
        <v>11198</v>
      </c>
    </row>
    <row r="3765" spans="1:2" ht="15">
      <c r="A3765" s="77" t="s">
        <v>7673</v>
      </c>
      <c r="B3765" s="76" t="s">
        <v>11198</v>
      </c>
    </row>
    <row r="3766" spans="1:2" ht="15">
      <c r="A3766" s="77" t="s">
        <v>7674</v>
      </c>
      <c r="B3766" s="76" t="s">
        <v>11198</v>
      </c>
    </row>
    <row r="3767" spans="1:2" ht="15">
      <c r="A3767" s="77" t="s">
        <v>7675</v>
      </c>
      <c r="B3767" s="76" t="s">
        <v>11198</v>
      </c>
    </row>
    <row r="3768" spans="1:2" ht="15">
      <c r="A3768" s="77" t="s">
        <v>7676</v>
      </c>
      <c r="B3768" s="76" t="s">
        <v>11198</v>
      </c>
    </row>
    <row r="3769" spans="1:2" ht="15">
      <c r="A3769" s="77" t="s">
        <v>7677</v>
      </c>
      <c r="B3769" s="76" t="s">
        <v>11198</v>
      </c>
    </row>
    <row r="3770" spans="1:2" ht="15">
      <c r="A3770" s="77" t="s">
        <v>7678</v>
      </c>
      <c r="B3770" s="76" t="s">
        <v>11198</v>
      </c>
    </row>
    <row r="3771" spans="1:2" ht="15">
      <c r="A3771" s="77" t="s">
        <v>7679</v>
      </c>
      <c r="B3771" s="76" t="s">
        <v>11198</v>
      </c>
    </row>
    <row r="3772" spans="1:2" ht="15">
      <c r="A3772" s="77" t="s">
        <v>7680</v>
      </c>
      <c r="B3772" s="76" t="s">
        <v>11198</v>
      </c>
    </row>
    <row r="3773" spans="1:2" ht="15">
      <c r="A3773" s="77" t="s">
        <v>7681</v>
      </c>
      <c r="B3773" s="76" t="s">
        <v>11198</v>
      </c>
    </row>
    <row r="3774" spans="1:2" ht="15">
      <c r="A3774" s="77" t="s">
        <v>7682</v>
      </c>
      <c r="B3774" s="76" t="s">
        <v>11198</v>
      </c>
    </row>
    <row r="3775" spans="1:2" ht="15">
      <c r="A3775" s="77" t="s">
        <v>7683</v>
      </c>
      <c r="B3775" s="76" t="s">
        <v>11198</v>
      </c>
    </row>
    <row r="3776" spans="1:2" ht="15">
      <c r="A3776" s="77" t="s">
        <v>7684</v>
      </c>
      <c r="B3776" s="76" t="s">
        <v>11198</v>
      </c>
    </row>
    <row r="3777" spans="1:2" ht="15">
      <c r="A3777" s="77" t="s">
        <v>7685</v>
      </c>
      <c r="B3777" s="76" t="s">
        <v>11198</v>
      </c>
    </row>
    <row r="3778" spans="1:2" ht="15">
      <c r="A3778" s="77" t="s">
        <v>7686</v>
      </c>
      <c r="B3778" s="76" t="s">
        <v>11198</v>
      </c>
    </row>
    <row r="3779" spans="1:2" ht="15">
      <c r="A3779" s="77" t="s">
        <v>7687</v>
      </c>
      <c r="B3779" s="76" t="s">
        <v>11198</v>
      </c>
    </row>
    <row r="3780" spans="1:2" ht="15">
      <c r="A3780" s="77" t="s">
        <v>7688</v>
      </c>
      <c r="B3780" s="76" t="s">
        <v>11198</v>
      </c>
    </row>
    <row r="3781" spans="1:2" ht="15">
      <c r="A3781" s="77" t="s">
        <v>7689</v>
      </c>
      <c r="B3781" s="76" t="s">
        <v>11198</v>
      </c>
    </row>
    <row r="3782" spans="1:2" ht="15">
      <c r="A3782" s="77" t="s">
        <v>7690</v>
      </c>
      <c r="B3782" s="76" t="s">
        <v>11198</v>
      </c>
    </row>
    <row r="3783" spans="1:2" ht="15">
      <c r="A3783" s="77" t="s">
        <v>7691</v>
      </c>
      <c r="B3783" s="76" t="s">
        <v>11198</v>
      </c>
    </row>
    <row r="3784" spans="1:2" ht="15">
      <c r="A3784" s="77" t="s">
        <v>7692</v>
      </c>
      <c r="B3784" s="76" t="s">
        <v>11198</v>
      </c>
    </row>
    <row r="3785" spans="1:2" ht="15">
      <c r="A3785" s="77" t="s">
        <v>7693</v>
      </c>
      <c r="B3785" s="76" t="s">
        <v>11198</v>
      </c>
    </row>
    <row r="3786" spans="1:2" ht="15">
      <c r="A3786" s="77" t="s">
        <v>7694</v>
      </c>
      <c r="B3786" s="76" t="s">
        <v>11198</v>
      </c>
    </row>
    <row r="3787" spans="1:2" ht="15">
      <c r="A3787" s="77" t="s">
        <v>7695</v>
      </c>
      <c r="B3787" s="76" t="s">
        <v>11198</v>
      </c>
    </row>
    <row r="3788" spans="1:2" ht="15">
      <c r="A3788" s="77" t="s">
        <v>7696</v>
      </c>
      <c r="B3788" s="76" t="s">
        <v>11198</v>
      </c>
    </row>
    <row r="3789" spans="1:2" ht="15">
      <c r="A3789" s="77" t="s">
        <v>7697</v>
      </c>
      <c r="B3789" s="76" t="s">
        <v>11198</v>
      </c>
    </row>
    <row r="3790" spans="1:2" ht="15">
      <c r="A3790" s="77" t="s">
        <v>7698</v>
      </c>
      <c r="B3790" s="76" t="s">
        <v>11198</v>
      </c>
    </row>
    <row r="3791" spans="1:2" ht="15">
      <c r="A3791" s="77" t="s">
        <v>7699</v>
      </c>
      <c r="B3791" s="76" t="s">
        <v>11198</v>
      </c>
    </row>
    <row r="3792" spans="1:2" ht="15">
      <c r="A3792" s="77" t="s">
        <v>7700</v>
      </c>
      <c r="B3792" s="76" t="s">
        <v>11198</v>
      </c>
    </row>
    <row r="3793" spans="1:2" ht="15">
      <c r="A3793" s="77" t="s">
        <v>3738</v>
      </c>
      <c r="B3793" s="76" t="s">
        <v>11198</v>
      </c>
    </row>
    <row r="3794" spans="1:2" ht="15">
      <c r="A3794" s="77" t="s">
        <v>7701</v>
      </c>
      <c r="B3794" s="76" t="s">
        <v>11198</v>
      </c>
    </row>
    <row r="3795" spans="1:2" ht="15">
      <c r="A3795" s="77" t="s">
        <v>7702</v>
      </c>
      <c r="B3795" s="76" t="s">
        <v>11198</v>
      </c>
    </row>
    <row r="3796" spans="1:2" ht="15">
      <c r="A3796" s="77" t="s">
        <v>7703</v>
      </c>
      <c r="B3796" s="76" t="s">
        <v>11198</v>
      </c>
    </row>
    <row r="3797" spans="1:2" ht="15">
      <c r="A3797" s="77" t="s">
        <v>7704</v>
      </c>
      <c r="B3797" s="76" t="s">
        <v>11198</v>
      </c>
    </row>
    <row r="3798" spans="1:2" ht="15">
      <c r="A3798" s="77" t="s">
        <v>7705</v>
      </c>
      <c r="B3798" s="76" t="s">
        <v>11198</v>
      </c>
    </row>
    <row r="3799" spans="1:2" ht="15">
      <c r="A3799" s="77" t="s">
        <v>7706</v>
      </c>
      <c r="B3799" s="76" t="s">
        <v>11198</v>
      </c>
    </row>
    <row r="3800" spans="1:2" ht="15">
      <c r="A3800" s="77" t="s">
        <v>7707</v>
      </c>
      <c r="B3800" s="76" t="s">
        <v>11198</v>
      </c>
    </row>
    <row r="3801" spans="1:2" ht="15">
      <c r="A3801" s="77" t="s">
        <v>7708</v>
      </c>
      <c r="B3801" s="76" t="s">
        <v>11198</v>
      </c>
    </row>
    <row r="3802" spans="1:2" ht="15">
      <c r="A3802" s="77" t="s">
        <v>7709</v>
      </c>
      <c r="B3802" s="76" t="s">
        <v>11198</v>
      </c>
    </row>
    <row r="3803" spans="1:2" ht="15">
      <c r="A3803" s="77" t="s">
        <v>7710</v>
      </c>
      <c r="B3803" s="76" t="s">
        <v>11198</v>
      </c>
    </row>
    <row r="3804" spans="1:2" ht="15">
      <c r="A3804" s="77" t="s">
        <v>7711</v>
      </c>
      <c r="B3804" s="76" t="s">
        <v>11198</v>
      </c>
    </row>
    <row r="3805" spans="1:2" ht="15">
      <c r="A3805" s="77" t="s">
        <v>3555</v>
      </c>
      <c r="B3805" s="76" t="s">
        <v>11198</v>
      </c>
    </row>
    <row r="3806" spans="1:2" ht="15">
      <c r="A3806" s="77" t="s">
        <v>7712</v>
      </c>
      <c r="B3806" s="76" t="s">
        <v>11198</v>
      </c>
    </row>
    <row r="3807" spans="1:2" ht="15">
      <c r="A3807" s="77" t="s">
        <v>7713</v>
      </c>
      <c r="B3807" s="76" t="s">
        <v>11198</v>
      </c>
    </row>
    <row r="3808" spans="1:2" ht="15">
      <c r="A3808" s="77" t="s">
        <v>7714</v>
      </c>
      <c r="B3808" s="76" t="s">
        <v>11198</v>
      </c>
    </row>
    <row r="3809" spans="1:2" ht="15">
      <c r="A3809" s="77" t="s">
        <v>7715</v>
      </c>
      <c r="B3809" s="76" t="s">
        <v>11198</v>
      </c>
    </row>
    <row r="3810" spans="1:2" ht="15">
      <c r="A3810" s="77" t="s">
        <v>7716</v>
      </c>
      <c r="B3810" s="76" t="s">
        <v>11198</v>
      </c>
    </row>
    <row r="3811" spans="1:2" ht="15">
      <c r="A3811" s="77" t="s">
        <v>7717</v>
      </c>
      <c r="B3811" s="76" t="s">
        <v>11198</v>
      </c>
    </row>
    <row r="3812" spans="1:2" ht="15">
      <c r="A3812" s="77" t="s">
        <v>7718</v>
      </c>
      <c r="B3812" s="76" t="s">
        <v>11198</v>
      </c>
    </row>
    <row r="3813" spans="1:2" ht="15">
      <c r="A3813" s="77" t="s">
        <v>7719</v>
      </c>
      <c r="B3813" s="76" t="s">
        <v>11198</v>
      </c>
    </row>
    <row r="3814" spans="1:2" ht="15">
      <c r="A3814" s="77" t="s">
        <v>7720</v>
      </c>
      <c r="B3814" s="76" t="s">
        <v>11198</v>
      </c>
    </row>
    <row r="3815" spans="1:2" ht="15">
      <c r="A3815" s="77" t="s">
        <v>7721</v>
      </c>
      <c r="B3815" s="76" t="s">
        <v>11198</v>
      </c>
    </row>
    <row r="3816" spans="1:2" ht="15">
      <c r="A3816" s="77" t="s">
        <v>7722</v>
      </c>
      <c r="B3816" s="76" t="s">
        <v>11198</v>
      </c>
    </row>
    <row r="3817" spans="1:2" ht="15">
      <c r="A3817" s="77" t="s">
        <v>7723</v>
      </c>
      <c r="B3817" s="76" t="s">
        <v>11198</v>
      </c>
    </row>
    <row r="3818" spans="1:2" ht="15">
      <c r="A3818" s="77" t="s">
        <v>7724</v>
      </c>
      <c r="B3818" s="76" t="s">
        <v>11198</v>
      </c>
    </row>
    <row r="3819" spans="1:2" ht="15">
      <c r="A3819" s="77" t="s">
        <v>7725</v>
      </c>
      <c r="B3819" s="76" t="s">
        <v>11198</v>
      </c>
    </row>
    <row r="3820" spans="1:2" ht="15">
      <c r="A3820" s="77" t="s">
        <v>7726</v>
      </c>
      <c r="B3820" s="76" t="s">
        <v>11198</v>
      </c>
    </row>
    <row r="3821" spans="1:2" ht="15">
      <c r="A3821" s="77" t="s">
        <v>7727</v>
      </c>
      <c r="B3821" s="76" t="s">
        <v>11198</v>
      </c>
    </row>
    <row r="3822" spans="1:2" ht="15">
      <c r="A3822" s="77" t="s">
        <v>7728</v>
      </c>
      <c r="B3822" s="76" t="s">
        <v>11198</v>
      </c>
    </row>
    <row r="3823" spans="1:2" ht="15">
      <c r="A3823" s="77" t="s">
        <v>7729</v>
      </c>
      <c r="B3823" s="76" t="s">
        <v>11198</v>
      </c>
    </row>
    <row r="3824" spans="1:2" ht="15">
      <c r="A3824" s="77" t="s">
        <v>7730</v>
      </c>
      <c r="B3824" s="76" t="s">
        <v>11198</v>
      </c>
    </row>
    <row r="3825" spans="1:2" ht="15">
      <c r="A3825" s="77" t="s">
        <v>7731</v>
      </c>
      <c r="B3825" s="76" t="s">
        <v>11198</v>
      </c>
    </row>
    <row r="3826" spans="1:2" ht="15">
      <c r="A3826" s="77" t="s">
        <v>7732</v>
      </c>
      <c r="B3826" s="76" t="s">
        <v>11198</v>
      </c>
    </row>
    <row r="3827" spans="1:2" ht="15">
      <c r="A3827" s="77" t="s">
        <v>7733</v>
      </c>
      <c r="B3827" s="76" t="s">
        <v>11198</v>
      </c>
    </row>
    <row r="3828" spans="1:2" ht="15">
      <c r="A3828" s="77" t="s">
        <v>7734</v>
      </c>
      <c r="B3828" s="76" t="s">
        <v>11198</v>
      </c>
    </row>
    <row r="3829" spans="1:2" ht="15">
      <c r="A3829" s="77" t="s">
        <v>7735</v>
      </c>
      <c r="B3829" s="76" t="s">
        <v>11198</v>
      </c>
    </row>
    <row r="3830" spans="1:2" ht="15">
      <c r="A3830" s="77" t="s">
        <v>7736</v>
      </c>
      <c r="B3830" s="76" t="s">
        <v>11198</v>
      </c>
    </row>
    <row r="3831" spans="1:2" ht="15">
      <c r="A3831" s="77" t="s">
        <v>7737</v>
      </c>
      <c r="B3831" s="76" t="s">
        <v>11198</v>
      </c>
    </row>
    <row r="3832" spans="1:2" ht="15">
      <c r="A3832" s="77" t="s">
        <v>7738</v>
      </c>
      <c r="B3832" s="76" t="s">
        <v>11198</v>
      </c>
    </row>
    <row r="3833" spans="1:2" ht="15">
      <c r="A3833" s="77" t="s">
        <v>7739</v>
      </c>
      <c r="B3833" s="76" t="s">
        <v>11198</v>
      </c>
    </row>
    <row r="3834" spans="1:2" ht="15">
      <c r="A3834" s="77" t="s">
        <v>7740</v>
      </c>
      <c r="B3834" s="76" t="s">
        <v>11198</v>
      </c>
    </row>
    <row r="3835" spans="1:2" ht="15">
      <c r="A3835" s="77" t="s">
        <v>7741</v>
      </c>
      <c r="B3835" s="76" t="s">
        <v>11198</v>
      </c>
    </row>
    <row r="3836" spans="1:2" ht="15">
      <c r="A3836" s="77" t="s">
        <v>7742</v>
      </c>
      <c r="B3836" s="76" t="s">
        <v>11198</v>
      </c>
    </row>
    <row r="3837" spans="1:2" ht="15">
      <c r="A3837" s="77" t="s">
        <v>7743</v>
      </c>
      <c r="B3837" s="76" t="s">
        <v>11198</v>
      </c>
    </row>
    <row r="3838" spans="1:2" ht="15">
      <c r="A3838" s="77" t="s">
        <v>7744</v>
      </c>
      <c r="B3838" s="76" t="s">
        <v>11198</v>
      </c>
    </row>
    <row r="3839" spans="1:2" ht="15">
      <c r="A3839" s="77" t="s">
        <v>7745</v>
      </c>
      <c r="B3839" s="76" t="s">
        <v>11198</v>
      </c>
    </row>
    <row r="3840" spans="1:2" ht="15">
      <c r="A3840" s="77" t="s">
        <v>7746</v>
      </c>
      <c r="B3840" s="76" t="s">
        <v>11198</v>
      </c>
    </row>
    <row r="3841" spans="1:2" ht="15">
      <c r="A3841" s="77" t="s">
        <v>7747</v>
      </c>
      <c r="B3841" s="76" t="s">
        <v>11198</v>
      </c>
    </row>
    <row r="3842" spans="1:2" ht="15">
      <c r="A3842" s="77" t="s">
        <v>7748</v>
      </c>
      <c r="B3842" s="76" t="s">
        <v>11198</v>
      </c>
    </row>
    <row r="3843" spans="1:2" ht="15">
      <c r="A3843" s="77" t="s">
        <v>7749</v>
      </c>
      <c r="B3843" s="76" t="s">
        <v>11198</v>
      </c>
    </row>
    <row r="3844" spans="1:2" ht="15">
      <c r="A3844" s="77" t="s">
        <v>7750</v>
      </c>
      <c r="B3844" s="76" t="s">
        <v>11198</v>
      </c>
    </row>
    <row r="3845" spans="1:2" ht="15">
      <c r="A3845" s="77" t="s">
        <v>7751</v>
      </c>
      <c r="B3845" s="76" t="s">
        <v>11198</v>
      </c>
    </row>
    <row r="3846" spans="1:2" ht="15">
      <c r="A3846" s="77" t="s">
        <v>7752</v>
      </c>
      <c r="B3846" s="76" t="s">
        <v>11198</v>
      </c>
    </row>
    <row r="3847" spans="1:2" ht="15">
      <c r="A3847" s="77" t="s">
        <v>7753</v>
      </c>
      <c r="B3847" s="76" t="s">
        <v>11198</v>
      </c>
    </row>
    <row r="3848" spans="1:2" ht="15">
      <c r="A3848" s="77" t="s">
        <v>7754</v>
      </c>
      <c r="B3848" s="76" t="s">
        <v>11198</v>
      </c>
    </row>
    <row r="3849" spans="1:2" ht="15">
      <c r="A3849" s="77" t="s">
        <v>7755</v>
      </c>
      <c r="B3849" s="76" t="s">
        <v>11198</v>
      </c>
    </row>
    <row r="3850" spans="1:2" ht="15">
      <c r="A3850" s="77" t="s">
        <v>7756</v>
      </c>
      <c r="B3850" s="76" t="s">
        <v>11198</v>
      </c>
    </row>
    <row r="3851" spans="1:2" ht="15">
      <c r="A3851" s="77" t="s">
        <v>7757</v>
      </c>
      <c r="B3851" s="76" t="s">
        <v>11198</v>
      </c>
    </row>
    <row r="3852" spans="1:2" ht="15">
      <c r="A3852" s="77" t="s">
        <v>7758</v>
      </c>
      <c r="B3852" s="76" t="s">
        <v>11198</v>
      </c>
    </row>
    <row r="3853" spans="1:2" ht="15">
      <c r="A3853" s="77" t="s">
        <v>7759</v>
      </c>
      <c r="B3853" s="76" t="s">
        <v>11198</v>
      </c>
    </row>
    <row r="3854" spans="1:2" ht="15">
      <c r="A3854" s="77" t="s">
        <v>7760</v>
      </c>
      <c r="B3854" s="76" t="s">
        <v>11198</v>
      </c>
    </row>
    <row r="3855" spans="1:2" ht="15">
      <c r="A3855" s="77" t="s">
        <v>7761</v>
      </c>
      <c r="B3855" s="76" t="s">
        <v>11198</v>
      </c>
    </row>
    <row r="3856" spans="1:2" ht="15">
      <c r="A3856" s="77" t="s">
        <v>7762</v>
      </c>
      <c r="B3856" s="76" t="s">
        <v>11198</v>
      </c>
    </row>
    <row r="3857" spans="1:2" ht="15">
      <c r="A3857" s="77" t="s">
        <v>7763</v>
      </c>
      <c r="B3857" s="76" t="s">
        <v>11198</v>
      </c>
    </row>
    <row r="3858" spans="1:2" ht="15">
      <c r="A3858" s="77" t="s">
        <v>7764</v>
      </c>
      <c r="B3858" s="76" t="s">
        <v>11198</v>
      </c>
    </row>
    <row r="3859" spans="1:2" ht="15">
      <c r="A3859" s="77" t="s">
        <v>7765</v>
      </c>
      <c r="B3859" s="76" t="s">
        <v>11198</v>
      </c>
    </row>
    <row r="3860" spans="1:2" ht="15">
      <c r="A3860" s="77" t="s">
        <v>7766</v>
      </c>
      <c r="B3860" s="76" t="s">
        <v>11198</v>
      </c>
    </row>
    <row r="3861" spans="1:2" ht="15">
      <c r="A3861" s="77" t="s">
        <v>7767</v>
      </c>
      <c r="B3861" s="76" t="s">
        <v>11198</v>
      </c>
    </row>
    <row r="3862" spans="1:2" ht="15">
      <c r="A3862" s="77" t="s">
        <v>7768</v>
      </c>
      <c r="B3862" s="76" t="s">
        <v>11198</v>
      </c>
    </row>
    <row r="3863" spans="1:2" ht="15">
      <c r="A3863" s="77" t="s">
        <v>7769</v>
      </c>
      <c r="B3863" s="76" t="s">
        <v>11198</v>
      </c>
    </row>
    <row r="3864" spans="1:2" ht="15">
      <c r="A3864" s="77" t="s">
        <v>7770</v>
      </c>
      <c r="B3864" s="76" t="s">
        <v>11198</v>
      </c>
    </row>
    <row r="3865" spans="1:2" ht="15">
      <c r="A3865" s="77" t="s">
        <v>7771</v>
      </c>
      <c r="B3865" s="76" t="s">
        <v>11198</v>
      </c>
    </row>
    <row r="3866" spans="1:2" ht="15">
      <c r="A3866" s="77" t="s">
        <v>7772</v>
      </c>
      <c r="B3866" s="76" t="s">
        <v>11198</v>
      </c>
    </row>
    <row r="3867" spans="1:2" ht="15">
      <c r="A3867" s="77" t="s">
        <v>7773</v>
      </c>
      <c r="B3867" s="76" t="s">
        <v>11198</v>
      </c>
    </row>
    <row r="3868" spans="1:2" ht="15">
      <c r="A3868" s="77" t="s">
        <v>7774</v>
      </c>
      <c r="B3868" s="76" t="s">
        <v>11198</v>
      </c>
    </row>
    <row r="3869" spans="1:2" ht="15">
      <c r="A3869" s="77" t="s">
        <v>7775</v>
      </c>
      <c r="B3869" s="76" t="s">
        <v>11198</v>
      </c>
    </row>
    <row r="3870" spans="1:2" ht="15">
      <c r="A3870" s="77" t="s">
        <v>7776</v>
      </c>
      <c r="B3870" s="76" t="s">
        <v>11198</v>
      </c>
    </row>
    <row r="3871" spans="1:2" ht="15">
      <c r="A3871" s="77" t="s">
        <v>7777</v>
      </c>
      <c r="B3871" s="76" t="s">
        <v>11198</v>
      </c>
    </row>
    <row r="3872" spans="1:2" ht="15">
      <c r="A3872" s="77" t="s">
        <v>7778</v>
      </c>
      <c r="B3872" s="76" t="s">
        <v>11198</v>
      </c>
    </row>
    <row r="3873" spans="1:2" ht="15">
      <c r="A3873" s="77" t="s">
        <v>7779</v>
      </c>
      <c r="B3873" s="76" t="s">
        <v>11198</v>
      </c>
    </row>
    <row r="3874" spans="1:2" ht="15">
      <c r="A3874" s="77" t="s">
        <v>7780</v>
      </c>
      <c r="B3874" s="76" t="s">
        <v>11198</v>
      </c>
    </row>
    <row r="3875" spans="1:2" ht="15">
      <c r="A3875" s="77" t="s">
        <v>7781</v>
      </c>
      <c r="B3875" s="76" t="s">
        <v>11198</v>
      </c>
    </row>
    <row r="3876" spans="1:2" ht="15">
      <c r="A3876" s="77" t="s">
        <v>7782</v>
      </c>
      <c r="B3876" s="76" t="s">
        <v>11198</v>
      </c>
    </row>
    <row r="3877" spans="1:2" ht="15">
      <c r="A3877" s="77" t="s">
        <v>7783</v>
      </c>
      <c r="B3877" s="76" t="s">
        <v>11198</v>
      </c>
    </row>
    <row r="3878" spans="1:2" ht="15">
      <c r="A3878" s="77" t="s">
        <v>7784</v>
      </c>
      <c r="B3878" s="76" t="s">
        <v>11198</v>
      </c>
    </row>
    <row r="3879" spans="1:2" ht="15">
      <c r="A3879" s="77" t="s">
        <v>7785</v>
      </c>
      <c r="B3879" s="76" t="s">
        <v>11198</v>
      </c>
    </row>
    <row r="3880" spans="1:2" ht="15">
      <c r="A3880" s="77" t="s">
        <v>7786</v>
      </c>
      <c r="B3880" s="76" t="s">
        <v>11198</v>
      </c>
    </row>
    <row r="3881" spans="1:2" ht="15">
      <c r="A3881" s="77" t="s">
        <v>7787</v>
      </c>
      <c r="B3881" s="76" t="s">
        <v>11198</v>
      </c>
    </row>
    <row r="3882" spans="1:2" ht="15">
      <c r="A3882" s="77" t="s">
        <v>7788</v>
      </c>
      <c r="B3882" s="76" t="s">
        <v>11198</v>
      </c>
    </row>
    <row r="3883" spans="1:2" ht="15">
      <c r="A3883" s="77" t="s">
        <v>7789</v>
      </c>
      <c r="B3883" s="76" t="s">
        <v>11198</v>
      </c>
    </row>
    <row r="3884" spans="1:2" ht="15">
      <c r="A3884" s="77" t="s">
        <v>7790</v>
      </c>
      <c r="B3884" s="76" t="s">
        <v>11198</v>
      </c>
    </row>
    <row r="3885" spans="1:2" ht="15">
      <c r="A3885" s="77" t="s">
        <v>7791</v>
      </c>
      <c r="B3885" s="76" t="s">
        <v>11198</v>
      </c>
    </row>
    <row r="3886" spans="1:2" ht="15">
      <c r="A3886" s="77" t="s">
        <v>7792</v>
      </c>
      <c r="B3886" s="76" t="s">
        <v>11198</v>
      </c>
    </row>
    <row r="3887" spans="1:2" ht="15">
      <c r="A3887" s="77" t="s">
        <v>7793</v>
      </c>
      <c r="B3887" s="76" t="s">
        <v>11198</v>
      </c>
    </row>
    <row r="3888" spans="1:2" ht="15">
      <c r="A3888" s="77" t="s">
        <v>7794</v>
      </c>
      <c r="B3888" s="76" t="s">
        <v>11198</v>
      </c>
    </row>
    <row r="3889" spans="1:2" ht="15">
      <c r="A3889" s="77" t="s">
        <v>7795</v>
      </c>
      <c r="B3889" s="76" t="s">
        <v>11198</v>
      </c>
    </row>
    <row r="3890" spans="1:2" ht="15">
      <c r="A3890" s="77" t="s">
        <v>7796</v>
      </c>
      <c r="B3890" s="76" t="s">
        <v>11198</v>
      </c>
    </row>
    <row r="3891" spans="1:2" ht="15">
      <c r="A3891" s="77" t="s">
        <v>7797</v>
      </c>
      <c r="B3891" s="76" t="s">
        <v>11198</v>
      </c>
    </row>
    <row r="3892" spans="1:2" ht="15">
      <c r="A3892" s="77" t="s">
        <v>7798</v>
      </c>
      <c r="B3892" s="76" t="s">
        <v>11198</v>
      </c>
    </row>
    <row r="3893" spans="1:2" ht="15">
      <c r="A3893" s="77" t="s">
        <v>7799</v>
      </c>
      <c r="B3893" s="76" t="s">
        <v>11198</v>
      </c>
    </row>
    <row r="3894" spans="1:2" ht="15">
      <c r="A3894" s="77" t="s">
        <v>7800</v>
      </c>
      <c r="B3894" s="76" t="s">
        <v>11198</v>
      </c>
    </row>
    <row r="3895" spans="1:2" ht="15">
      <c r="A3895" s="77" t="s">
        <v>7801</v>
      </c>
      <c r="B3895" s="76" t="s">
        <v>11198</v>
      </c>
    </row>
    <row r="3896" spans="1:2" ht="15">
      <c r="A3896" s="77" t="s">
        <v>7802</v>
      </c>
      <c r="B3896" s="76" t="s">
        <v>11198</v>
      </c>
    </row>
    <row r="3897" spans="1:2" ht="15">
      <c r="A3897" s="77" t="s">
        <v>7803</v>
      </c>
      <c r="B3897" s="76" t="s">
        <v>11198</v>
      </c>
    </row>
    <row r="3898" spans="1:2" ht="15">
      <c r="A3898" s="77" t="s">
        <v>7804</v>
      </c>
      <c r="B3898" s="76" t="s">
        <v>11198</v>
      </c>
    </row>
    <row r="3899" spans="1:2" ht="15">
      <c r="A3899" s="77" t="s">
        <v>7805</v>
      </c>
      <c r="B3899" s="76" t="s">
        <v>11198</v>
      </c>
    </row>
    <row r="3900" spans="1:2" ht="15">
      <c r="A3900" s="77" t="s">
        <v>7806</v>
      </c>
      <c r="B3900" s="76" t="s">
        <v>11198</v>
      </c>
    </row>
    <row r="3901" spans="1:2" ht="15">
      <c r="A3901" s="77" t="s">
        <v>7807</v>
      </c>
      <c r="B3901" s="76" t="s">
        <v>11198</v>
      </c>
    </row>
    <row r="3902" spans="1:2" ht="15">
      <c r="A3902" s="77" t="s">
        <v>7808</v>
      </c>
      <c r="B3902" s="76" t="s">
        <v>11198</v>
      </c>
    </row>
    <row r="3903" spans="1:2" ht="15">
      <c r="A3903" s="77" t="s">
        <v>7809</v>
      </c>
      <c r="B3903" s="76" t="s">
        <v>11198</v>
      </c>
    </row>
    <row r="3904" spans="1:2" ht="15">
      <c r="A3904" s="77" t="s">
        <v>7810</v>
      </c>
      <c r="B3904" s="76" t="s">
        <v>11198</v>
      </c>
    </row>
    <row r="3905" spans="1:2" ht="15">
      <c r="A3905" s="77" t="s">
        <v>7811</v>
      </c>
      <c r="B3905" s="76" t="s">
        <v>11198</v>
      </c>
    </row>
    <row r="3906" spans="1:2" ht="15">
      <c r="A3906" s="77" t="s">
        <v>7812</v>
      </c>
      <c r="B3906" s="76" t="s">
        <v>11198</v>
      </c>
    </row>
    <row r="3907" spans="1:2" ht="15">
      <c r="A3907" s="77" t="s">
        <v>7813</v>
      </c>
      <c r="B3907" s="76" t="s">
        <v>11198</v>
      </c>
    </row>
    <row r="3908" spans="1:2" ht="15">
      <c r="A3908" s="77" t="s">
        <v>7814</v>
      </c>
      <c r="B3908" s="76" t="s">
        <v>11198</v>
      </c>
    </row>
    <row r="3909" spans="1:2" ht="15">
      <c r="A3909" s="77" t="s">
        <v>7815</v>
      </c>
      <c r="B3909" s="76" t="s">
        <v>11198</v>
      </c>
    </row>
    <row r="3910" spans="1:2" ht="15">
      <c r="A3910" s="77" t="s">
        <v>7816</v>
      </c>
      <c r="B3910" s="76" t="s">
        <v>11198</v>
      </c>
    </row>
    <row r="3911" spans="1:2" ht="15">
      <c r="A3911" s="77" t="s">
        <v>7817</v>
      </c>
      <c r="B3911" s="76" t="s">
        <v>11198</v>
      </c>
    </row>
    <row r="3912" spans="1:2" ht="15">
      <c r="A3912" s="77" t="s">
        <v>7818</v>
      </c>
      <c r="B3912" s="76" t="s">
        <v>11198</v>
      </c>
    </row>
    <row r="3913" spans="1:2" ht="15">
      <c r="A3913" s="77" t="s">
        <v>7819</v>
      </c>
      <c r="B3913" s="76" t="s">
        <v>11198</v>
      </c>
    </row>
    <row r="3914" spans="1:2" ht="15">
      <c r="A3914" s="77" t="s">
        <v>7820</v>
      </c>
      <c r="B3914" s="76" t="s">
        <v>11198</v>
      </c>
    </row>
    <row r="3915" spans="1:2" ht="15">
      <c r="A3915" s="77" t="s">
        <v>7821</v>
      </c>
      <c r="B3915" s="76" t="s">
        <v>11198</v>
      </c>
    </row>
    <row r="3916" spans="1:2" ht="15">
      <c r="A3916" s="77" t="s">
        <v>7822</v>
      </c>
      <c r="B3916" s="76" t="s">
        <v>11198</v>
      </c>
    </row>
    <row r="3917" spans="1:2" ht="15">
      <c r="A3917" s="77" t="s">
        <v>7823</v>
      </c>
      <c r="B3917" s="76" t="s">
        <v>11198</v>
      </c>
    </row>
    <row r="3918" spans="1:2" ht="15">
      <c r="A3918" s="77" t="s">
        <v>7824</v>
      </c>
      <c r="B3918" s="76" t="s">
        <v>11198</v>
      </c>
    </row>
    <row r="3919" spans="1:2" ht="15">
      <c r="A3919" s="77" t="s">
        <v>7825</v>
      </c>
      <c r="B3919" s="76" t="s">
        <v>11198</v>
      </c>
    </row>
    <row r="3920" spans="1:2" ht="15">
      <c r="A3920" s="77" t="s">
        <v>7826</v>
      </c>
      <c r="B3920" s="76" t="s">
        <v>11198</v>
      </c>
    </row>
    <row r="3921" spans="1:2" ht="15">
      <c r="A3921" s="77" t="s">
        <v>7827</v>
      </c>
      <c r="B3921" s="76" t="s">
        <v>11198</v>
      </c>
    </row>
    <row r="3922" spans="1:2" ht="15">
      <c r="A3922" s="77" t="s">
        <v>7828</v>
      </c>
      <c r="B3922" s="76" t="s">
        <v>11198</v>
      </c>
    </row>
    <row r="3923" spans="1:2" ht="15">
      <c r="A3923" s="77" t="s">
        <v>7829</v>
      </c>
      <c r="B3923" s="76" t="s">
        <v>11198</v>
      </c>
    </row>
    <row r="3924" spans="1:2" ht="15">
      <c r="A3924" s="77" t="s">
        <v>7830</v>
      </c>
      <c r="B3924" s="76" t="s">
        <v>11198</v>
      </c>
    </row>
    <row r="3925" spans="1:2" ht="15">
      <c r="A3925" s="77" t="s">
        <v>7831</v>
      </c>
      <c r="B3925" s="76" t="s">
        <v>11198</v>
      </c>
    </row>
    <row r="3926" spans="1:2" ht="15">
      <c r="A3926" s="77" t="s">
        <v>7832</v>
      </c>
      <c r="B3926" s="76" t="s">
        <v>11198</v>
      </c>
    </row>
    <row r="3927" spans="1:2" ht="15">
      <c r="A3927" s="77" t="s">
        <v>7833</v>
      </c>
      <c r="B3927" s="76" t="s">
        <v>11198</v>
      </c>
    </row>
    <row r="3928" spans="1:2" ht="15">
      <c r="A3928" s="77" t="s">
        <v>7834</v>
      </c>
      <c r="B3928" s="76" t="s">
        <v>11198</v>
      </c>
    </row>
    <row r="3929" spans="1:2" ht="15">
      <c r="A3929" s="77" t="s">
        <v>7835</v>
      </c>
      <c r="B3929" s="76" t="s">
        <v>11198</v>
      </c>
    </row>
    <row r="3930" spans="1:2" ht="15">
      <c r="A3930" s="77" t="s">
        <v>7836</v>
      </c>
      <c r="B3930" s="76" t="s">
        <v>11198</v>
      </c>
    </row>
    <row r="3931" spans="1:2" ht="15">
      <c r="A3931" s="77" t="s">
        <v>7837</v>
      </c>
      <c r="B3931" s="76" t="s">
        <v>11198</v>
      </c>
    </row>
    <row r="3932" spans="1:2" ht="15">
      <c r="A3932" s="77" t="s">
        <v>7838</v>
      </c>
      <c r="B3932" s="76" t="s">
        <v>11198</v>
      </c>
    </row>
    <row r="3933" spans="1:2" ht="15">
      <c r="A3933" s="77" t="s">
        <v>7839</v>
      </c>
      <c r="B3933" s="76" t="s">
        <v>11198</v>
      </c>
    </row>
    <row r="3934" spans="1:2" ht="15">
      <c r="A3934" s="77" t="s">
        <v>7840</v>
      </c>
      <c r="B3934" s="76" t="s">
        <v>11198</v>
      </c>
    </row>
    <row r="3935" spans="1:2" ht="15">
      <c r="A3935" s="77" t="s">
        <v>7841</v>
      </c>
      <c r="B3935" s="76" t="s">
        <v>11198</v>
      </c>
    </row>
    <row r="3936" spans="1:2" ht="15">
      <c r="A3936" s="77" t="s">
        <v>7842</v>
      </c>
      <c r="B3936" s="76" t="s">
        <v>11198</v>
      </c>
    </row>
    <row r="3937" spans="1:2" ht="15">
      <c r="A3937" s="77" t="s">
        <v>7843</v>
      </c>
      <c r="B3937" s="76" t="s">
        <v>11198</v>
      </c>
    </row>
    <row r="3938" spans="1:2" ht="15">
      <c r="A3938" s="77" t="s">
        <v>7844</v>
      </c>
      <c r="B3938" s="76" t="s">
        <v>11198</v>
      </c>
    </row>
    <row r="3939" spans="1:2" ht="15">
      <c r="A3939" s="77" t="s">
        <v>7845</v>
      </c>
      <c r="B3939" s="76" t="s">
        <v>11198</v>
      </c>
    </row>
    <row r="3940" spans="1:2" ht="15">
      <c r="A3940" s="77" t="s">
        <v>7846</v>
      </c>
      <c r="B3940" s="76" t="s">
        <v>11198</v>
      </c>
    </row>
    <row r="3941" spans="1:2" ht="15">
      <c r="A3941" s="77" t="s">
        <v>7847</v>
      </c>
      <c r="B3941" s="76" t="s">
        <v>11198</v>
      </c>
    </row>
    <row r="3942" spans="1:2" ht="15">
      <c r="A3942" s="77" t="s">
        <v>7848</v>
      </c>
      <c r="B3942" s="76" t="s">
        <v>11198</v>
      </c>
    </row>
    <row r="3943" spans="1:2" ht="15">
      <c r="A3943" s="77" t="s">
        <v>7849</v>
      </c>
      <c r="B3943" s="76" t="s">
        <v>11198</v>
      </c>
    </row>
    <row r="3944" spans="1:2" ht="15">
      <c r="A3944" s="77" t="s">
        <v>7850</v>
      </c>
      <c r="B3944" s="76" t="s">
        <v>11198</v>
      </c>
    </row>
    <row r="3945" spans="1:2" ht="15">
      <c r="A3945" s="77" t="s">
        <v>7851</v>
      </c>
      <c r="B3945" s="76" t="s">
        <v>11198</v>
      </c>
    </row>
    <row r="3946" spans="1:2" ht="15">
      <c r="A3946" s="77" t="s">
        <v>7852</v>
      </c>
      <c r="B3946" s="76" t="s">
        <v>11198</v>
      </c>
    </row>
    <row r="3947" spans="1:2" ht="15">
      <c r="A3947" s="77" t="s">
        <v>7853</v>
      </c>
      <c r="B3947" s="76" t="s">
        <v>11198</v>
      </c>
    </row>
    <row r="3948" spans="1:2" ht="15">
      <c r="A3948" s="77" t="s">
        <v>7854</v>
      </c>
      <c r="B3948" s="76" t="s">
        <v>11198</v>
      </c>
    </row>
    <row r="3949" spans="1:2" ht="15">
      <c r="A3949" s="77" t="s">
        <v>7855</v>
      </c>
      <c r="B3949" s="76" t="s">
        <v>11198</v>
      </c>
    </row>
    <row r="3950" spans="1:2" ht="15">
      <c r="A3950" s="77" t="s">
        <v>7856</v>
      </c>
      <c r="B3950" s="76" t="s">
        <v>11198</v>
      </c>
    </row>
    <row r="3951" spans="1:2" ht="15">
      <c r="A3951" s="77" t="s">
        <v>7857</v>
      </c>
      <c r="B3951" s="76" t="s">
        <v>11198</v>
      </c>
    </row>
    <row r="3952" spans="1:2" ht="15">
      <c r="A3952" s="77" t="s">
        <v>7858</v>
      </c>
      <c r="B3952" s="76" t="s">
        <v>11198</v>
      </c>
    </row>
    <row r="3953" spans="1:2" ht="15">
      <c r="A3953" s="77" t="s">
        <v>7859</v>
      </c>
      <c r="B3953" s="76" t="s">
        <v>11198</v>
      </c>
    </row>
    <row r="3954" spans="1:2" ht="15">
      <c r="A3954" s="77" t="s">
        <v>7860</v>
      </c>
      <c r="B3954" s="76" t="s">
        <v>11198</v>
      </c>
    </row>
    <row r="3955" spans="1:2" ht="15">
      <c r="A3955" s="77" t="s">
        <v>7861</v>
      </c>
      <c r="B3955" s="76" t="s">
        <v>11198</v>
      </c>
    </row>
    <row r="3956" spans="1:2" ht="15">
      <c r="A3956" s="77" t="s">
        <v>7862</v>
      </c>
      <c r="B3956" s="76" t="s">
        <v>11198</v>
      </c>
    </row>
    <row r="3957" spans="1:2" ht="15">
      <c r="A3957" s="77" t="s">
        <v>7863</v>
      </c>
      <c r="B3957" s="76" t="s">
        <v>11198</v>
      </c>
    </row>
    <row r="3958" spans="1:2" ht="15">
      <c r="A3958" s="77" t="s">
        <v>7864</v>
      </c>
      <c r="B3958" s="76" t="s">
        <v>11198</v>
      </c>
    </row>
    <row r="3959" spans="1:2" ht="15">
      <c r="A3959" s="77" t="s">
        <v>7865</v>
      </c>
      <c r="B3959" s="76" t="s">
        <v>11198</v>
      </c>
    </row>
    <row r="3960" spans="1:2" ht="15">
      <c r="A3960" s="77" t="s">
        <v>7866</v>
      </c>
      <c r="B3960" s="76" t="s">
        <v>11198</v>
      </c>
    </row>
    <row r="3961" spans="1:2" ht="15">
      <c r="A3961" s="77" t="s">
        <v>7867</v>
      </c>
      <c r="B3961" s="76" t="s">
        <v>11198</v>
      </c>
    </row>
    <row r="3962" spans="1:2" ht="15">
      <c r="A3962" s="77" t="s">
        <v>7868</v>
      </c>
      <c r="B3962" s="76" t="s">
        <v>11198</v>
      </c>
    </row>
    <row r="3963" spans="1:2" ht="15">
      <c r="A3963" s="77" t="s">
        <v>7869</v>
      </c>
      <c r="B3963" s="76" t="s">
        <v>11198</v>
      </c>
    </row>
    <row r="3964" spans="1:2" ht="15">
      <c r="A3964" s="77" t="s">
        <v>7870</v>
      </c>
      <c r="B3964" s="76" t="s">
        <v>11198</v>
      </c>
    </row>
    <row r="3965" spans="1:2" ht="15">
      <c r="A3965" s="77" t="s">
        <v>7871</v>
      </c>
      <c r="B3965" s="76" t="s">
        <v>11198</v>
      </c>
    </row>
    <row r="3966" spans="1:2" ht="15">
      <c r="A3966" s="77" t="s">
        <v>7872</v>
      </c>
      <c r="B3966" s="76" t="s">
        <v>11198</v>
      </c>
    </row>
    <row r="3967" spans="1:2" ht="15">
      <c r="A3967" s="77" t="s">
        <v>7873</v>
      </c>
      <c r="B3967" s="76" t="s">
        <v>11198</v>
      </c>
    </row>
    <row r="3968" spans="1:2" ht="15">
      <c r="A3968" s="77" t="s">
        <v>7874</v>
      </c>
      <c r="B3968" s="76" t="s">
        <v>11198</v>
      </c>
    </row>
    <row r="3969" spans="1:2" ht="15">
      <c r="A3969" s="77" t="s">
        <v>7875</v>
      </c>
      <c r="B3969" s="76" t="s">
        <v>11198</v>
      </c>
    </row>
    <row r="3970" spans="1:2" ht="15">
      <c r="A3970" s="77" t="s">
        <v>7876</v>
      </c>
      <c r="B3970" s="76" t="s">
        <v>11198</v>
      </c>
    </row>
    <row r="3971" spans="1:2" ht="15">
      <c r="A3971" s="77" t="s">
        <v>7877</v>
      </c>
      <c r="B3971" s="76" t="s">
        <v>11198</v>
      </c>
    </row>
    <row r="3972" spans="1:2" ht="15">
      <c r="A3972" s="77" t="s">
        <v>7878</v>
      </c>
      <c r="B3972" s="76" t="s">
        <v>11198</v>
      </c>
    </row>
    <row r="3973" spans="1:2" ht="15">
      <c r="A3973" s="77" t="s">
        <v>7879</v>
      </c>
      <c r="B3973" s="76" t="s">
        <v>11198</v>
      </c>
    </row>
    <row r="3974" spans="1:2" ht="15">
      <c r="A3974" s="77" t="s">
        <v>7880</v>
      </c>
      <c r="B3974" s="76" t="s">
        <v>11198</v>
      </c>
    </row>
    <row r="3975" spans="1:2" ht="15">
      <c r="A3975" s="77" t="s">
        <v>7881</v>
      </c>
      <c r="B3975" s="76" t="s">
        <v>11198</v>
      </c>
    </row>
    <row r="3976" spans="1:2" ht="15">
      <c r="A3976" s="77" t="s">
        <v>7882</v>
      </c>
      <c r="B3976" s="76" t="s">
        <v>11198</v>
      </c>
    </row>
    <row r="3977" spans="1:2" ht="15">
      <c r="A3977" s="77" t="s">
        <v>7883</v>
      </c>
      <c r="B3977" s="76" t="s">
        <v>11198</v>
      </c>
    </row>
    <row r="3978" spans="1:2" ht="15">
      <c r="A3978" s="77" t="s">
        <v>7884</v>
      </c>
      <c r="B3978" s="76" t="s">
        <v>11198</v>
      </c>
    </row>
    <row r="3979" spans="1:2" ht="15">
      <c r="A3979" s="77" t="s">
        <v>7885</v>
      </c>
      <c r="B3979" s="76" t="s">
        <v>11198</v>
      </c>
    </row>
    <row r="3980" spans="1:2" ht="15">
      <c r="A3980" s="77" t="s">
        <v>7886</v>
      </c>
      <c r="B3980" s="76" t="s">
        <v>11198</v>
      </c>
    </row>
    <row r="3981" spans="1:2" ht="15">
      <c r="A3981" s="77" t="s">
        <v>7887</v>
      </c>
      <c r="B3981" s="76" t="s">
        <v>11198</v>
      </c>
    </row>
    <row r="3982" spans="1:2" ht="15">
      <c r="A3982" s="77" t="s">
        <v>7888</v>
      </c>
      <c r="B3982" s="76" t="s">
        <v>11198</v>
      </c>
    </row>
    <row r="3983" spans="1:2" ht="15">
      <c r="A3983" s="77" t="s">
        <v>7889</v>
      </c>
      <c r="B3983" s="76" t="s">
        <v>11198</v>
      </c>
    </row>
    <row r="3984" spans="1:2" ht="15">
      <c r="A3984" s="77" t="s">
        <v>7890</v>
      </c>
      <c r="B3984" s="76" t="s">
        <v>11198</v>
      </c>
    </row>
    <row r="3985" spans="1:2" ht="15">
      <c r="A3985" s="77" t="s">
        <v>7891</v>
      </c>
      <c r="B3985" s="76" t="s">
        <v>11198</v>
      </c>
    </row>
    <row r="3986" spans="1:2" ht="15">
      <c r="A3986" s="77" t="s">
        <v>7892</v>
      </c>
      <c r="B3986" s="76" t="s">
        <v>11198</v>
      </c>
    </row>
    <row r="3987" spans="1:2" ht="15">
      <c r="A3987" s="77" t="s">
        <v>7893</v>
      </c>
      <c r="B3987" s="76" t="s">
        <v>11198</v>
      </c>
    </row>
    <row r="3988" spans="1:2" ht="15">
      <c r="A3988" s="77" t="s">
        <v>7894</v>
      </c>
      <c r="B3988" s="76" t="s">
        <v>11198</v>
      </c>
    </row>
    <row r="3989" spans="1:2" ht="15">
      <c r="A3989" s="77" t="s">
        <v>7895</v>
      </c>
      <c r="B3989" s="76" t="s">
        <v>11198</v>
      </c>
    </row>
    <row r="3990" spans="1:2" ht="15">
      <c r="A3990" s="77" t="s">
        <v>7896</v>
      </c>
      <c r="B3990" s="76" t="s">
        <v>11198</v>
      </c>
    </row>
    <row r="3991" spans="1:2" ht="15">
      <c r="A3991" s="77" t="s">
        <v>7897</v>
      </c>
      <c r="B3991" s="76" t="s">
        <v>11198</v>
      </c>
    </row>
    <row r="3992" spans="1:2" ht="15">
      <c r="A3992" s="77" t="s">
        <v>7898</v>
      </c>
      <c r="B3992" s="76" t="s">
        <v>11198</v>
      </c>
    </row>
    <row r="3993" spans="1:2" ht="15">
      <c r="A3993" s="77" t="s">
        <v>7899</v>
      </c>
      <c r="B3993" s="76" t="s">
        <v>11198</v>
      </c>
    </row>
    <row r="3994" spans="1:2" ht="15">
      <c r="A3994" s="77" t="s">
        <v>7900</v>
      </c>
      <c r="B3994" s="76" t="s">
        <v>11198</v>
      </c>
    </row>
    <row r="3995" spans="1:2" ht="15">
      <c r="A3995" s="77" t="s">
        <v>7901</v>
      </c>
      <c r="B3995" s="76" t="s">
        <v>11198</v>
      </c>
    </row>
    <row r="3996" spans="1:2" ht="15">
      <c r="A3996" s="77" t="s">
        <v>7902</v>
      </c>
      <c r="B3996" s="76" t="s">
        <v>11198</v>
      </c>
    </row>
    <row r="3997" spans="1:2" ht="15">
      <c r="A3997" s="77" t="s">
        <v>7903</v>
      </c>
      <c r="B3997" s="76" t="s">
        <v>11198</v>
      </c>
    </row>
    <row r="3998" spans="1:2" ht="15">
      <c r="A3998" s="77" t="s">
        <v>7904</v>
      </c>
      <c r="B3998" s="76" t="s">
        <v>11198</v>
      </c>
    </row>
    <row r="3999" spans="1:2" ht="15">
      <c r="A3999" s="77" t="s">
        <v>7905</v>
      </c>
      <c r="B3999" s="76" t="s">
        <v>11198</v>
      </c>
    </row>
    <row r="4000" spans="1:2" ht="15">
      <c r="A4000" s="77" t="s">
        <v>7906</v>
      </c>
      <c r="B4000" s="76" t="s">
        <v>11198</v>
      </c>
    </row>
    <row r="4001" spans="1:2" ht="15">
      <c r="A4001" s="77" t="s">
        <v>7907</v>
      </c>
      <c r="B4001" s="76" t="s">
        <v>11198</v>
      </c>
    </row>
    <row r="4002" spans="1:2" ht="15">
      <c r="A4002" s="77" t="s">
        <v>7908</v>
      </c>
      <c r="B4002" s="76" t="s">
        <v>11198</v>
      </c>
    </row>
    <row r="4003" spans="1:2" ht="15">
      <c r="A4003" s="77" t="s">
        <v>7909</v>
      </c>
      <c r="B4003" s="76" t="s">
        <v>11198</v>
      </c>
    </row>
    <row r="4004" spans="1:2" ht="15">
      <c r="A4004" s="77" t="s">
        <v>7910</v>
      </c>
      <c r="B4004" s="76" t="s">
        <v>11198</v>
      </c>
    </row>
    <row r="4005" spans="1:2" ht="15">
      <c r="A4005" s="77" t="s">
        <v>7911</v>
      </c>
      <c r="B4005" s="76" t="s">
        <v>11198</v>
      </c>
    </row>
    <row r="4006" spans="1:2" ht="15">
      <c r="A4006" s="77" t="s">
        <v>7912</v>
      </c>
      <c r="B4006" s="76" t="s">
        <v>11198</v>
      </c>
    </row>
    <row r="4007" spans="1:2" ht="15">
      <c r="A4007" s="77" t="s">
        <v>7913</v>
      </c>
      <c r="B4007" s="76" t="s">
        <v>11198</v>
      </c>
    </row>
    <row r="4008" spans="1:2" ht="15">
      <c r="A4008" s="77" t="s">
        <v>7914</v>
      </c>
      <c r="B4008" s="76" t="s">
        <v>11198</v>
      </c>
    </row>
    <row r="4009" spans="1:2" ht="15">
      <c r="A4009" s="77" t="s">
        <v>7915</v>
      </c>
      <c r="B4009" s="76" t="s">
        <v>11198</v>
      </c>
    </row>
    <row r="4010" spans="1:2" ht="15">
      <c r="A4010" s="77" t="s">
        <v>7916</v>
      </c>
      <c r="B4010" s="76" t="s">
        <v>11198</v>
      </c>
    </row>
    <row r="4011" spans="1:2" ht="15">
      <c r="A4011" s="77" t="s">
        <v>7917</v>
      </c>
      <c r="B4011" s="76" t="s">
        <v>11198</v>
      </c>
    </row>
    <row r="4012" spans="1:2" ht="15">
      <c r="A4012" s="77" t="s">
        <v>7918</v>
      </c>
      <c r="B4012" s="76" t="s">
        <v>11198</v>
      </c>
    </row>
    <row r="4013" spans="1:2" ht="15">
      <c r="A4013" s="77" t="s">
        <v>7919</v>
      </c>
      <c r="B4013" s="76" t="s">
        <v>11198</v>
      </c>
    </row>
    <row r="4014" spans="1:2" ht="15">
      <c r="A4014" s="77" t="s">
        <v>7920</v>
      </c>
      <c r="B4014" s="76" t="s">
        <v>11198</v>
      </c>
    </row>
    <row r="4015" spans="1:2" ht="15">
      <c r="A4015" s="77" t="s">
        <v>7921</v>
      </c>
      <c r="B4015" s="76" t="s">
        <v>11198</v>
      </c>
    </row>
    <row r="4016" spans="1:2" ht="15">
      <c r="A4016" s="77" t="s">
        <v>7922</v>
      </c>
      <c r="B4016" s="76" t="s">
        <v>11198</v>
      </c>
    </row>
    <row r="4017" spans="1:2" ht="15">
      <c r="A4017" s="77" t="s">
        <v>7923</v>
      </c>
      <c r="B4017" s="76" t="s">
        <v>11198</v>
      </c>
    </row>
    <row r="4018" spans="1:2" ht="15">
      <c r="A4018" s="77" t="s">
        <v>7924</v>
      </c>
      <c r="B4018" s="76" t="s">
        <v>11198</v>
      </c>
    </row>
    <row r="4019" spans="1:2" ht="15">
      <c r="A4019" s="77" t="s">
        <v>7925</v>
      </c>
      <c r="B4019" s="76" t="s">
        <v>11198</v>
      </c>
    </row>
    <row r="4020" spans="1:2" ht="15">
      <c r="A4020" s="77" t="s">
        <v>7926</v>
      </c>
      <c r="B4020" s="76" t="s">
        <v>11198</v>
      </c>
    </row>
    <row r="4021" spans="1:2" ht="15">
      <c r="A4021" s="77" t="s">
        <v>7927</v>
      </c>
      <c r="B4021" s="76" t="s">
        <v>11198</v>
      </c>
    </row>
    <row r="4022" spans="1:2" ht="15">
      <c r="A4022" s="77" t="s">
        <v>7928</v>
      </c>
      <c r="B4022" s="76" t="s">
        <v>11198</v>
      </c>
    </row>
    <row r="4023" spans="1:2" ht="15">
      <c r="A4023" s="77" t="s">
        <v>7929</v>
      </c>
      <c r="B4023" s="76" t="s">
        <v>11198</v>
      </c>
    </row>
    <row r="4024" spans="1:2" ht="15">
      <c r="A4024" s="77" t="s">
        <v>7930</v>
      </c>
      <c r="B4024" s="76" t="s">
        <v>11198</v>
      </c>
    </row>
    <row r="4025" spans="1:2" ht="15">
      <c r="A4025" s="77" t="s">
        <v>7931</v>
      </c>
      <c r="B4025" s="76" t="s">
        <v>11198</v>
      </c>
    </row>
    <row r="4026" spans="1:2" ht="15">
      <c r="A4026" s="77" t="s">
        <v>7932</v>
      </c>
      <c r="B4026" s="76" t="s">
        <v>11198</v>
      </c>
    </row>
    <row r="4027" spans="1:2" ht="15">
      <c r="A4027" s="77" t="s">
        <v>7933</v>
      </c>
      <c r="B4027" s="76" t="s">
        <v>11198</v>
      </c>
    </row>
    <row r="4028" spans="1:2" ht="15">
      <c r="A4028" s="77" t="s">
        <v>7934</v>
      </c>
      <c r="B4028" s="76" t="s">
        <v>11198</v>
      </c>
    </row>
    <row r="4029" spans="1:2" ht="15">
      <c r="A4029" s="77" t="s">
        <v>7935</v>
      </c>
      <c r="B4029" s="76" t="s">
        <v>11198</v>
      </c>
    </row>
    <row r="4030" spans="1:2" ht="15">
      <c r="A4030" s="77" t="s">
        <v>7936</v>
      </c>
      <c r="B4030" s="76" t="s">
        <v>11198</v>
      </c>
    </row>
    <row r="4031" spans="1:2" ht="15">
      <c r="A4031" s="77" t="s">
        <v>7937</v>
      </c>
      <c r="B4031" s="76" t="s">
        <v>11198</v>
      </c>
    </row>
    <row r="4032" spans="1:2" ht="15">
      <c r="A4032" s="77" t="s">
        <v>7938</v>
      </c>
      <c r="B4032" s="76" t="s">
        <v>11198</v>
      </c>
    </row>
    <row r="4033" spans="1:2" ht="15">
      <c r="A4033" s="77" t="s">
        <v>7939</v>
      </c>
      <c r="B4033" s="76" t="s">
        <v>11198</v>
      </c>
    </row>
    <row r="4034" spans="1:2" ht="15">
      <c r="A4034" s="77" t="s">
        <v>7940</v>
      </c>
      <c r="B4034" s="76" t="s">
        <v>11198</v>
      </c>
    </row>
    <row r="4035" spans="1:2" ht="15">
      <c r="A4035" s="77" t="s">
        <v>7941</v>
      </c>
      <c r="B4035" s="76" t="s">
        <v>11198</v>
      </c>
    </row>
    <row r="4036" spans="1:2" ht="15">
      <c r="A4036" s="77" t="s">
        <v>7942</v>
      </c>
      <c r="B4036" s="76" t="s">
        <v>11198</v>
      </c>
    </row>
    <row r="4037" spans="1:2" ht="15">
      <c r="A4037" s="77" t="s">
        <v>7943</v>
      </c>
      <c r="B4037" s="76" t="s">
        <v>11198</v>
      </c>
    </row>
    <row r="4038" spans="1:2" ht="15">
      <c r="A4038" s="77" t="s">
        <v>7944</v>
      </c>
      <c r="B4038" s="76" t="s">
        <v>11198</v>
      </c>
    </row>
    <row r="4039" spans="1:2" ht="15">
      <c r="A4039" s="77" t="s">
        <v>7945</v>
      </c>
      <c r="B4039" s="76" t="s">
        <v>11198</v>
      </c>
    </row>
    <row r="4040" spans="1:2" ht="15">
      <c r="A4040" s="77" t="s">
        <v>7946</v>
      </c>
      <c r="B4040" s="76" t="s">
        <v>11198</v>
      </c>
    </row>
    <row r="4041" spans="1:2" ht="15">
      <c r="A4041" s="77" t="s">
        <v>7947</v>
      </c>
      <c r="B4041" s="76" t="s">
        <v>11198</v>
      </c>
    </row>
    <row r="4042" spans="1:2" ht="15">
      <c r="A4042" s="77" t="s">
        <v>7948</v>
      </c>
      <c r="B4042" s="76" t="s">
        <v>11198</v>
      </c>
    </row>
    <row r="4043" spans="1:2" ht="15">
      <c r="A4043" s="77" t="s">
        <v>7949</v>
      </c>
      <c r="B4043" s="76" t="s">
        <v>11198</v>
      </c>
    </row>
    <row r="4044" spans="1:2" ht="15">
      <c r="A4044" s="77" t="s">
        <v>7950</v>
      </c>
      <c r="B4044" s="76" t="s">
        <v>11198</v>
      </c>
    </row>
    <row r="4045" spans="1:2" ht="15">
      <c r="A4045" s="77" t="s">
        <v>7951</v>
      </c>
      <c r="B4045" s="76" t="s">
        <v>11198</v>
      </c>
    </row>
    <row r="4046" spans="1:2" ht="15">
      <c r="A4046" s="77" t="s">
        <v>7952</v>
      </c>
      <c r="B4046" s="76" t="s">
        <v>11198</v>
      </c>
    </row>
    <row r="4047" spans="1:2" ht="15">
      <c r="A4047" s="77" t="s">
        <v>7953</v>
      </c>
      <c r="B4047" s="76" t="s">
        <v>11198</v>
      </c>
    </row>
    <row r="4048" spans="1:2" ht="15">
      <c r="A4048" s="77" t="s">
        <v>7954</v>
      </c>
      <c r="B4048" s="76" t="s">
        <v>11198</v>
      </c>
    </row>
    <row r="4049" spans="1:2" ht="15">
      <c r="A4049" s="77" t="s">
        <v>7955</v>
      </c>
      <c r="B4049" s="76" t="s">
        <v>11198</v>
      </c>
    </row>
    <row r="4050" spans="1:2" ht="15">
      <c r="A4050" s="77" t="s">
        <v>7956</v>
      </c>
      <c r="B4050" s="76" t="s">
        <v>11198</v>
      </c>
    </row>
    <row r="4051" spans="1:2" ht="15">
      <c r="A4051" s="77" t="s">
        <v>7957</v>
      </c>
      <c r="B4051" s="76" t="s">
        <v>11198</v>
      </c>
    </row>
    <row r="4052" spans="1:2" ht="15">
      <c r="A4052" s="77" t="s">
        <v>7958</v>
      </c>
      <c r="B4052" s="76" t="s">
        <v>11198</v>
      </c>
    </row>
    <row r="4053" spans="1:2" ht="15">
      <c r="A4053" s="77" t="s">
        <v>7959</v>
      </c>
      <c r="B4053" s="76" t="s">
        <v>11198</v>
      </c>
    </row>
    <row r="4054" spans="1:2" ht="15">
      <c r="A4054" s="77" t="s">
        <v>7960</v>
      </c>
      <c r="B4054" s="76" t="s">
        <v>11198</v>
      </c>
    </row>
    <row r="4055" spans="1:2" ht="15">
      <c r="A4055" s="77" t="s">
        <v>7961</v>
      </c>
      <c r="B4055" s="76" t="s">
        <v>11198</v>
      </c>
    </row>
    <row r="4056" spans="1:2" ht="15">
      <c r="A4056" s="77" t="s">
        <v>7962</v>
      </c>
      <c r="B4056" s="76" t="s">
        <v>11198</v>
      </c>
    </row>
    <row r="4057" spans="1:2" ht="15">
      <c r="A4057" s="77" t="s">
        <v>7963</v>
      </c>
      <c r="B4057" s="76" t="s">
        <v>11198</v>
      </c>
    </row>
    <row r="4058" spans="1:2" ht="15">
      <c r="A4058" s="77" t="s">
        <v>7964</v>
      </c>
      <c r="B4058" s="76" t="s">
        <v>11198</v>
      </c>
    </row>
    <row r="4059" spans="1:2" ht="15">
      <c r="A4059" s="77" t="s">
        <v>7965</v>
      </c>
      <c r="B4059" s="76" t="s">
        <v>11198</v>
      </c>
    </row>
    <row r="4060" spans="1:2" ht="15">
      <c r="A4060" s="77" t="s">
        <v>7966</v>
      </c>
      <c r="B4060" s="76" t="s">
        <v>11198</v>
      </c>
    </row>
    <row r="4061" spans="1:2" ht="15">
      <c r="A4061" s="77" t="s">
        <v>7967</v>
      </c>
      <c r="B4061" s="76" t="s">
        <v>11198</v>
      </c>
    </row>
    <row r="4062" spans="1:2" ht="15">
      <c r="A4062" s="77" t="s">
        <v>7968</v>
      </c>
      <c r="B4062" s="76" t="s">
        <v>11198</v>
      </c>
    </row>
    <row r="4063" spans="1:2" ht="15">
      <c r="A4063" s="77" t="s">
        <v>7969</v>
      </c>
      <c r="B4063" s="76" t="s">
        <v>11198</v>
      </c>
    </row>
    <row r="4064" spans="1:2" ht="15">
      <c r="A4064" s="77" t="s">
        <v>7970</v>
      </c>
      <c r="B4064" s="76" t="s">
        <v>11198</v>
      </c>
    </row>
    <row r="4065" spans="1:2" ht="15">
      <c r="A4065" s="77" t="s">
        <v>7971</v>
      </c>
      <c r="B4065" s="76" t="s">
        <v>11198</v>
      </c>
    </row>
    <row r="4066" spans="1:2" ht="15">
      <c r="A4066" s="77" t="s">
        <v>7972</v>
      </c>
      <c r="B4066" s="76" t="s">
        <v>11198</v>
      </c>
    </row>
    <row r="4067" spans="1:2" ht="15">
      <c r="A4067" s="77" t="s">
        <v>7973</v>
      </c>
      <c r="B4067" s="76" t="s">
        <v>11198</v>
      </c>
    </row>
    <row r="4068" spans="1:2" ht="15">
      <c r="A4068" s="77" t="s">
        <v>7974</v>
      </c>
      <c r="B4068" s="76" t="s">
        <v>11198</v>
      </c>
    </row>
    <row r="4069" spans="1:2" ht="15">
      <c r="A4069" s="77" t="s">
        <v>7975</v>
      </c>
      <c r="B4069" s="76" t="s">
        <v>11198</v>
      </c>
    </row>
    <row r="4070" spans="1:2" ht="15">
      <c r="A4070" s="77" t="s">
        <v>7976</v>
      </c>
      <c r="B4070" s="76" t="s">
        <v>11198</v>
      </c>
    </row>
    <row r="4071" spans="1:2" ht="15">
      <c r="A4071" s="77" t="s">
        <v>7977</v>
      </c>
      <c r="B4071" s="76" t="s">
        <v>11198</v>
      </c>
    </row>
    <row r="4072" spans="1:2" ht="15">
      <c r="A4072" s="77" t="s">
        <v>7978</v>
      </c>
      <c r="B4072" s="76" t="s">
        <v>11198</v>
      </c>
    </row>
    <row r="4073" spans="1:2" ht="15">
      <c r="A4073" s="77" t="s">
        <v>7979</v>
      </c>
      <c r="B4073" s="76" t="s">
        <v>11198</v>
      </c>
    </row>
    <row r="4074" spans="1:2" ht="15">
      <c r="A4074" s="77" t="s">
        <v>7980</v>
      </c>
      <c r="B4074" s="76" t="s">
        <v>11198</v>
      </c>
    </row>
    <row r="4075" spans="1:2" ht="15">
      <c r="A4075" s="77" t="s">
        <v>7981</v>
      </c>
      <c r="B4075" s="76" t="s">
        <v>11198</v>
      </c>
    </row>
    <row r="4076" spans="1:2" ht="15">
      <c r="A4076" s="77" t="s">
        <v>7982</v>
      </c>
      <c r="B4076" s="76" t="s">
        <v>11198</v>
      </c>
    </row>
    <row r="4077" spans="1:2" ht="15">
      <c r="A4077" s="77" t="s">
        <v>7983</v>
      </c>
      <c r="B4077" s="76" t="s">
        <v>11198</v>
      </c>
    </row>
    <row r="4078" spans="1:2" ht="15">
      <c r="A4078" s="77" t="s">
        <v>7984</v>
      </c>
      <c r="B4078" s="76" t="s">
        <v>11198</v>
      </c>
    </row>
    <row r="4079" spans="1:2" ht="15">
      <c r="A4079" s="77" t="s">
        <v>7985</v>
      </c>
      <c r="B4079" s="76" t="s">
        <v>11198</v>
      </c>
    </row>
    <row r="4080" spans="1:2" ht="15">
      <c r="A4080" s="77" t="s">
        <v>7986</v>
      </c>
      <c r="B4080" s="76" t="s">
        <v>11198</v>
      </c>
    </row>
    <row r="4081" spans="1:2" ht="15">
      <c r="A4081" s="77" t="s">
        <v>7987</v>
      </c>
      <c r="B4081" s="76" t="s">
        <v>11198</v>
      </c>
    </row>
    <row r="4082" spans="1:2" ht="15">
      <c r="A4082" s="77" t="s">
        <v>7988</v>
      </c>
      <c r="B4082" s="76" t="s">
        <v>11198</v>
      </c>
    </row>
    <row r="4083" spans="1:2" ht="15">
      <c r="A4083" s="77" t="s">
        <v>7989</v>
      </c>
      <c r="B4083" s="76" t="s">
        <v>11198</v>
      </c>
    </row>
    <row r="4084" spans="1:2" ht="15">
      <c r="A4084" s="77" t="s">
        <v>7990</v>
      </c>
      <c r="B4084" s="76" t="s">
        <v>11198</v>
      </c>
    </row>
    <row r="4085" spans="1:2" ht="15">
      <c r="A4085" s="77" t="s">
        <v>7991</v>
      </c>
      <c r="B4085" s="76" t="s">
        <v>11198</v>
      </c>
    </row>
    <row r="4086" spans="1:2" ht="15">
      <c r="A4086" s="77" t="s">
        <v>7992</v>
      </c>
      <c r="B4086" s="76" t="s">
        <v>11198</v>
      </c>
    </row>
    <row r="4087" spans="1:2" ht="15">
      <c r="A4087" s="77" t="s">
        <v>7993</v>
      </c>
      <c r="B4087" s="76" t="s">
        <v>11198</v>
      </c>
    </row>
    <row r="4088" spans="1:2" ht="15">
      <c r="A4088" s="77" t="s">
        <v>7994</v>
      </c>
      <c r="B4088" s="76" t="s">
        <v>11198</v>
      </c>
    </row>
    <row r="4089" spans="1:2" ht="15">
      <c r="A4089" s="77" t="s">
        <v>7995</v>
      </c>
      <c r="B4089" s="76" t="s">
        <v>11198</v>
      </c>
    </row>
    <row r="4090" spans="1:2" ht="15">
      <c r="A4090" s="77" t="s">
        <v>7996</v>
      </c>
      <c r="B4090" s="76" t="s">
        <v>11198</v>
      </c>
    </row>
    <row r="4091" spans="1:2" ht="15">
      <c r="A4091" s="77" t="s">
        <v>7997</v>
      </c>
      <c r="B4091" s="76" t="s">
        <v>11198</v>
      </c>
    </row>
    <row r="4092" spans="1:2" ht="15">
      <c r="A4092" s="77" t="s">
        <v>7998</v>
      </c>
      <c r="B4092" s="76" t="s">
        <v>11198</v>
      </c>
    </row>
    <row r="4093" spans="1:2" ht="15">
      <c r="A4093" s="77" t="s">
        <v>7999</v>
      </c>
      <c r="B4093" s="76" t="s">
        <v>11198</v>
      </c>
    </row>
    <row r="4094" spans="1:2" ht="15">
      <c r="A4094" s="77" t="s">
        <v>8000</v>
      </c>
      <c r="B4094" s="76" t="s">
        <v>11198</v>
      </c>
    </row>
    <row r="4095" spans="1:2" ht="15">
      <c r="A4095" s="77" t="s">
        <v>3605</v>
      </c>
      <c r="B4095" s="76" t="s">
        <v>11198</v>
      </c>
    </row>
    <row r="4096" spans="1:2" ht="15">
      <c r="A4096" s="77" t="s">
        <v>8001</v>
      </c>
      <c r="B4096" s="76" t="s">
        <v>11198</v>
      </c>
    </row>
    <row r="4097" spans="1:2" ht="15">
      <c r="A4097" s="77" t="s">
        <v>8002</v>
      </c>
      <c r="B4097" s="76" t="s">
        <v>11198</v>
      </c>
    </row>
    <row r="4098" spans="1:2" ht="15">
      <c r="A4098" s="77" t="s">
        <v>8003</v>
      </c>
      <c r="B4098" s="76" t="s">
        <v>11198</v>
      </c>
    </row>
    <row r="4099" spans="1:2" ht="15">
      <c r="A4099" s="77" t="s">
        <v>3490</v>
      </c>
      <c r="B4099" s="76" t="s">
        <v>11198</v>
      </c>
    </row>
    <row r="4100" spans="1:2" ht="15">
      <c r="A4100" s="77" t="s">
        <v>8004</v>
      </c>
      <c r="B4100" s="76" t="s">
        <v>11198</v>
      </c>
    </row>
    <row r="4101" spans="1:2" ht="15">
      <c r="A4101" s="77" t="s">
        <v>8005</v>
      </c>
      <c r="B4101" s="76" t="s">
        <v>11198</v>
      </c>
    </row>
    <row r="4102" spans="1:2" ht="15">
      <c r="A4102" s="77" t="s">
        <v>8006</v>
      </c>
      <c r="B4102" s="76" t="s">
        <v>11198</v>
      </c>
    </row>
    <row r="4103" spans="1:2" ht="15">
      <c r="A4103" s="77" t="s">
        <v>8007</v>
      </c>
      <c r="B4103" s="76" t="s">
        <v>11198</v>
      </c>
    </row>
    <row r="4104" spans="1:2" ht="15">
      <c r="A4104" s="77" t="s">
        <v>8008</v>
      </c>
      <c r="B4104" s="76" t="s">
        <v>11198</v>
      </c>
    </row>
    <row r="4105" spans="1:2" ht="15">
      <c r="A4105" s="77" t="s">
        <v>8009</v>
      </c>
      <c r="B4105" s="76" t="s">
        <v>11198</v>
      </c>
    </row>
    <row r="4106" spans="1:2" ht="15">
      <c r="A4106" s="77" t="s">
        <v>8010</v>
      </c>
      <c r="B4106" s="76" t="s">
        <v>11198</v>
      </c>
    </row>
    <row r="4107" spans="1:2" ht="15">
      <c r="A4107" s="77" t="s">
        <v>8011</v>
      </c>
      <c r="B4107" s="76" t="s">
        <v>11198</v>
      </c>
    </row>
    <row r="4108" spans="1:2" ht="15">
      <c r="A4108" s="77" t="s">
        <v>8012</v>
      </c>
      <c r="B4108" s="76" t="s">
        <v>11198</v>
      </c>
    </row>
    <row r="4109" spans="1:2" ht="15">
      <c r="A4109" s="77" t="s">
        <v>8013</v>
      </c>
      <c r="B4109" s="76" t="s">
        <v>11198</v>
      </c>
    </row>
    <row r="4110" spans="1:2" ht="15">
      <c r="A4110" s="77" t="s">
        <v>8014</v>
      </c>
      <c r="B4110" s="76" t="s">
        <v>11198</v>
      </c>
    </row>
    <row r="4111" spans="1:2" ht="15">
      <c r="A4111" s="77" t="s">
        <v>8015</v>
      </c>
      <c r="B4111" s="76" t="s">
        <v>11198</v>
      </c>
    </row>
    <row r="4112" spans="1:2" ht="15">
      <c r="A4112" s="77" t="s">
        <v>8016</v>
      </c>
      <c r="B4112" s="76" t="s">
        <v>11198</v>
      </c>
    </row>
    <row r="4113" spans="1:2" ht="15">
      <c r="A4113" s="77" t="s">
        <v>8017</v>
      </c>
      <c r="B4113" s="76" t="s">
        <v>11198</v>
      </c>
    </row>
    <row r="4114" spans="1:2" ht="15">
      <c r="A4114" s="77" t="s">
        <v>8018</v>
      </c>
      <c r="B4114" s="76" t="s">
        <v>11198</v>
      </c>
    </row>
    <row r="4115" spans="1:2" ht="15">
      <c r="A4115" s="77" t="b">
        <v>0</v>
      </c>
      <c r="B4115" s="76" t="s">
        <v>11198</v>
      </c>
    </row>
    <row r="4116" spans="1:2" ht="15">
      <c r="A4116" s="77" t="s">
        <v>8019</v>
      </c>
      <c r="B4116" s="76" t="s">
        <v>11198</v>
      </c>
    </row>
    <row r="4117" spans="1:2" ht="15">
      <c r="A4117" s="77" t="s">
        <v>8020</v>
      </c>
      <c r="B4117" s="76" t="s">
        <v>11198</v>
      </c>
    </row>
    <row r="4118" spans="1:2" ht="15">
      <c r="A4118" s="77" t="s">
        <v>8021</v>
      </c>
      <c r="B4118" s="76" t="s">
        <v>11198</v>
      </c>
    </row>
    <row r="4119" spans="1:2" ht="15">
      <c r="A4119" s="77" t="s">
        <v>8022</v>
      </c>
      <c r="B4119" s="76" t="s">
        <v>11198</v>
      </c>
    </row>
    <row r="4120" spans="1:2" ht="15">
      <c r="A4120" s="77" t="s">
        <v>8023</v>
      </c>
      <c r="B4120" s="76" t="s">
        <v>11198</v>
      </c>
    </row>
    <row r="4121" spans="1:2" ht="15">
      <c r="A4121" s="77" t="s">
        <v>8024</v>
      </c>
      <c r="B4121" s="76" t="s">
        <v>11198</v>
      </c>
    </row>
    <row r="4122" spans="1:2" ht="15">
      <c r="A4122" s="77" t="s">
        <v>8025</v>
      </c>
      <c r="B4122" s="76" t="s">
        <v>11198</v>
      </c>
    </row>
    <row r="4123" spans="1:2" ht="15">
      <c r="A4123" s="77" t="s">
        <v>8026</v>
      </c>
      <c r="B4123" s="76" t="s">
        <v>11198</v>
      </c>
    </row>
    <row r="4124" spans="1:2" ht="15">
      <c r="A4124" s="77" t="s">
        <v>8027</v>
      </c>
      <c r="B4124" s="76" t="s">
        <v>11198</v>
      </c>
    </row>
    <row r="4125" spans="1:2" ht="15">
      <c r="A4125" s="77" t="s">
        <v>8028</v>
      </c>
      <c r="B4125" s="76" t="s">
        <v>11198</v>
      </c>
    </row>
    <row r="4126" spans="1:2" ht="15">
      <c r="A4126" s="77" t="s">
        <v>8029</v>
      </c>
      <c r="B4126" s="76" t="s">
        <v>11198</v>
      </c>
    </row>
    <row r="4127" spans="1:2" ht="15">
      <c r="A4127" s="77" t="s">
        <v>8030</v>
      </c>
      <c r="B4127" s="76" t="s">
        <v>11198</v>
      </c>
    </row>
    <row r="4128" spans="1:2" ht="15">
      <c r="A4128" s="77" t="s">
        <v>8031</v>
      </c>
      <c r="B4128" s="76" t="s">
        <v>11198</v>
      </c>
    </row>
    <row r="4129" spans="1:2" ht="15">
      <c r="A4129" s="77" t="s">
        <v>8032</v>
      </c>
      <c r="B4129" s="76" t="s">
        <v>11198</v>
      </c>
    </row>
    <row r="4130" spans="1:2" ht="15">
      <c r="A4130" s="77" t="s">
        <v>8033</v>
      </c>
      <c r="B4130" s="76" t="s">
        <v>11198</v>
      </c>
    </row>
    <row r="4131" spans="1:2" ht="15">
      <c r="A4131" s="77" t="s">
        <v>8034</v>
      </c>
      <c r="B4131" s="76" t="s">
        <v>11198</v>
      </c>
    </row>
    <row r="4132" spans="1:2" ht="15">
      <c r="A4132" s="77" t="s">
        <v>8035</v>
      </c>
      <c r="B4132" s="76" t="s">
        <v>11198</v>
      </c>
    </row>
    <row r="4133" spans="1:2" ht="15">
      <c r="A4133" s="77" t="s">
        <v>8036</v>
      </c>
      <c r="B4133" s="76" t="s">
        <v>11198</v>
      </c>
    </row>
    <row r="4134" spans="1:2" ht="15">
      <c r="A4134" s="77" t="s">
        <v>8037</v>
      </c>
      <c r="B4134" s="76" t="s">
        <v>11198</v>
      </c>
    </row>
    <row r="4135" spans="1:2" ht="15">
      <c r="A4135" s="77" t="s">
        <v>8038</v>
      </c>
      <c r="B4135" s="76" t="s">
        <v>11198</v>
      </c>
    </row>
    <row r="4136" spans="1:2" ht="15">
      <c r="A4136" s="77" t="s">
        <v>8039</v>
      </c>
      <c r="B4136" s="76" t="s">
        <v>11198</v>
      </c>
    </row>
    <row r="4137" spans="1:2" ht="15">
      <c r="A4137" s="77" t="s">
        <v>8040</v>
      </c>
      <c r="B4137" s="76" t="s">
        <v>11198</v>
      </c>
    </row>
    <row r="4138" spans="1:2" ht="15">
      <c r="A4138" s="77" t="s">
        <v>8041</v>
      </c>
      <c r="B4138" s="76" t="s">
        <v>11198</v>
      </c>
    </row>
    <row r="4139" spans="1:2" ht="15">
      <c r="A4139" s="77" t="s">
        <v>8042</v>
      </c>
      <c r="B4139" s="76" t="s">
        <v>11198</v>
      </c>
    </row>
    <row r="4140" spans="1:2" ht="15">
      <c r="A4140" s="77" t="s">
        <v>8043</v>
      </c>
      <c r="B4140" s="76" t="s">
        <v>11198</v>
      </c>
    </row>
    <row r="4141" spans="1:2" ht="15">
      <c r="A4141" s="77" t="s">
        <v>8044</v>
      </c>
      <c r="B4141" s="76" t="s">
        <v>11198</v>
      </c>
    </row>
    <row r="4142" spans="1:2" ht="15">
      <c r="A4142" s="77" t="s">
        <v>8045</v>
      </c>
      <c r="B4142" s="76" t="s">
        <v>11198</v>
      </c>
    </row>
    <row r="4143" spans="1:2" ht="15">
      <c r="A4143" s="77" t="s">
        <v>8046</v>
      </c>
      <c r="B4143" s="76" t="s">
        <v>11198</v>
      </c>
    </row>
    <row r="4144" spans="1:2" ht="15">
      <c r="A4144" s="77" t="s">
        <v>8047</v>
      </c>
      <c r="B4144" s="76" t="s">
        <v>11198</v>
      </c>
    </row>
    <row r="4145" spans="1:2" ht="15">
      <c r="A4145" s="77" t="s">
        <v>8048</v>
      </c>
      <c r="B4145" s="76" t="s">
        <v>11198</v>
      </c>
    </row>
    <row r="4146" spans="1:2" ht="15">
      <c r="A4146" s="77" t="s">
        <v>8049</v>
      </c>
      <c r="B4146" s="76" t="s">
        <v>11198</v>
      </c>
    </row>
    <row r="4147" spans="1:2" ht="15">
      <c r="A4147" s="77" t="s">
        <v>8050</v>
      </c>
      <c r="B4147" s="76" t="s">
        <v>11198</v>
      </c>
    </row>
    <row r="4148" spans="1:2" ht="15">
      <c r="A4148" s="77" t="s">
        <v>8051</v>
      </c>
      <c r="B4148" s="76" t="s">
        <v>11198</v>
      </c>
    </row>
    <row r="4149" spans="1:2" ht="15">
      <c r="A4149" s="77" t="s">
        <v>8052</v>
      </c>
      <c r="B4149" s="76" t="s">
        <v>11198</v>
      </c>
    </row>
    <row r="4150" spans="1:2" ht="15">
      <c r="A4150" s="77" t="s">
        <v>8053</v>
      </c>
      <c r="B4150" s="76" t="s">
        <v>11198</v>
      </c>
    </row>
    <row r="4151" spans="1:2" ht="15">
      <c r="A4151" s="77" t="s">
        <v>8054</v>
      </c>
      <c r="B4151" s="76" t="s">
        <v>11198</v>
      </c>
    </row>
    <row r="4152" spans="1:2" ht="15">
      <c r="A4152" s="77" t="s">
        <v>8055</v>
      </c>
      <c r="B4152" s="76" t="s">
        <v>11198</v>
      </c>
    </row>
    <row r="4153" spans="1:2" ht="15">
      <c r="A4153" s="77" t="s">
        <v>8056</v>
      </c>
      <c r="B4153" s="76" t="s">
        <v>11198</v>
      </c>
    </row>
    <row r="4154" spans="1:2" ht="15">
      <c r="A4154" s="77" t="s">
        <v>8057</v>
      </c>
      <c r="B4154" s="76" t="s">
        <v>11198</v>
      </c>
    </row>
    <row r="4155" spans="1:2" ht="15">
      <c r="A4155" s="77" t="s">
        <v>8058</v>
      </c>
      <c r="B4155" s="76" t="s">
        <v>11198</v>
      </c>
    </row>
    <row r="4156" spans="1:2" ht="15">
      <c r="A4156" s="77" t="s">
        <v>8059</v>
      </c>
      <c r="B4156" s="76" t="s">
        <v>11198</v>
      </c>
    </row>
    <row r="4157" spans="1:2" ht="15">
      <c r="A4157" s="77" t="s">
        <v>8060</v>
      </c>
      <c r="B4157" s="76" t="s">
        <v>11198</v>
      </c>
    </row>
    <row r="4158" spans="1:2" ht="15">
      <c r="A4158" s="77" t="s">
        <v>8061</v>
      </c>
      <c r="B4158" s="76" t="s">
        <v>11198</v>
      </c>
    </row>
    <row r="4159" spans="1:2" ht="15">
      <c r="A4159" s="77" t="s">
        <v>8062</v>
      </c>
      <c r="B4159" s="76" t="s">
        <v>11198</v>
      </c>
    </row>
    <row r="4160" spans="1:2" ht="15">
      <c r="A4160" s="77" t="s">
        <v>8063</v>
      </c>
      <c r="B4160" s="76" t="s">
        <v>11198</v>
      </c>
    </row>
    <row r="4161" spans="1:2" ht="15">
      <c r="A4161" s="77" t="s">
        <v>8064</v>
      </c>
      <c r="B4161" s="76" t="s">
        <v>11198</v>
      </c>
    </row>
    <row r="4162" spans="1:2" ht="15">
      <c r="A4162" s="77" t="s">
        <v>8065</v>
      </c>
      <c r="B4162" s="76" t="s">
        <v>11198</v>
      </c>
    </row>
    <row r="4163" spans="1:2" ht="15">
      <c r="A4163" s="77" t="s">
        <v>8066</v>
      </c>
      <c r="B4163" s="76" t="s">
        <v>11198</v>
      </c>
    </row>
    <row r="4164" spans="1:2" ht="15">
      <c r="A4164" s="77" t="s">
        <v>8067</v>
      </c>
      <c r="B4164" s="76" t="s">
        <v>11198</v>
      </c>
    </row>
    <row r="4165" spans="1:2" ht="15">
      <c r="A4165" s="77" t="s">
        <v>8068</v>
      </c>
      <c r="B4165" s="76" t="s">
        <v>11198</v>
      </c>
    </row>
    <row r="4166" spans="1:2" ht="15">
      <c r="A4166" s="77" t="s">
        <v>8069</v>
      </c>
      <c r="B4166" s="76" t="s">
        <v>11198</v>
      </c>
    </row>
    <row r="4167" spans="1:2" ht="15">
      <c r="A4167" s="77" t="s">
        <v>8070</v>
      </c>
      <c r="B4167" s="76" t="s">
        <v>11198</v>
      </c>
    </row>
    <row r="4168" spans="1:2" ht="15">
      <c r="A4168" s="77" t="s">
        <v>8071</v>
      </c>
      <c r="B4168" s="76" t="s">
        <v>11198</v>
      </c>
    </row>
    <row r="4169" spans="1:2" ht="15">
      <c r="A4169" s="77" t="s">
        <v>8072</v>
      </c>
      <c r="B4169" s="76" t="s">
        <v>11198</v>
      </c>
    </row>
    <row r="4170" spans="1:2" ht="15">
      <c r="A4170" s="77" t="s">
        <v>8073</v>
      </c>
      <c r="B4170" s="76" t="s">
        <v>11198</v>
      </c>
    </row>
    <row r="4171" spans="1:2" ht="15">
      <c r="A4171" s="77" t="s">
        <v>8074</v>
      </c>
      <c r="B4171" s="76" t="s">
        <v>11198</v>
      </c>
    </row>
    <row r="4172" spans="1:2" ht="15">
      <c r="A4172" s="77" t="s">
        <v>8075</v>
      </c>
      <c r="B4172" s="76" t="s">
        <v>11198</v>
      </c>
    </row>
    <row r="4173" spans="1:2" ht="15">
      <c r="A4173" s="77" t="s">
        <v>8076</v>
      </c>
      <c r="B4173" s="76" t="s">
        <v>11198</v>
      </c>
    </row>
    <row r="4174" spans="1:2" ht="15">
      <c r="A4174" s="77" t="s">
        <v>8077</v>
      </c>
      <c r="B4174" s="76" t="s">
        <v>11198</v>
      </c>
    </row>
    <row r="4175" spans="1:2" ht="15">
      <c r="A4175" s="77" t="s">
        <v>8078</v>
      </c>
      <c r="B4175" s="76" t="s">
        <v>11198</v>
      </c>
    </row>
    <row r="4176" spans="1:2" ht="15">
      <c r="A4176" s="77" t="s">
        <v>8079</v>
      </c>
      <c r="B4176" s="76" t="s">
        <v>11198</v>
      </c>
    </row>
    <row r="4177" spans="1:2" ht="15">
      <c r="A4177" s="77" t="s">
        <v>8080</v>
      </c>
      <c r="B4177" s="76" t="s">
        <v>11198</v>
      </c>
    </row>
    <row r="4178" spans="1:2" ht="15">
      <c r="A4178" s="77" t="s">
        <v>8081</v>
      </c>
      <c r="B4178" s="76" t="s">
        <v>11198</v>
      </c>
    </row>
    <row r="4179" spans="1:2" ht="15">
      <c r="A4179" s="77" t="s">
        <v>8082</v>
      </c>
      <c r="B4179" s="76" t="s">
        <v>11198</v>
      </c>
    </row>
    <row r="4180" spans="1:2" ht="15">
      <c r="A4180" s="77" t="s">
        <v>8083</v>
      </c>
      <c r="B4180" s="76" t="s">
        <v>11198</v>
      </c>
    </row>
    <row r="4181" spans="1:2" ht="15">
      <c r="A4181" s="77" t="s">
        <v>8084</v>
      </c>
      <c r="B4181" s="76" t="s">
        <v>11198</v>
      </c>
    </row>
    <row r="4182" spans="1:2" ht="15">
      <c r="A4182" s="77" t="s">
        <v>8085</v>
      </c>
      <c r="B4182" s="76" t="s">
        <v>11198</v>
      </c>
    </row>
    <row r="4183" spans="1:2" ht="15">
      <c r="A4183" s="77" t="s">
        <v>8086</v>
      </c>
      <c r="B4183" s="76" t="s">
        <v>11198</v>
      </c>
    </row>
    <row r="4184" spans="1:2" ht="15">
      <c r="A4184" s="77" t="s">
        <v>8087</v>
      </c>
      <c r="B4184" s="76" t="s">
        <v>11198</v>
      </c>
    </row>
    <row r="4185" spans="1:2" ht="15">
      <c r="A4185" s="77" t="s">
        <v>8088</v>
      </c>
      <c r="B4185" s="76" t="s">
        <v>11198</v>
      </c>
    </row>
    <row r="4186" spans="1:2" ht="15">
      <c r="A4186" s="77" t="s">
        <v>8089</v>
      </c>
      <c r="B4186" s="76" t="s">
        <v>11198</v>
      </c>
    </row>
    <row r="4187" spans="1:2" ht="15">
      <c r="A4187" s="77" t="s">
        <v>8090</v>
      </c>
      <c r="B4187" s="76" t="s">
        <v>11198</v>
      </c>
    </row>
    <row r="4188" spans="1:2" ht="15">
      <c r="A4188" s="77" t="s">
        <v>3630</v>
      </c>
      <c r="B4188" s="76" t="s">
        <v>11198</v>
      </c>
    </row>
    <row r="4189" spans="1:2" ht="15">
      <c r="A4189" s="77" t="s">
        <v>8091</v>
      </c>
      <c r="B4189" s="76" t="s">
        <v>11198</v>
      </c>
    </row>
    <row r="4190" spans="1:2" ht="15">
      <c r="A4190" s="77" t="s">
        <v>8092</v>
      </c>
      <c r="B4190" s="76" t="s">
        <v>11198</v>
      </c>
    </row>
    <row r="4191" spans="1:2" ht="15">
      <c r="A4191" s="77" t="s">
        <v>8093</v>
      </c>
      <c r="B4191" s="76" t="s">
        <v>11198</v>
      </c>
    </row>
    <row r="4192" spans="1:2" ht="15">
      <c r="A4192" s="77" t="s">
        <v>8094</v>
      </c>
      <c r="B4192" s="76" t="s">
        <v>11198</v>
      </c>
    </row>
    <row r="4193" spans="1:2" ht="15">
      <c r="A4193" s="77" t="s">
        <v>8095</v>
      </c>
      <c r="B4193" s="76" t="s">
        <v>11198</v>
      </c>
    </row>
    <row r="4194" spans="1:2" ht="15">
      <c r="A4194" s="77" t="s">
        <v>8096</v>
      </c>
      <c r="B4194" s="76" t="s">
        <v>11198</v>
      </c>
    </row>
    <row r="4195" spans="1:2" ht="15">
      <c r="A4195" s="77" t="s">
        <v>8097</v>
      </c>
      <c r="B4195" s="76" t="s">
        <v>11198</v>
      </c>
    </row>
    <row r="4196" spans="1:2" ht="15">
      <c r="A4196" s="77" t="s">
        <v>8098</v>
      </c>
      <c r="B4196" s="76" t="s">
        <v>11198</v>
      </c>
    </row>
    <row r="4197" spans="1:2" ht="15">
      <c r="A4197" s="77" t="s">
        <v>8099</v>
      </c>
      <c r="B4197" s="76" t="s">
        <v>11198</v>
      </c>
    </row>
    <row r="4198" spans="1:2" ht="15">
      <c r="A4198" s="77" t="s">
        <v>8100</v>
      </c>
      <c r="B4198" s="76" t="s">
        <v>11198</v>
      </c>
    </row>
    <row r="4199" spans="1:2" ht="15">
      <c r="A4199" s="77" t="s">
        <v>8101</v>
      </c>
      <c r="B4199" s="76" t="s">
        <v>11198</v>
      </c>
    </row>
    <row r="4200" spans="1:2" ht="15">
      <c r="A4200" s="77" t="s">
        <v>8102</v>
      </c>
      <c r="B4200" s="76" t="s">
        <v>11198</v>
      </c>
    </row>
    <row r="4201" spans="1:2" ht="15">
      <c r="A4201" s="77" t="s">
        <v>8103</v>
      </c>
      <c r="B4201" s="76" t="s">
        <v>11198</v>
      </c>
    </row>
    <row r="4202" spans="1:2" ht="15">
      <c r="A4202" s="77" t="s">
        <v>8104</v>
      </c>
      <c r="B4202" s="76" t="s">
        <v>11198</v>
      </c>
    </row>
    <row r="4203" spans="1:2" ht="15">
      <c r="A4203" s="77" t="s">
        <v>8105</v>
      </c>
      <c r="B4203" s="76" t="s">
        <v>11198</v>
      </c>
    </row>
    <row r="4204" spans="1:2" ht="15">
      <c r="A4204" s="77" t="s">
        <v>8106</v>
      </c>
      <c r="B4204" s="76" t="s">
        <v>11198</v>
      </c>
    </row>
    <row r="4205" spans="1:2" ht="15">
      <c r="A4205" s="77" t="s">
        <v>8107</v>
      </c>
      <c r="B4205" s="76" t="s">
        <v>11198</v>
      </c>
    </row>
    <row r="4206" spans="1:2" ht="15">
      <c r="A4206" s="77" t="s">
        <v>8108</v>
      </c>
      <c r="B4206" s="76" t="s">
        <v>11198</v>
      </c>
    </row>
    <row r="4207" spans="1:2" ht="15">
      <c r="A4207" s="77" t="s">
        <v>8109</v>
      </c>
      <c r="B4207" s="76" t="s">
        <v>11198</v>
      </c>
    </row>
    <row r="4208" spans="1:2" ht="15">
      <c r="A4208" s="77" t="s">
        <v>8110</v>
      </c>
      <c r="B4208" s="76" t="s">
        <v>11198</v>
      </c>
    </row>
    <row r="4209" spans="1:2" ht="15">
      <c r="A4209" s="77" t="s">
        <v>8111</v>
      </c>
      <c r="B4209" s="76" t="s">
        <v>11198</v>
      </c>
    </row>
    <row r="4210" spans="1:2" ht="15">
      <c r="A4210" s="77" t="s">
        <v>8112</v>
      </c>
      <c r="B4210" s="76" t="s">
        <v>11198</v>
      </c>
    </row>
    <row r="4211" spans="1:2" ht="15">
      <c r="A4211" s="77" t="s">
        <v>8113</v>
      </c>
      <c r="B4211" s="76" t="s">
        <v>11198</v>
      </c>
    </row>
    <row r="4212" spans="1:2" ht="15">
      <c r="A4212" s="77" t="s">
        <v>8114</v>
      </c>
      <c r="B4212" s="76" t="s">
        <v>11198</v>
      </c>
    </row>
    <row r="4213" spans="1:2" ht="15">
      <c r="A4213" s="77" t="s">
        <v>8115</v>
      </c>
      <c r="B4213" s="76" t="s">
        <v>11198</v>
      </c>
    </row>
    <row r="4214" spans="1:2" ht="15">
      <c r="A4214" s="77" t="s">
        <v>8116</v>
      </c>
      <c r="B4214" s="76" t="s">
        <v>11198</v>
      </c>
    </row>
    <row r="4215" spans="1:2" ht="15">
      <c r="A4215" s="77" t="s">
        <v>8117</v>
      </c>
      <c r="B4215" s="76" t="s">
        <v>11198</v>
      </c>
    </row>
    <row r="4216" spans="1:2" ht="15">
      <c r="A4216" s="77" t="s">
        <v>8118</v>
      </c>
      <c r="B4216" s="76" t="s">
        <v>11198</v>
      </c>
    </row>
    <row r="4217" spans="1:2" ht="15">
      <c r="A4217" s="77" t="s">
        <v>8119</v>
      </c>
      <c r="B4217" s="76" t="s">
        <v>11198</v>
      </c>
    </row>
    <row r="4218" spans="1:2" ht="15">
      <c r="A4218" s="77" t="s">
        <v>8120</v>
      </c>
      <c r="B4218" s="76" t="s">
        <v>11198</v>
      </c>
    </row>
    <row r="4219" spans="1:2" ht="15">
      <c r="A4219" s="77" t="s">
        <v>8121</v>
      </c>
      <c r="B4219" s="76" t="s">
        <v>11198</v>
      </c>
    </row>
    <row r="4220" spans="1:2" ht="15">
      <c r="A4220" s="77" t="s">
        <v>8122</v>
      </c>
      <c r="B4220" s="76" t="s">
        <v>11198</v>
      </c>
    </row>
    <row r="4221" spans="1:2" ht="15">
      <c r="A4221" s="77" t="s">
        <v>8123</v>
      </c>
      <c r="B4221" s="76" t="s">
        <v>11198</v>
      </c>
    </row>
    <row r="4222" spans="1:2" ht="15">
      <c r="A4222" s="77" t="s">
        <v>8124</v>
      </c>
      <c r="B4222" s="76" t="s">
        <v>11198</v>
      </c>
    </row>
    <row r="4223" spans="1:2" ht="15">
      <c r="A4223" s="77" t="s">
        <v>3126</v>
      </c>
      <c r="B4223" s="76" t="s">
        <v>11198</v>
      </c>
    </row>
    <row r="4224" spans="1:2" ht="15">
      <c r="A4224" s="77" t="s">
        <v>8125</v>
      </c>
      <c r="B4224" s="76" t="s">
        <v>11198</v>
      </c>
    </row>
    <row r="4225" spans="1:2" ht="15">
      <c r="A4225" s="77" t="s">
        <v>8126</v>
      </c>
      <c r="B4225" s="76" t="s">
        <v>11198</v>
      </c>
    </row>
    <row r="4226" spans="1:2" ht="15">
      <c r="A4226" s="77" t="s">
        <v>8127</v>
      </c>
      <c r="B4226" s="76" t="s">
        <v>11198</v>
      </c>
    </row>
    <row r="4227" spans="1:2" ht="15">
      <c r="A4227" s="77" t="s">
        <v>8128</v>
      </c>
      <c r="B4227" s="76" t="s">
        <v>11198</v>
      </c>
    </row>
    <row r="4228" spans="1:2" ht="15">
      <c r="A4228" s="77" t="s">
        <v>8129</v>
      </c>
      <c r="B4228" s="76" t="s">
        <v>11198</v>
      </c>
    </row>
    <row r="4229" spans="1:2" ht="15">
      <c r="A4229" s="77" t="s">
        <v>8130</v>
      </c>
      <c r="B4229" s="76" t="s">
        <v>11198</v>
      </c>
    </row>
    <row r="4230" spans="1:2" ht="15">
      <c r="A4230" s="77" t="s">
        <v>8131</v>
      </c>
      <c r="B4230" s="76" t="s">
        <v>11198</v>
      </c>
    </row>
    <row r="4231" spans="1:2" ht="15">
      <c r="A4231" s="77" t="s">
        <v>8132</v>
      </c>
      <c r="B4231" s="76" t="s">
        <v>11198</v>
      </c>
    </row>
    <row r="4232" spans="1:2" ht="15">
      <c r="A4232" s="77" t="s">
        <v>8133</v>
      </c>
      <c r="B4232" s="76" t="s">
        <v>11198</v>
      </c>
    </row>
    <row r="4233" spans="1:2" ht="15">
      <c r="A4233" s="77" t="s">
        <v>8134</v>
      </c>
      <c r="B4233" s="76" t="s">
        <v>11198</v>
      </c>
    </row>
    <row r="4234" spans="1:2" ht="15">
      <c r="A4234" s="77" t="s">
        <v>8135</v>
      </c>
      <c r="B4234" s="76" t="s">
        <v>11198</v>
      </c>
    </row>
    <row r="4235" spans="1:2" ht="15">
      <c r="A4235" s="77" t="s">
        <v>8136</v>
      </c>
      <c r="B4235" s="76" t="s">
        <v>11198</v>
      </c>
    </row>
    <row r="4236" spans="1:2" ht="15">
      <c r="A4236" s="77" t="s">
        <v>8137</v>
      </c>
      <c r="B4236" s="76" t="s">
        <v>11198</v>
      </c>
    </row>
    <row r="4237" spans="1:2" ht="15">
      <c r="A4237" s="77" t="s">
        <v>8138</v>
      </c>
      <c r="B4237" s="76" t="s">
        <v>11198</v>
      </c>
    </row>
    <row r="4238" spans="1:2" ht="15">
      <c r="A4238" s="77" t="s">
        <v>8139</v>
      </c>
      <c r="B4238" s="76" t="s">
        <v>11198</v>
      </c>
    </row>
    <row r="4239" spans="1:2" ht="15">
      <c r="A4239" s="77" t="s">
        <v>8140</v>
      </c>
      <c r="B4239" s="76" t="s">
        <v>11198</v>
      </c>
    </row>
    <row r="4240" spans="1:2" ht="15">
      <c r="A4240" s="77" t="s">
        <v>8141</v>
      </c>
      <c r="B4240" s="76" t="s">
        <v>11198</v>
      </c>
    </row>
    <row r="4241" spans="1:2" ht="15">
      <c r="A4241" s="77" t="s">
        <v>8142</v>
      </c>
      <c r="B4241" s="76" t="s">
        <v>11198</v>
      </c>
    </row>
    <row r="4242" spans="1:2" ht="15">
      <c r="A4242" s="77" t="s">
        <v>8143</v>
      </c>
      <c r="B4242" s="76" t="s">
        <v>11198</v>
      </c>
    </row>
    <row r="4243" spans="1:2" ht="15">
      <c r="A4243" s="77" t="s">
        <v>8144</v>
      </c>
      <c r="B4243" s="76" t="s">
        <v>11198</v>
      </c>
    </row>
    <row r="4244" spans="1:2" ht="15">
      <c r="A4244" s="77" t="s">
        <v>8145</v>
      </c>
      <c r="B4244" s="76" t="s">
        <v>11198</v>
      </c>
    </row>
    <row r="4245" spans="1:2" ht="15">
      <c r="A4245" s="77" t="s">
        <v>8146</v>
      </c>
      <c r="B4245" s="76" t="s">
        <v>11198</v>
      </c>
    </row>
    <row r="4246" spans="1:2" ht="15">
      <c r="A4246" s="77" t="s">
        <v>8147</v>
      </c>
      <c r="B4246" s="76" t="s">
        <v>11198</v>
      </c>
    </row>
    <row r="4247" spans="1:2" ht="15">
      <c r="A4247" s="77" t="s">
        <v>8148</v>
      </c>
      <c r="B4247" s="76" t="s">
        <v>11198</v>
      </c>
    </row>
    <row r="4248" spans="1:2" ht="15">
      <c r="A4248" s="77" t="s">
        <v>8149</v>
      </c>
      <c r="B4248" s="76" t="s">
        <v>11198</v>
      </c>
    </row>
    <row r="4249" spans="1:2" ht="15">
      <c r="A4249" s="77" t="s">
        <v>8150</v>
      </c>
      <c r="B4249" s="76" t="s">
        <v>11198</v>
      </c>
    </row>
    <row r="4250" spans="1:2" ht="15">
      <c r="A4250" s="77" t="s">
        <v>8151</v>
      </c>
      <c r="B4250" s="76" t="s">
        <v>11198</v>
      </c>
    </row>
    <row r="4251" spans="1:2" ht="15">
      <c r="A4251" s="77" t="s">
        <v>8152</v>
      </c>
      <c r="B4251" s="76" t="s">
        <v>11198</v>
      </c>
    </row>
    <row r="4252" spans="1:2" ht="15">
      <c r="A4252" s="77" t="s">
        <v>8153</v>
      </c>
      <c r="B4252" s="76" t="s">
        <v>11198</v>
      </c>
    </row>
    <row r="4253" spans="1:2" ht="15">
      <c r="A4253" s="77" t="s">
        <v>8154</v>
      </c>
      <c r="B4253" s="76" t="s">
        <v>11198</v>
      </c>
    </row>
    <row r="4254" spans="1:2" ht="15">
      <c r="A4254" s="77" t="s">
        <v>8155</v>
      </c>
      <c r="B4254" s="76" t="s">
        <v>11198</v>
      </c>
    </row>
    <row r="4255" spans="1:2" ht="15">
      <c r="A4255" s="77" t="s">
        <v>8156</v>
      </c>
      <c r="B4255" s="76" t="s">
        <v>11198</v>
      </c>
    </row>
    <row r="4256" spans="1:2" ht="15">
      <c r="A4256" s="77" t="s">
        <v>8157</v>
      </c>
      <c r="B4256" s="76" t="s">
        <v>11198</v>
      </c>
    </row>
    <row r="4257" spans="1:2" ht="15">
      <c r="A4257" s="77" t="s">
        <v>8158</v>
      </c>
      <c r="B4257" s="76" t="s">
        <v>11198</v>
      </c>
    </row>
    <row r="4258" spans="1:2" ht="15">
      <c r="A4258" s="77" t="s">
        <v>8159</v>
      </c>
      <c r="B4258" s="76" t="s">
        <v>11198</v>
      </c>
    </row>
    <row r="4259" spans="1:2" ht="15">
      <c r="A4259" s="77" t="s">
        <v>8160</v>
      </c>
      <c r="B4259" s="76" t="s">
        <v>11198</v>
      </c>
    </row>
    <row r="4260" spans="1:2" ht="15">
      <c r="A4260" s="77" t="s">
        <v>8161</v>
      </c>
      <c r="B4260" s="76" t="s">
        <v>11198</v>
      </c>
    </row>
    <row r="4261" spans="1:2" ht="15">
      <c r="A4261" s="77" t="s">
        <v>8162</v>
      </c>
      <c r="B4261" s="76" t="s">
        <v>11198</v>
      </c>
    </row>
    <row r="4262" spans="1:2" ht="15">
      <c r="A4262" s="77" t="s">
        <v>8163</v>
      </c>
      <c r="B4262" s="76" t="s">
        <v>11198</v>
      </c>
    </row>
    <row r="4263" spans="1:2" ht="15">
      <c r="A4263" s="77" t="s">
        <v>8164</v>
      </c>
      <c r="B4263" s="76" t="s">
        <v>11198</v>
      </c>
    </row>
    <row r="4264" spans="1:2" ht="15">
      <c r="A4264" s="77" t="s">
        <v>8165</v>
      </c>
      <c r="B4264" s="76" t="s">
        <v>11198</v>
      </c>
    </row>
    <row r="4265" spans="1:2" ht="15">
      <c r="A4265" s="77" t="s">
        <v>8166</v>
      </c>
      <c r="B4265" s="76" t="s">
        <v>11198</v>
      </c>
    </row>
    <row r="4266" spans="1:2" ht="15">
      <c r="A4266" s="77" t="s">
        <v>8167</v>
      </c>
      <c r="B4266" s="76" t="s">
        <v>11198</v>
      </c>
    </row>
    <row r="4267" spans="1:2" ht="15">
      <c r="A4267" s="77" t="s">
        <v>8168</v>
      </c>
      <c r="B4267" s="76" t="s">
        <v>11198</v>
      </c>
    </row>
    <row r="4268" spans="1:2" ht="15">
      <c r="A4268" s="77" t="s">
        <v>8169</v>
      </c>
      <c r="B4268" s="76" t="s">
        <v>11198</v>
      </c>
    </row>
    <row r="4269" spans="1:2" ht="15">
      <c r="A4269" s="77" t="s">
        <v>8170</v>
      </c>
      <c r="B4269" s="76" t="s">
        <v>11198</v>
      </c>
    </row>
    <row r="4270" spans="1:2" ht="15">
      <c r="A4270" s="77" t="s">
        <v>8171</v>
      </c>
      <c r="B4270" s="76" t="s">
        <v>11198</v>
      </c>
    </row>
    <row r="4271" spans="1:2" ht="15">
      <c r="A4271" s="77" t="s">
        <v>8172</v>
      </c>
      <c r="B4271" s="76" t="s">
        <v>11198</v>
      </c>
    </row>
    <row r="4272" spans="1:2" ht="15">
      <c r="A4272" s="77" t="s">
        <v>8173</v>
      </c>
      <c r="B4272" s="76" t="s">
        <v>11198</v>
      </c>
    </row>
    <row r="4273" spans="1:2" ht="15">
      <c r="A4273" s="77" t="s">
        <v>8174</v>
      </c>
      <c r="B4273" s="76" t="s">
        <v>11198</v>
      </c>
    </row>
    <row r="4274" spans="1:2" ht="15">
      <c r="A4274" s="77" t="s">
        <v>8175</v>
      </c>
      <c r="B4274" s="76" t="s">
        <v>11198</v>
      </c>
    </row>
    <row r="4275" spans="1:2" ht="15">
      <c r="A4275" s="77" t="s">
        <v>8176</v>
      </c>
      <c r="B4275" s="76" t="s">
        <v>11198</v>
      </c>
    </row>
    <row r="4276" spans="1:2" ht="15">
      <c r="A4276" s="77" t="s">
        <v>8177</v>
      </c>
      <c r="B4276" s="76" t="s">
        <v>11198</v>
      </c>
    </row>
    <row r="4277" spans="1:2" ht="15">
      <c r="A4277" s="77" t="s">
        <v>8178</v>
      </c>
      <c r="B4277" s="76" t="s">
        <v>11198</v>
      </c>
    </row>
    <row r="4278" spans="1:2" ht="15">
      <c r="A4278" s="77" t="s">
        <v>8179</v>
      </c>
      <c r="B4278" s="76" t="s">
        <v>11198</v>
      </c>
    </row>
    <row r="4279" spans="1:2" ht="15">
      <c r="A4279" s="77" t="s">
        <v>8180</v>
      </c>
      <c r="B4279" s="76" t="s">
        <v>11198</v>
      </c>
    </row>
    <row r="4280" spans="1:2" ht="15">
      <c r="A4280" s="77" t="s">
        <v>8181</v>
      </c>
      <c r="B4280" s="76" t="s">
        <v>11198</v>
      </c>
    </row>
    <row r="4281" spans="1:2" ht="15">
      <c r="A4281" s="77" t="s">
        <v>8182</v>
      </c>
      <c r="B4281" s="76" t="s">
        <v>11198</v>
      </c>
    </row>
    <row r="4282" spans="1:2" ht="15">
      <c r="A4282" s="77" t="s">
        <v>8183</v>
      </c>
      <c r="B4282" s="76" t="s">
        <v>11198</v>
      </c>
    </row>
    <row r="4283" spans="1:2" ht="15">
      <c r="A4283" s="77" t="s">
        <v>8184</v>
      </c>
      <c r="B4283" s="76" t="s">
        <v>11198</v>
      </c>
    </row>
    <row r="4284" spans="1:2" ht="15">
      <c r="A4284" s="77" t="s">
        <v>8185</v>
      </c>
      <c r="B4284" s="76" t="s">
        <v>11198</v>
      </c>
    </row>
    <row r="4285" spans="1:2" ht="15">
      <c r="A4285" s="77" t="s">
        <v>8186</v>
      </c>
      <c r="B4285" s="76" t="s">
        <v>11198</v>
      </c>
    </row>
    <row r="4286" spans="1:2" ht="15">
      <c r="A4286" s="77" t="s">
        <v>8187</v>
      </c>
      <c r="B4286" s="76" t="s">
        <v>11198</v>
      </c>
    </row>
    <row r="4287" spans="1:2" ht="15">
      <c r="A4287" s="77" t="s">
        <v>8188</v>
      </c>
      <c r="B4287" s="76" t="s">
        <v>11198</v>
      </c>
    </row>
    <row r="4288" spans="1:2" ht="15">
      <c r="A4288" s="77" t="s">
        <v>8189</v>
      </c>
      <c r="B4288" s="76" t="s">
        <v>11198</v>
      </c>
    </row>
    <row r="4289" spans="1:2" ht="15">
      <c r="A4289" s="77" t="s">
        <v>8190</v>
      </c>
      <c r="B4289" s="76" t="s">
        <v>11198</v>
      </c>
    </row>
    <row r="4290" spans="1:2" ht="15">
      <c r="A4290" s="77" t="s">
        <v>8191</v>
      </c>
      <c r="B4290" s="76" t="s">
        <v>11198</v>
      </c>
    </row>
    <row r="4291" spans="1:2" ht="15">
      <c r="A4291" s="77" t="s">
        <v>8192</v>
      </c>
      <c r="B4291" s="76" t="s">
        <v>11198</v>
      </c>
    </row>
    <row r="4292" spans="1:2" ht="15">
      <c r="A4292" s="77" t="s">
        <v>8193</v>
      </c>
      <c r="B4292" s="76" t="s">
        <v>11198</v>
      </c>
    </row>
    <row r="4293" spans="1:2" ht="15">
      <c r="A4293" s="77" t="s">
        <v>8194</v>
      </c>
      <c r="B4293" s="76" t="s">
        <v>11198</v>
      </c>
    </row>
    <row r="4294" spans="1:2" ht="15">
      <c r="A4294" s="77" t="s">
        <v>8195</v>
      </c>
      <c r="B4294" s="76" t="s">
        <v>11198</v>
      </c>
    </row>
    <row r="4295" spans="1:2" ht="15">
      <c r="A4295" s="77" t="s">
        <v>8196</v>
      </c>
      <c r="B4295" s="76" t="s">
        <v>11198</v>
      </c>
    </row>
    <row r="4296" spans="1:2" ht="15">
      <c r="A4296" s="77" t="s">
        <v>8197</v>
      </c>
      <c r="B4296" s="76" t="s">
        <v>11198</v>
      </c>
    </row>
    <row r="4297" spans="1:2" ht="15">
      <c r="A4297" s="77" t="s">
        <v>8198</v>
      </c>
      <c r="B4297" s="76" t="s">
        <v>11198</v>
      </c>
    </row>
    <row r="4298" spans="1:2" ht="15">
      <c r="A4298" s="77" t="s">
        <v>8199</v>
      </c>
      <c r="B4298" s="76" t="s">
        <v>11198</v>
      </c>
    </row>
    <row r="4299" spans="1:2" ht="15">
      <c r="A4299" s="77" t="s">
        <v>8200</v>
      </c>
      <c r="B4299" s="76" t="s">
        <v>11198</v>
      </c>
    </row>
    <row r="4300" spans="1:2" ht="15">
      <c r="A4300" s="77" t="s">
        <v>8201</v>
      </c>
      <c r="B4300" s="76" t="s">
        <v>11198</v>
      </c>
    </row>
    <row r="4301" spans="1:2" ht="15">
      <c r="A4301" s="77" t="s">
        <v>8202</v>
      </c>
      <c r="B4301" s="76" t="s">
        <v>11198</v>
      </c>
    </row>
    <row r="4302" spans="1:2" ht="15">
      <c r="A4302" s="77" t="s">
        <v>8203</v>
      </c>
      <c r="B4302" s="76" t="s">
        <v>11198</v>
      </c>
    </row>
    <row r="4303" spans="1:2" ht="15">
      <c r="A4303" s="77" t="s">
        <v>8204</v>
      </c>
      <c r="B4303" s="76" t="s">
        <v>11198</v>
      </c>
    </row>
    <row r="4304" spans="1:2" ht="15">
      <c r="A4304" s="77" t="s">
        <v>8205</v>
      </c>
      <c r="B4304" s="76" t="s">
        <v>11198</v>
      </c>
    </row>
    <row r="4305" spans="1:2" ht="15">
      <c r="A4305" s="77" t="s">
        <v>8206</v>
      </c>
      <c r="B4305" s="76" t="s">
        <v>11198</v>
      </c>
    </row>
    <row r="4306" spans="1:2" ht="15">
      <c r="A4306" s="77" t="s">
        <v>8207</v>
      </c>
      <c r="B4306" s="76" t="s">
        <v>11198</v>
      </c>
    </row>
    <row r="4307" spans="1:2" ht="15">
      <c r="A4307" s="77" t="s">
        <v>8208</v>
      </c>
      <c r="B4307" s="76" t="s">
        <v>11198</v>
      </c>
    </row>
    <row r="4308" spans="1:2" ht="15">
      <c r="A4308" s="77" t="s">
        <v>8209</v>
      </c>
      <c r="B4308" s="76" t="s">
        <v>11198</v>
      </c>
    </row>
    <row r="4309" spans="1:2" ht="15">
      <c r="A4309" s="77" t="s">
        <v>8210</v>
      </c>
      <c r="B4309" s="76" t="s">
        <v>11198</v>
      </c>
    </row>
    <row r="4310" spans="1:2" ht="15">
      <c r="A4310" s="77" t="s">
        <v>8211</v>
      </c>
      <c r="B4310" s="76" t="s">
        <v>11198</v>
      </c>
    </row>
    <row r="4311" spans="1:2" ht="15">
      <c r="A4311" s="77" t="s">
        <v>8212</v>
      </c>
      <c r="B4311" s="76" t="s">
        <v>11198</v>
      </c>
    </row>
    <row r="4312" spans="1:2" ht="15">
      <c r="A4312" s="77" t="s">
        <v>8213</v>
      </c>
      <c r="B4312" s="76" t="s">
        <v>11198</v>
      </c>
    </row>
    <row r="4313" spans="1:2" ht="15">
      <c r="A4313" s="77" t="s">
        <v>8214</v>
      </c>
      <c r="B4313" s="76" t="s">
        <v>11198</v>
      </c>
    </row>
    <row r="4314" spans="1:2" ht="15">
      <c r="A4314" s="77" t="s">
        <v>8215</v>
      </c>
      <c r="B4314" s="76" t="s">
        <v>11198</v>
      </c>
    </row>
    <row r="4315" spans="1:2" ht="15">
      <c r="A4315" s="77" t="s">
        <v>8216</v>
      </c>
      <c r="B4315" s="76" t="s">
        <v>11198</v>
      </c>
    </row>
    <row r="4316" spans="1:2" ht="15">
      <c r="A4316" s="77" t="s">
        <v>8217</v>
      </c>
      <c r="B4316" s="76" t="s">
        <v>11198</v>
      </c>
    </row>
    <row r="4317" spans="1:2" ht="15">
      <c r="A4317" s="77" t="s">
        <v>8218</v>
      </c>
      <c r="B4317" s="76" t="s">
        <v>11198</v>
      </c>
    </row>
    <row r="4318" spans="1:2" ht="15">
      <c r="A4318" s="77" t="s">
        <v>8219</v>
      </c>
      <c r="B4318" s="76" t="s">
        <v>11198</v>
      </c>
    </row>
    <row r="4319" spans="1:2" ht="15">
      <c r="A4319" s="77" t="s">
        <v>8220</v>
      </c>
      <c r="B4319" s="76" t="s">
        <v>11198</v>
      </c>
    </row>
    <row r="4320" spans="1:2" ht="15">
      <c r="A4320" s="77" t="s">
        <v>8221</v>
      </c>
      <c r="B4320" s="76" t="s">
        <v>11198</v>
      </c>
    </row>
    <row r="4321" spans="1:2" ht="15">
      <c r="A4321" s="77" t="s">
        <v>8222</v>
      </c>
      <c r="B4321" s="76" t="s">
        <v>11198</v>
      </c>
    </row>
    <row r="4322" spans="1:2" ht="15">
      <c r="A4322" s="77" t="s">
        <v>8223</v>
      </c>
      <c r="B4322" s="76" t="s">
        <v>11198</v>
      </c>
    </row>
    <row r="4323" spans="1:2" ht="15">
      <c r="A4323" s="77" t="s">
        <v>8224</v>
      </c>
      <c r="B4323" s="76" t="s">
        <v>11198</v>
      </c>
    </row>
    <row r="4324" spans="1:2" ht="15">
      <c r="A4324" s="77" t="s">
        <v>8225</v>
      </c>
      <c r="B4324" s="76" t="s">
        <v>11198</v>
      </c>
    </row>
    <row r="4325" spans="1:2" ht="15">
      <c r="A4325" s="77" t="s">
        <v>8226</v>
      </c>
      <c r="B4325" s="76" t="s">
        <v>11198</v>
      </c>
    </row>
    <row r="4326" spans="1:2" ht="15">
      <c r="A4326" s="77" t="s">
        <v>8227</v>
      </c>
      <c r="B4326" s="76" t="s">
        <v>11198</v>
      </c>
    </row>
    <row r="4327" spans="1:2" ht="15">
      <c r="A4327" s="77" t="s">
        <v>8228</v>
      </c>
      <c r="B4327" s="76" t="s">
        <v>11198</v>
      </c>
    </row>
    <row r="4328" spans="1:2" ht="15">
      <c r="A4328" s="77" t="s">
        <v>8229</v>
      </c>
      <c r="B4328" s="76" t="s">
        <v>11198</v>
      </c>
    </row>
    <row r="4329" spans="1:2" ht="15">
      <c r="A4329" s="77" t="s">
        <v>8230</v>
      </c>
      <c r="B4329" s="76" t="s">
        <v>11198</v>
      </c>
    </row>
    <row r="4330" spans="1:2" ht="15">
      <c r="A4330" s="77" t="s">
        <v>8231</v>
      </c>
      <c r="B4330" s="76" t="s">
        <v>11198</v>
      </c>
    </row>
    <row r="4331" spans="1:2" ht="15">
      <c r="A4331" s="77" t="s">
        <v>8232</v>
      </c>
      <c r="B4331" s="76" t="s">
        <v>11198</v>
      </c>
    </row>
    <row r="4332" spans="1:2" ht="15">
      <c r="A4332" s="77" t="s">
        <v>8233</v>
      </c>
      <c r="B4332" s="76" t="s">
        <v>11198</v>
      </c>
    </row>
    <row r="4333" spans="1:2" ht="15">
      <c r="A4333" s="77" t="s">
        <v>8234</v>
      </c>
      <c r="B4333" s="76" t="s">
        <v>11198</v>
      </c>
    </row>
    <row r="4334" spans="1:2" ht="15">
      <c r="A4334" s="77" t="s">
        <v>8235</v>
      </c>
      <c r="B4334" s="76" t="s">
        <v>11198</v>
      </c>
    </row>
    <row r="4335" spans="1:2" ht="15">
      <c r="A4335" s="77" t="s">
        <v>8236</v>
      </c>
      <c r="B4335" s="76" t="s">
        <v>11198</v>
      </c>
    </row>
    <row r="4336" spans="1:2" ht="15">
      <c r="A4336" s="77" t="s">
        <v>8237</v>
      </c>
      <c r="B4336" s="76" t="s">
        <v>11198</v>
      </c>
    </row>
    <row r="4337" spans="1:2" ht="15">
      <c r="A4337" s="77" t="s">
        <v>8238</v>
      </c>
      <c r="B4337" s="76" t="s">
        <v>11198</v>
      </c>
    </row>
    <row r="4338" spans="1:2" ht="15">
      <c r="A4338" s="77" t="s">
        <v>8239</v>
      </c>
      <c r="B4338" s="76" t="s">
        <v>11198</v>
      </c>
    </row>
    <row r="4339" spans="1:2" ht="15">
      <c r="A4339" s="77" t="s">
        <v>8240</v>
      </c>
      <c r="B4339" s="76" t="s">
        <v>11198</v>
      </c>
    </row>
    <row r="4340" spans="1:2" ht="15">
      <c r="A4340" s="77" t="s">
        <v>8241</v>
      </c>
      <c r="B4340" s="76" t="s">
        <v>11198</v>
      </c>
    </row>
    <row r="4341" spans="1:2" ht="15">
      <c r="A4341" s="77" t="s">
        <v>8242</v>
      </c>
      <c r="B4341" s="76" t="s">
        <v>11198</v>
      </c>
    </row>
    <row r="4342" spans="1:2" ht="15">
      <c r="A4342" s="77" t="s">
        <v>8243</v>
      </c>
      <c r="B4342" s="76" t="s">
        <v>11198</v>
      </c>
    </row>
    <row r="4343" spans="1:2" ht="15">
      <c r="A4343" s="77" t="s">
        <v>8244</v>
      </c>
      <c r="B4343" s="76" t="s">
        <v>11198</v>
      </c>
    </row>
    <row r="4344" spans="1:2" ht="15">
      <c r="A4344" s="77" t="s">
        <v>8245</v>
      </c>
      <c r="B4344" s="76" t="s">
        <v>11198</v>
      </c>
    </row>
    <row r="4345" spans="1:2" ht="15">
      <c r="A4345" s="77" t="s">
        <v>8246</v>
      </c>
      <c r="B4345" s="76" t="s">
        <v>11198</v>
      </c>
    </row>
    <row r="4346" spans="1:2" ht="15">
      <c r="A4346" s="77" t="s">
        <v>8247</v>
      </c>
      <c r="B4346" s="76" t="s">
        <v>11198</v>
      </c>
    </row>
    <row r="4347" spans="1:2" ht="15">
      <c r="A4347" s="77" t="s">
        <v>8248</v>
      </c>
      <c r="B4347" s="76" t="s">
        <v>11198</v>
      </c>
    </row>
    <row r="4348" spans="1:2" ht="15">
      <c r="A4348" s="77" t="s">
        <v>8249</v>
      </c>
      <c r="B4348" s="76" t="s">
        <v>11198</v>
      </c>
    </row>
    <row r="4349" spans="1:2" ht="15">
      <c r="A4349" s="77" t="s">
        <v>8250</v>
      </c>
      <c r="B4349" s="76" t="s">
        <v>11198</v>
      </c>
    </row>
    <row r="4350" spans="1:2" ht="15">
      <c r="A4350" s="77" t="s">
        <v>8251</v>
      </c>
      <c r="B4350" s="76" t="s">
        <v>11198</v>
      </c>
    </row>
    <row r="4351" spans="1:2" ht="15">
      <c r="A4351" s="77" t="s">
        <v>8252</v>
      </c>
      <c r="B4351" s="76" t="s">
        <v>11198</v>
      </c>
    </row>
    <row r="4352" spans="1:2" ht="15">
      <c r="A4352" s="77" t="s">
        <v>8253</v>
      </c>
      <c r="B4352" s="76" t="s">
        <v>11198</v>
      </c>
    </row>
    <row r="4353" spans="1:2" ht="15">
      <c r="A4353" s="77" t="s">
        <v>8254</v>
      </c>
      <c r="B4353" s="76" t="s">
        <v>11198</v>
      </c>
    </row>
    <row r="4354" spans="1:2" ht="15">
      <c r="A4354" s="77" t="s">
        <v>8255</v>
      </c>
      <c r="B4354" s="76" t="s">
        <v>11198</v>
      </c>
    </row>
    <row r="4355" spans="1:2" ht="15">
      <c r="A4355" s="77" t="s">
        <v>8256</v>
      </c>
      <c r="B4355" s="76" t="s">
        <v>11198</v>
      </c>
    </row>
    <row r="4356" spans="1:2" ht="15">
      <c r="A4356" s="77" t="s">
        <v>8257</v>
      </c>
      <c r="B4356" s="76" t="s">
        <v>11198</v>
      </c>
    </row>
    <row r="4357" spans="1:2" ht="15">
      <c r="A4357" s="77" t="s">
        <v>8258</v>
      </c>
      <c r="B4357" s="76" t="s">
        <v>11198</v>
      </c>
    </row>
    <row r="4358" spans="1:2" ht="15">
      <c r="A4358" s="77" t="s">
        <v>8259</v>
      </c>
      <c r="B4358" s="76" t="s">
        <v>11198</v>
      </c>
    </row>
    <row r="4359" spans="1:2" ht="15">
      <c r="A4359" s="77" t="s">
        <v>8260</v>
      </c>
      <c r="B4359" s="76" t="s">
        <v>11198</v>
      </c>
    </row>
    <row r="4360" spans="1:2" ht="15">
      <c r="A4360" s="77" t="s">
        <v>8261</v>
      </c>
      <c r="B4360" s="76" t="s">
        <v>11198</v>
      </c>
    </row>
    <row r="4361" spans="1:2" ht="15">
      <c r="A4361" s="77" t="s">
        <v>8262</v>
      </c>
      <c r="B4361" s="76" t="s">
        <v>11198</v>
      </c>
    </row>
    <row r="4362" spans="1:2" ht="15">
      <c r="A4362" s="77" t="s">
        <v>8263</v>
      </c>
      <c r="B4362" s="76" t="s">
        <v>11198</v>
      </c>
    </row>
    <row r="4363" spans="1:2" ht="15">
      <c r="A4363" s="77" t="s">
        <v>8264</v>
      </c>
      <c r="B4363" s="76" t="s">
        <v>11198</v>
      </c>
    </row>
    <row r="4364" spans="1:2" ht="15">
      <c r="A4364" s="77" t="s">
        <v>8265</v>
      </c>
      <c r="B4364" s="76" t="s">
        <v>11198</v>
      </c>
    </row>
    <row r="4365" spans="1:2" ht="15">
      <c r="A4365" s="77" t="s">
        <v>8266</v>
      </c>
      <c r="B4365" s="76" t="s">
        <v>11198</v>
      </c>
    </row>
    <row r="4366" spans="1:2" ht="15">
      <c r="A4366" s="77" t="s">
        <v>8267</v>
      </c>
      <c r="B4366" s="76" t="s">
        <v>11198</v>
      </c>
    </row>
    <row r="4367" spans="1:2" ht="15">
      <c r="A4367" s="77" t="s">
        <v>8268</v>
      </c>
      <c r="B4367" s="76" t="s">
        <v>11198</v>
      </c>
    </row>
    <row r="4368" spans="1:2" ht="15">
      <c r="A4368" s="77" t="s">
        <v>8269</v>
      </c>
      <c r="B4368" s="76" t="s">
        <v>11198</v>
      </c>
    </row>
    <row r="4369" spans="1:2" ht="15">
      <c r="A4369" s="77" t="s">
        <v>8270</v>
      </c>
      <c r="B4369" s="76" t="s">
        <v>11198</v>
      </c>
    </row>
    <row r="4370" spans="1:2" ht="15">
      <c r="A4370" s="77" t="s">
        <v>8271</v>
      </c>
      <c r="B4370" s="76" t="s">
        <v>11198</v>
      </c>
    </row>
    <row r="4371" spans="1:2" ht="15">
      <c r="A4371" s="77" t="s">
        <v>8272</v>
      </c>
      <c r="B4371" s="76" t="s">
        <v>11198</v>
      </c>
    </row>
    <row r="4372" spans="1:2" ht="15">
      <c r="A4372" s="77" t="s">
        <v>8273</v>
      </c>
      <c r="B4372" s="76" t="s">
        <v>11198</v>
      </c>
    </row>
    <row r="4373" spans="1:2" ht="15">
      <c r="A4373" s="77" t="s">
        <v>8274</v>
      </c>
      <c r="B4373" s="76" t="s">
        <v>11198</v>
      </c>
    </row>
    <row r="4374" spans="1:2" ht="15">
      <c r="A4374" s="77" t="s">
        <v>8275</v>
      </c>
      <c r="B4374" s="76" t="s">
        <v>11198</v>
      </c>
    </row>
    <row r="4375" spans="1:2" ht="15">
      <c r="A4375" s="77" t="s">
        <v>8276</v>
      </c>
      <c r="B4375" s="76" t="s">
        <v>11198</v>
      </c>
    </row>
    <row r="4376" spans="1:2" ht="15">
      <c r="A4376" s="77" t="s">
        <v>8277</v>
      </c>
      <c r="B4376" s="76" t="s">
        <v>11198</v>
      </c>
    </row>
    <row r="4377" spans="1:2" ht="15">
      <c r="A4377" s="77" t="s">
        <v>8278</v>
      </c>
      <c r="B4377" s="76" t="s">
        <v>11198</v>
      </c>
    </row>
    <row r="4378" spans="1:2" ht="15">
      <c r="A4378" s="77" t="s">
        <v>8279</v>
      </c>
      <c r="B4378" s="76" t="s">
        <v>11198</v>
      </c>
    </row>
    <row r="4379" spans="1:2" ht="15">
      <c r="A4379" s="77" t="s">
        <v>8280</v>
      </c>
      <c r="B4379" s="76" t="s">
        <v>11198</v>
      </c>
    </row>
    <row r="4380" spans="1:2" ht="15">
      <c r="A4380" s="77" t="s">
        <v>8281</v>
      </c>
      <c r="B4380" s="76" t="s">
        <v>11198</v>
      </c>
    </row>
    <row r="4381" spans="1:2" ht="15">
      <c r="A4381" s="77" t="s">
        <v>8282</v>
      </c>
      <c r="B4381" s="76" t="s">
        <v>11198</v>
      </c>
    </row>
    <row r="4382" spans="1:2" ht="15">
      <c r="A4382" s="77" t="s">
        <v>8283</v>
      </c>
      <c r="B4382" s="76" t="s">
        <v>11198</v>
      </c>
    </row>
    <row r="4383" spans="1:2" ht="15">
      <c r="A4383" s="77" t="s">
        <v>8284</v>
      </c>
      <c r="B4383" s="76" t="s">
        <v>11198</v>
      </c>
    </row>
    <row r="4384" spans="1:2" ht="15">
      <c r="A4384" s="77" t="s">
        <v>8285</v>
      </c>
      <c r="B4384" s="76" t="s">
        <v>11198</v>
      </c>
    </row>
    <row r="4385" spans="1:2" ht="15">
      <c r="A4385" s="77" t="s">
        <v>8286</v>
      </c>
      <c r="B4385" s="76" t="s">
        <v>11198</v>
      </c>
    </row>
    <row r="4386" spans="1:2" ht="15">
      <c r="A4386" s="77" t="s">
        <v>8287</v>
      </c>
      <c r="B4386" s="76" t="s">
        <v>11198</v>
      </c>
    </row>
    <row r="4387" spans="1:2" ht="15">
      <c r="A4387" s="77" t="s">
        <v>8288</v>
      </c>
      <c r="B4387" s="76" t="s">
        <v>11198</v>
      </c>
    </row>
    <row r="4388" spans="1:2" ht="15">
      <c r="A4388" s="77" t="s">
        <v>8289</v>
      </c>
      <c r="B4388" s="76" t="s">
        <v>11198</v>
      </c>
    </row>
    <row r="4389" spans="1:2" ht="15">
      <c r="A4389" s="77" t="s">
        <v>8290</v>
      </c>
      <c r="B4389" s="76" t="s">
        <v>11198</v>
      </c>
    </row>
    <row r="4390" spans="1:2" ht="15">
      <c r="A4390" s="77" t="s">
        <v>8291</v>
      </c>
      <c r="B4390" s="76" t="s">
        <v>11198</v>
      </c>
    </row>
    <row r="4391" spans="1:2" ht="15">
      <c r="A4391" s="77" t="s">
        <v>8292</v>
      </c>
      <c r="B4391" s="76" t="s">
        <v>11198</v>
      </c>
    </row>
    <row r="4392" spans="1:2" ht="15">
      <c r="A4392" s="77" t="s">
        <v>8293</v>
      </c>
      <c r="B4392" s="76" t="s">
        <v>11198</v>
      </c>
    </row>
    <row r="4393" spans="1:2" ht="15">
      <c r="A4393" s="77" t="s">
        <v>8294</v>
      </c>
      <c r="B4393" s="76" t="s">
        <v>11198</v>
      </c>
    </row>
    <row r="4394" spans="1:2" ht="15">
      <c r="A4394" s="77" t="s">
        <v>8295</v>
      </c>
      <c r="B4394" s="76" t="s">
        <v>11198</v>
      </c>
    </row>
    <row r="4395" spans="1:2" ht="15">
      <c r="A4395" s="77" t="s">
        <v>8296</v>
      </c>
      <c r="B4395" s="76" t="s">
        <v>11198</v>
      </c>
    </row>
    <row r="4396" spans="1:2" ht="15">
      <c r="A4396" s="77" t="s">
        <v>8297</v>
      </c>
      <c r="B4396" s="76" t="s">
        <v>11198</v>
      </c>
    </row>
    <row r="4397" spans="1:2" ht="15">
      <c r="A4397" s="77" t="s">
        <v>8298</v>
      </c>
      <c r="B4397" s="76" t="s">
        <v>11198</v>
      </c>
    </row>
    <row r="4398" spans="1:2" ht="15">
      <c r="A4398" s="77" t="s">
        <v>8299</v>
      </c>
      <c r="B4398" s="76" t="s">
        <v>11198</v>
      </c>
    </row>
    <row r="4399" spans="1:2" ht="15">
      <c r="A4399" s="77" t="s">
        <v>8300</v>
      </c>
      <c r="B4399" s="76" t="s">
        <v>11198</v>
      </c>
    </row>
    <row r="4400" spans="1:2" ht="15">
      <c r="A4400" s="77" t="s">
        <v>8301</v>
      </c>
      <c r="B4400" s="76" t="s">
        <v>11198</v>
      </c>
    </row>
    <row r="4401" spans="1:2" ht="15">
      <c r="A4401" s="77" t="s">
        <v>8302</v>
      </c>
      <c r="B4401" s="76" t="s">
        <v>11198</v>
      </c>
    </row>
    <row r="4402" spans="1:2" ht="15">
      <c r="A4402" s="77" t="s">
        <v>8303</v>
      </c>
      <c r="B4402" s="76" t="s">
        <v>11198</v>
      </c>
    </row>
    <row r="4403" spans="1:2" ht="15">
      <c r="A4403" s="77" t="s">
        <v>8304</v>
      </c>
      <c r="B4403" s="76" t="s">
        <v>11198</v>
      </c>
    </row>
    <row r="4404" spans="1:2" ht="15">
      <c r="A4404" s="77" t="s">
        <v>8305</v>
      </c>
      <c r="B4404" s="76" t="s">
        <v>11198</v>
      </c>
    </row>
    <row r="4405" spans="1:2" ht="15">
      <c r="A4405" s="77" t="s">
        <v>8306</v>
      </c>
      <c r="B4405" s="76" t="s">
        <v>11198</v>
      </c>
    </row>
    <row r="4406" spans="1:2" ht="15">
      <c r="A4406" s="77" t="s">
        <v>8307</v>
      </c>
      <c r="B4406" s="76" t="s">
        <v>11198</v>
      </c>
    </row>
    <row r="4407" spans="1:2" ht="15">
      <c r="A4407" s="77" t="s">
        <v>8308</v>
      </c>
      <c r="B4407" s="76" t="s">
        <v>11198</v>
      </c>
    </row>
    <row r="4408" spans="1:2" ht="15">
      <c r="A4408" s="77" t="s">
        <v>8309</v>
      </c>
      <c r="B4408" s="76" t="s">
        <v>11198</v>
      </c>
    </row>
    <row r="4409" spans="1:2" ht="15">
      <c r="A4409" s="77" t="s">
        <v>8310</v>
      </c>
      <c r="B4409" s="76" t="s">
        <v>11198</v>
      </c>
    </row>
    <row r="4410" spans="1:2" ht="15">
      <c r="A4410" s="77" t="s">
        <v>8311</v>
      </c>
      <c r="B4410" s="76" t="s">
        <v>11198</v>
      </c>
    </row>
    <row r="4411" spans="1:2" ht="15">
      <c r="A4411" s="77" t="s">
        <v>8312</v>
      </c>
      <c r="B4411" s="76" t="s">
        <v>11198</v>
      </c>
    </row>
    <row r="4412" spans="1:2" ht="15">
      <c r="A4412" s="77" t="s">
        <v>3869</v>
      </c>
      <c r="B4412" s="76" t="s">
        <v>11198</v>
      </c>
    </row>
    <row r="4413" spans="1:2" ht="15">
      <c r="A4413" s="77" t="s">
        <v>8313</v>
      </c>
      <c r="B4413" s="76" t="s">
        <v>11198</v>
      </c>
    </row>
    <row r="4414" spans="1:2" ht="15">
      <c r="A4414" s="77" t="s">
        <v>8314</v>
      </c>
      <c r="B4414" s="76" t="s">
        <v>11198</v>
      </c>
    </row>
    <row r="4415" spans="1:2" ht="15">
      <c r="A4415" s="77" t="s">
        <v>8315</v>
      </c>
      <c r="B4415" s="76" t="s">
        <v>11198</v>
      </c>
    </row>
    <row r="4416" spans="1:2" ht="15">
      <c r="A4416" s="77" t="s">
        <v>8316</v>
      </c>
      <c r="B4416" s="76" t="s">
        <v>11198</v>
      </c>
    </row>
    <row r="4417" spans="1:2" ht="15">
      <c r="A4417" s="77" t="s">
        <v>8317</v>
      </c>
      <c r="B4417" s="76" t="s">
        <v>11198</v>
      </c>
    </row>
    <row r="4418" spans="1:2" ht="15">
      <c r="A4418" s="77" t="s">
        <v>8318</v>
      </c>
      <c r="B4418" s="76" t="s">
        <v>11198</v>
      </c>
    </row>
    <row r="4419" spans="1:2" ht="15">
      <c r="A4419" s="77" t="s">
        <v>8319</v>
      </c>
      <c r="B4419" s="76" t="s">
        <v>11198</v>
      </c>
    </row>
    <row r="4420" spans="1:2" ht="15">
      <c r="A4420" s="77" t="s">
        <v>8320</v>
      </c>
      <c r="B4420" s="76" t="s">
        <v>11198</v>
      </c>
    </row>
    <row r="4421" spans="1:2" ht="15">
      <c r="A4421" s="77" t="s">
        <v>8321</v>
      </c>
      <c r="B4421" s="76" t="s">
        <v>11198</v>
      </c>
    </row>
    <row r="4422" spans="1:2" ht="15">
      <c r="A4422" s="77" t="s">
        <v>8322</v>
      </c>
      <c r="B4422" s="76" t="s">
        <v>11198</v>
      </c>
    </row>
    <row r="4423" spans="1:2" ht="15">
      <c r="A4423" s="77" t="s">
        <v>8323</v>
      </c>
      <c r="B4423" s="76" t="s">
        <v>11198</v>
      </c>
    </row>
    <row r="4424" spans="1:2" ht="15">
      <c r="A4424" s="77" t="s">
        <v>8324</v>
      </c>
      <c r="B4424" s="76" t="s">
        <v>11198</v>
      </c>
    </row>
    <row r="4425" spans="1:2" ht="15">
      <c r="A4425" s="77" t="s">
        <v>8325</v>
      </c>
      <c r="B4425" s="76" t="s">
        <v>11198</v>
      </c>
    </row>
    <row r="4426" spans="1:2" ht="15">
      <c r="A4426" s="77" t="s">
        <v>8326</v>
      </c>
      <c r="B4426" s="76" t="s">
        <v>11198</v>
      </c>
    </row>
    <row r="4427" spans="1:2" ht="15">
      <c r="A4427" s="77" t="s">
        <v>8327</v>
      </c>
      <c r="B4427" s="76" t="s">
        <v>11198</v>
      </c>
    </row>
    <row r="4428" spans="1:2" ht="15">
      <c r="A4428" s="77" t="s">
        <v>8328</v>
      </c>
      <c r="B4428" s="76" t="s">
        <v>11198</v>
      </c>
    </row>
    <row r="4429" spans="1:2" ht="15">
      <c r="A4429" s="77" t="s">
        <v>8329</v>
      </c>
      <c r="B4429" s="76" t="s">
        <v>11198</v>
      </c>
    </row>
    <row r="4430" spans="1:2" ht="15">
      <c r="A4430" s="77" t="s">
        <v>8330</v>
      </c>
      <c r="B4430" s="76" t="s">
        <v>11198</v>
      </c>
    </row>
    <row r="4431" spans="1:2" ht="15">
      <c r="A4431" s="77" t="s">
        <v>8331</v>
      </c>
      <c r="B4431" s="76" t="s">
        <v>11198</v>
      </c>
    </row>
    <row r="4432" spans="1:2" ht="15">
      <c r="A4432" s="77" t="s">
        <v>8332</v>
      </c>
      <c r="B4432" s="76" t="s">
        <v>11198</v>
      </c>
    </row>
    <row r="4433" spans="1:2" ht="15">
      <c r="A4433" s="77" t="s">
        <v>8333</v>
      </c>
      <c r="B4433" s="76" t="s">
        <v>11198</v>
      </c>
    </row>
    <row r="4434" spans="1:2" ht="15">
      <c r="A4434" s="77" t="s">
        <v>8334</v>
      </c>
      <c r="B4434" s="76" t="s">
        <v>11198</v>
      </c>
    </row>
    <row r="4435" spans="1:2" ht="15">
      <c r="A4435" s="77" t="s">
        <v>8335</v>
      </c>
      <c r="B4435" s="76" t="s">
        <v>11198</v>
      </c>
    </row>
    <row r="4436" spans="1:2" ht="15">
      <c r="A4436" s="77" t="s">
        <v>8336</v>
      </c>
      <c r="B4436" s="76" t="s">
        <v>11198</v>
      </c>
    </row>
    <row r="4437" spans="1:2" ht="15">
      <c r="A4437" s="77" t="s">
        <v>8337</v>
      </c>
      <c r="B4437" s="76" t="s">
        <v>11198</v>
      </c>
    </row>
    <row r="4438" spans="1:2" ht="15">
      <c r="A4438" s="77" t="s">
        <v>8338</v>
      </c>
      <c r="B4438" s="76" t="s">
        <v>11198</v>
      </c>
    </row>
    <row r="4439" spans="1:2" ht="15">
      <c r="A4439" s="77" t="s">
        <v>8339</v>
      </c>
      <c r="B4439" s="76" t="s">
        <v>11198</v>
      </c>
    </row>
    <row r="4440" spans="1:2" ht="15">
      <c r="A4440" s="77" t="s">
        <v>8340</v>
      </c>
      <c r="B4440" s="76" t="s">
        <v>11198</v>
      </c>
    </row>
    <row r="4441" spans="1:2" ht="15">
      <c r="A4441" s="77" t="s">
        <v>8341</v>
      </c>
      <c r="B4441" s="76" t="s">
        <v>11198</v>
      </c>
    </row>
    <row r="4442" spans="1:2" ht="15">
      <c r="A4442" s="77" t="s">
        <v>8342</v>
      </c>
      <c r="B4442" s="76" t="s">
        <v>11198</v>
      </c>
    </row>
    <row r="4443" spans="1:2" ht="15">
      <c r="A4443" s="77" t="s">
        <v>8343</v>
      </c>
      <c r="B4443" s="76" t="s">
        <v>11198</v>
      </c>
    </row>
    <row r="4444" spans="1:2" ht="15">
      <c r="A4444" s="77" t="s">
        <v>8344</v>
      </c>
      <c r="B4444" s="76" t="s">
        <v>11198</v>
      </c>
    </row>
    <row r="4445" spans="1:2" ht="15">
      <c r="A4445" s="77" t="s">
        <v>8345</v>
      </c>
      <c r="B4445" s="76" t="s">
        <v>11198</v>
      </c>
    </row>
    <row r="4446" spans="1:2" ht="15">
      <c r="A4446" s="77" t="s">
        <v>8346</v>
      </c>
      <c r="B4446" s="76" t="s">
        <v>11198</v>
      </c>
    </row>
    <row r="4447" spans="1:2" ht="15">
      <c r="A4447" s="77" t="s">
        <v>8347</v>
      </c>
      <c r="B4447" s="76" t="s">
        <v>11198</v>
      </c>
    </row>
    <row r="4448" spans="1:2" ht="15">
      <c r="A4448" s="77" t="s">
        <v>8348</v>
      </c>
      <c r="B4448" s="76" t="s">
        <v>11198</v>
      </c>
    </row>
    <row r="4449" spans="1:2" ht="15">
      <c r="A4449" s="77" t="s">
        <v>8349</v>
      </c>
      <c r="B4449" s="76" t="s">
        <v>11198</v>
      </c>
    </row>
    <row r="4450" spans="1:2" ht="15">
      <c r="A4450" s="77" t="s">
        <v>8350</v>
      </c>
      <c r="B4450" s="76" t="s">
        <v>11198</v>
      </c>
    </row>
    <row r="4451" spans="1:2" ht="15">
      <c r="A4451" s="77" t="s">
        <v>8351</v>
      </c>
      <c r="B4451" s="76" t="s">
        <v>11198</v>
      </c>
    </row>
    <row r="4452" spans="1:2" ht="15">
      <c r="A4452" s="77" t="s">
        <v>8352</v>
      </c>
      <c r="B4452" s="76" t="s">
        <v>11198</v>
      </c>
    </row>
    <row r="4453" spans="1:2" ht="15">
      <c r="A4453" s="77" t="s">
        <v>8353</v>
      </c>
      <c r="B4453" s="76" t="s">
        <v>11198</v>
      </c>
    </row>
    <row r="4454" spans="1:2" ht="15">
      <c r="A4454" s="77" t="s">
        <v>8354</v>
      </c>
      <c r="B4454" s="76" t="s">
        <v>11198</v>
      </c>
    </row>
    <row r="4455" spans="1:2" ht="15">
      <c r="A4455" s="77" t="s">
        <v>8355</v>
      </c>
      <c r="B4455" s="76" t="s">
        <v>11198</v>
      </c>
    </row>
    <row r="4456" spans="1:2" ht="15">
      <c r="A4456" s="77" t="s">
        <v>8356</v>
      </c>
      <c r="B4456" s="76" t="s">
        <v>11198</v>
      </c>
    </row>
    <row r="4457" spans="1:2" ht="15">
      <c r="A4457" s="77" t="s">
        <v>8357</v>
      </c>
      <c r="B4457" s="76" t="s">
        <v>11198</v>
      </c>
    </row>
    <row r="4458" spans="1:2" ht="15">
      <c r="A4458" s="77" t="s">
        <v>8358</v>
      </c>
      <c r="B4458" s="76" t="s">
        <v>11198</v>
      </c>
    </row>
    <row r="4459" spans="1:2" ht="15">
      <c r="A4459" s="77" t="s">
        <v>8359</v>
      </c>
      <c r="B4459" s="76" t="s">
        <v>11198</v>
      </c>
    </row>
    <row r="4460" spans="1:2" ht="15">
      <c r="A4460" s="77" t="s">
        <v>8360</v>
      </c>
      <c r="B4460" s="76" t="s">
        <v>11198</v>
      </c>
    </row>
    <row r="4461" spans="1:2" ht="15">
      <c r="A4461" s="77" t="s">
        <v>8361</v>
      </c>
      <c r="B4461" s="76" t="s">
        <v>11198</v>
      </c>
    </row>
    <row r="4462" spans="1:2" ht="15">
      <c r="A4462" s="77" t="s">
        <v>8362</v>
      </c>
      <c r="B4462" s="76" t="s">
        <v>11198</v>
      </c>
    </row>
    <row r="4463" spans="1:2" ht="15">
      <c r="A4463" s="77" t="s">
        <v>8363</v>
      </c>
      <c r="B4463" s="76" t="s">
        <v>11198</v>
      </c>
    </row>
    <row r="4464" spans="1:2" ht="15">
      <c r="A4464" s="77" t="s">
        <v>8364</v>
      </c>
      <c r="B4464" s="76" t="s">
        <v>11198</v>
      </c>
    </row>
    <row r="4465" spans="1:2" ht="15">
      <c r="A4465" s="77" t="s">
        <v>8365</v>
      </c>
      <c r="B4465" s="76" t="s">
        <v>11198</v>
      </c>
    </row>
    <row r="4466" spans="1:2" ht="15">
      <c r="A4466" s="77" t="s">
        <v>8366</v>
      </c>
      <c r="B4466" s="76" t="s">
        <v>11198</v>
      </c>
    </row>
    <row r="4467" spans="1:2" ht="15">
      <c r="A4467" s="77" t="s">
        <v>8367</v>
      </c>
      <c r="B4467" s="76" t="s">
        <v>11198</v>
      </c>
    </row>
    <row r="4468" spans="1:2" ht="15">
      <c r="A4468" s="77" t="s">
        <v>8368</v>
      </c>
      <c r="B4468" s="76" t="s">
        <v>11198</v>
      </c>
    </row>
    <row r="4469" spans="1:2" ht="15">
      <c r="A4469" s="77" t="s">
        <v>8369</v>
      </c>
      <c r="B4469" s="76" t="s">
        <v>11198</v>
      </c>
    </row>
    <row r="4470" spans="1:2" ht="15">
      <c r="A4470" s="77" t="s">
        <v>8370</v>
      </c>
      <c r="B4470" s="76" t="s">
        <v>11198</v>
      </c>
    </row>
    <row r="4471" spans="1:2" ht="15">
      <c r="A4471" s="77" t="s">
        <v>8371</v>
      </c>
      <c r="B4471" s="76" t="s">
        <v>11198</v>
      </c>
    </row>
    <row r="4472" spans="1:2" ht="15">
      <c r="A4472" s="77" t="s">
        <v>8372</v>
      </c>
      <c r="B4472" s="76" t="s">
        <v>11198</v>
      </c>
    </row>
    <row r="4473" spans="1:2" ht="15">
      <c r="A4473" s="77" t="s">
        <v>8373</v>
      </c>
      <c r="B4473" s="76" t="s">
        <v>11198</v>
      </c>
    </row>
    <row r="4474" spans="1:2" ht="15">
      <c r="A4474" s="77" t="s">
        <v>8374</v>
      </c>
      <c r="B4474" s="76" t="s">
        <v>11198</v>
      </c>
    </row>
    <row r="4475" spans="1:2" ht="15">
      <c r="A4475" s="77" t="s">
        <v>8375</v>
      </c>
      <c r="B4475" s="76" t="s">
        <v>11198</v>
      </c>
    </row>
    <row r="4476" spans="1:2" ht="15">
      <c r="A4476" s="77" t="s">
        <v>8376</v>
      </c>
      <c r="B4476" s="76" t="s">
        <v>11198</v>
      </c>
    </row>
    <row r="4477" spans="1:2" ht="15">
      <c r="A4477" s="77" t="s">
        <v>8377</v>
      </c>
      <c r="B4477" s="76" t="s">
        <v>11198</v>
      </c>
    </row>
    <row r="4478" spans="1:2" ht="15">
      <c r="A4478" s="77" t="s">
        <v>8378</v>
      </c>
      <c r="B4478" s="76" t="s">
        <v>11198</v>
      </c>
    </row>
    <row r="4479" spans="1:2" ht="15">
      <c r="A4479" s="77" t="s">
        <v>3456</v>
      </c>
      <c r="B4479" s="76" t="s">
        <v>11198</v>
      </c>
    </row>
    <row r="4480" spans="1:2" ht="15">
      <c r="A4480" s="77" t="s">
        <v>8379</v>
      </c>
      <c r="B4480" s="76" t="s">
        <v>11198</v>
      </c>
    </row>
    <row r="4481" spans="1:2" ht="15">
      <c r="A4481" s="77" t="s">
        <v>8380</v>
      </c>
      <c r="B4481" s="76" t="s">
        <v>11198</v>
      </c>
    </row>
    <row r="4482" spans="1:2" ht="15">
      <c r="A4482" s="77" t="s">
        <v>8381</v>
      </c>
      <c r="B4482" s="76" t="s">
        <v>11198</v>
      </c>
    </row>
    <row r="4483" spans="1:2" ht="15">
      <c r="A4483" s="77" t="s">
        <v>8382</v>
      </c>
      <c r="B4483" s="76" t="s">
        <v>11198</v>
      </c>
    </row>
    <row r="4484" spans="1:2" ht="15">
      <c r="A4484" s="77" t="s">
        <v>8383</v>
      </c>
      <c r="B4484" s="76" t="s">
        <v>11198</v>
      </c>
    </row>
    <row r="4485" spans="1:2" ht="15">
      <c r="A4485" s="77" t="s">
        <v>8384</v>
      </c>
      <c r="B4485" s="76" t="s">
        <v>11198</v>
      </c>
    </row>
    <row r="4486" spans="1:2" ht="15">
      <c r="A4486" s="77" t="s">
        <v>8385</v>
      </c>
      <c r="B4486" s="76" t="s">
        <v>11198</v>
      </c>
    </row>
    <row r="4487" spans="1:2" ht="15">
      <c r="A4487" s="77" t="s">
        <v>8386</v>
      </c>
      <c r="B4487" s="76" t="s">
        <v>11198</v>
      </c>
    </row>
    <row r="4488" spans="1:2" ht="15">
      <c r="A4488" s="77" t="s">
        <v>8387</v>
      </c>
      <c r="B4488" s="76" t="s">
        <v>11198</v>
      </c>
    </row>
    <row r="4489" spans="1:2" ht="15">
      <c r="A4489" s="77" t="s">
        <v>8388</v>
      </c>
      <c r="B4489" s="76" t="s">
        <v>11198</v>
      </c>
    </row>
    <row r="4490" spans="1:2" ht="15">
      <c r="A4490" s="77" t="s">
        <v>8389</v>
      </c>
      <c r="B4490" s="76" t="s">
        <v>11198</v>
      </c>
    </row>
    <row r="4491" spans="1:2" ht="15">
      <c r="A4491" s="77" t="s">
        <v>8390</v>
      </c>
      <c r="B4491" s="76" t="s">
        <v>11198</v>
      </c>
    </row>
    <row r="4492" spans="1:2" ht="15">
      <c r="A4492" s="77" t="s">
        <v>8391</v>
      </c>
      <c r="B4492" s="76" t="s">
        <v>11198</v>
      </c>
    </row>
    <row r="4493" spans="1:2" ht="15">
      <c r="A4493" s="77" t="s">
        <v>8392</v>
      </c>
      <c r="B4493" s="76" t="s">
        <v>11198</v>
      </c>
    </row>
    <row r="4494" spans="1:2" ht="15">
      <c r="A4494" s="77" t="s">
        <v>3378</v>
      </c>
      <c r="B4494" s="76" t="s">
        <v>11198</v>
      </c>
    </row>
    <row r="4495" spans="1:2" ht="15">
      <c r="A4495" s="77" t="s">
        <v>8393</v>
      </c>
      <c r="B4495" s="76" t="s">
        <v>11198</v>
      </c>
    </row>
    <row r="4496" spans="1:2" ht="15">
      <c r="A4496" s="77" t="s">
        <v>8394</v>
      </c>
      <c r="B4496" s="76" t="s">
        <v>11198</v>
      </c>
    </row>
    <row r="4497" spans="1:2" ht="15">
      <c r="A4497" s="77" t="s">
        <v>8395</v>
      </c>
      <c r="B4497" s="76" t="s">
        <v>11198</v>
      </c>
    </row>
    <row r="4498" spans="1:2" ht="15">
      <c r="A4498" s="77" t="s">
        <v>8396</v>
      </c>
      <c r="B4498" s="76" t="s">
        <v>11198</v>
      </c>
    </row>
    <row r="4499" spans="1:2" ht="15">
      <c r="A4499" s="77" t="s">
        <v>8397</v>
      </c>
      <c r="B4499" s="76" t="s">
        <v>11198</v>
      </c>
    </row>
    <row r="4500" spans="1:2" ht="15">
      <c r="A4500" s="77" t="s">
        <v>8398</v>
      </c>
      <c r="B4500" s="76" t="s">
        <v>11198</v>
      </c>
    </row>
    <row r="4501" spans="1:2" ht="15">
      <c r="A4501" s="77" t="s">
        <v>8399</v>
      </c>
      <c r="B4501" s="76" t="s">
        <v>11198</v>
      </c>
    </row>
    <row r="4502" spans="1:2" ht="15">
      <c r="A4502" s="77" t="s">
        <v>8400</v>
      </c>
      <c r="B4502" s="76" t="s">
        <v>11198</v>
      </c>
    </row>
    <row r="4503" spans="1:2" ht="15">
      <c r="A4503" s="77" t="s">
        <v>8401</v>
      </c>
      <c r="B4503" s="76" t="s">
        <v>11198</v>
      </c>
    </row>
    <row r="4504" spans="1:2" ht="15">
      <c r="A4504" s="77" t="s">
        <v>8402</v>
      </c>
      <c r="B4504" s="76" t="s">
        <v>11198</v>
      </c>
    </row>
    <row r="4505" spans="1:2" ht="15">
      <c r="A4505" s="77" t="s">
        <v>8403</v>
      </c>
      <c r="B4505" s="76" t="s">
        <v>11198</v>
      </c>
    </row>
    <row r="4506" spans="1:2" ht="15">
      <c r="A4506" s="77" t="s">
        <v>8404</v>
      </c>
      <c r="B4506" s="76" t="s">
        <v>11198</v>
      </c>
    </row>
    <row r="4507" spans="1:2" ht="15">
      <c r="A4507" s="77" t="s">
        <v>8405</v>
      </c>
      <c r="B4507" s="76" t="s">
        <v>11198</v>
      </c>
    </row>
    <row r="4508" spans="1:2" ht="15">
      <c r="A4508" s="77" t="s">
        <v>8406</v>
      </c>
      <c r="B4508" s="76" t="s">
        <v>11198</v>
      </c>
    </row>
    <row r="4509" spans="1:2" ht="15">
      <c r="A4509" s="77" t="s">
        <v>8407</v>
      </c>
      <c r="B4509" s="76" t="s">
        <v>11198</v>
      </c>
    </row>
    <row r="4510" spans="1:2" ht="15">
      <c r="A4510" s="77" t="s">
        <v>8408</v>
      </c>
      <c r="B4510" s="76" t="s">
        <v>11198</v>
      </c>
    </row>
    <row r="4511" spans="1:2" ht="15">
      <c r="A4511" s="77" t="s">
        <v>8409</v>
      </c>
      <c r="B4511" s="76" t="s">
        <v>11198</v>
      </c>
    </row>
    <row r="4512" spans="1:2" ht="15">
      <c r="A4512" s="77" t="s">
        <v>8410</v>
      </c>
      <c r="B4512" s="76" t="s">
        <v>11198</v>
      </c>
    </row>
    <row r="4513" spans="1:2" ht="15">
      <c r="A4513" s="77" t="s">
        <v>8411</v>
      </c>
      <c r="B4513" s="76" t="s">
        <v>11198</v>
      </c>
    </row>
    <row r="4514" spans="1:2" ht="15">
      <c r="A4514" s="77" t="s">
        <v>8412</v>
      </c>
      <c r="B4514" s="76" t="s">
        <v>11198</v>
      </c>
    </row>
    <row r="4515" spans="1:2" ht="15">
      <c r="A4515" s="77" t="s">
        <v>8413</v>
      </c>
      <c r="B4515" s="76" t="s">
        <v>11198</v>
      </c>
    </row>
    <row r="4516" spans="1:2" ht="15">
      <c r="A4516" s="77" t="s">
        <v>8414</v>
      </c>
      <c r="B4516" s="76" t="s">
        <v>11198</v>
      </c>
    </row>
    <row r="4517" spans="1:2" ht="15">
      <c r="A4517" s="77" t="s">
        <v>8415</v>
      </c>
      <c r="B4517" s="76" t="s">
        <v>11198</v>
      </c>
    </row>
    <row r="4518" spans="1:2" ht="15">
      <c r="A4518" s="77" t="s">
        <v>8416</v>
      </c>
      <c r="B4518" s="76" t="s">
        <v>11198</v>
      </c>
    </row>
    <row r="4519" spans="1:2" ht="15">
      <c r="A4519" s="77" t="s">
        <v>8417</v>
      </c>
      <c r="B4519" s="76" t="s">
        <v>11198</v>
      </c>
    </row>
    <row r="4520" spans="1:2" ht="15">
      <c r="A4520" s="77" t="s">
        <v>8418</v>
      </c>
      <c r="B4520" s="76" t="s">
        <v>11198</v>
      </c>
    </row>
    <row r="4521" spans="1:2" ht="15">
      <c r="A4521" s="77" t="s">
        <v>8419</v>
      </c>
      <c r="B4521" s="76" t="s">
        <v>11198</v>
      </c>
    </row>
    <row r="4522" spans="1:2" ht="15">
      <c r="A4522" s="77" t="s">
        <v>8420</v>
      </c>
      <c r="B4522" s="76" t="s">
        <v>11198</v>
      </c>
    </row>
    <row r="4523" spans="1:2" ht="15">
      <c r="A4523" s="77" t="s">
        <v>8421</v>
      </c>
      <c r="B4523" s="76" t="s">
        <v>11198</v>
      </c>
    </row>
    <row r="4524" spans="1:2" ht="15">
      <c r="A4524" s="77" t="s">
        <v>8422</v>
      </c>
      <c r="B4524" s="76" t="s">
        <v>11198</v>
      </c>
    </row>
    <row r="4525" spans="1:2" ht="15">
      <c r="A4525" s="77" t="s">
        <v>8423</v>
      </c>
      <c r="B4525" s="76" t="s">
        <v>11198</v>
      </c>
    </row>
    <row r="4526" spans="1:2" ht="15">
      <c r="A4526" s="77" t="s">
        <v>8424</v>
      </c>
      <c r="B4526" s="76" t="s">
        <v>11198</v>
      </c>
    </row>
    <row r="4527" spans="1:2" ht="15">
      <c r="A4527" s="77" t="s">
        <v>8425</v>
      </c>
      <c r="B4527" s="76" t="s">
        <v>11198</v>
      </c>
    </row>
    <row r="4528" spans="1:2" ht="15">
      <c r="A4528" s="77" t="s">
        <v>8426</v>
      </c>
      <c r="B4528" s="76" t="s">
        <v>11198</v>
      </c>
    </row>
    <row r="4529" spans="1:2" ht="15">
      <c r="A4529" s="77" t="s">
        <v>8427</v>
      </c>
      <c r="B4529" s="76" t="s">
        <v>11198</v>
      </c>
    </row>
    <row r="4530" spans="1:2" ht="15">
      <c r="A4530" s="77" t="s">
        <v>8428</v>
      </c>
      <c r="B4530" s="76" t="s">
        <v>11198</v>
      </c>
    </row>
    <row r="4531" spans="1:2" ht="15">
      <c r="A4531" s="77" t="s">
        <v>8429</v>
      </c>
      <c r="B4531" s="76" t="s">
        <v>11198</v>
      </c>
    </row>
    <row r="4532" spans="1:2" ht="15">
      <c r="A4532" s="77" t="s">
        <v>8430</v>
      </c>
      <c r="B4532" s="76" t="s">
        <v>11198</v>
      </c>
    </row>
    <row r="4533" spans="1:2" ht="15">
      <c r="A4533" s="77" t="s">
        <v>8431</v>
      </c>
      <c r="B4533" s="76" t="s">
        <v>11198</v>
      </c>
    </row>
    <row r="4534" spans="1:2" ht="15">
      <c r="A4534" s="77" t="s">
        <v>8432</v>
      </c>
      <c r="B4534" s="76" t="s">
        <v>11198</v>
      </c>
    </row>
    <row r="4535" spans="1:2" ht="15">
      <c r="A4535" s="77" t="s">
        <v>8433</v>
      </c>
      <c r="B4535" s="76" t="s">
        <v>11198</v>
      </c>
    </row>
    <row r="4536" spans="1:2" ht="15">
      <c r="A4536" s="77" t="s">
        <v>8434</v>
      </c>
      <c r="B4536" s="76" t="s">
        <v>11198</v>
      </c>
    </row>
    <row r="4537" spans="1:2" ht="15">
      <c r="A4537" s="77" t="s">
        <v>8435</v>
      </c>
      <c r="B4537" s="76" t="s">
        <v>11198</v>
      </c>
    </row>
    <row r="4538" spans="1:2" ht="15">
      <c r="A4538" s="77" t="s">
        <v>8436</v>
      </c>
      <c r="B4538" s="76" t="s">
        <v>11198</v>
      </c>
    </row>
    <row r="4539" spans="1:2" ht="15">
      <c r="A4539" s="77" t="s">
        <v>8437</v>
      </c>
      <c r="B4539" s="76" t="s">
        <v>11198</v>
      </c>
    </row>
    <row r="4540" spans="1:2" ht="15">
      <c r="A4540" s="77" t="s">
        <v>8438</v>
      </c>
      <c r="B4540" s="76" t="s">
        <v>11198</v>
      </c>
    </row>
    <row r="4541" spans="1:2" ht="15">
      <c r="A4541" s="77" t="s">
        <v>8439</v>
      </c>
      <c r="B4541" s="76" t="s">
        <v>11198</v>
      </c>
    </row>
    <row r="4542" spans="1:2" ht="15">
      <c r="A4542" s="77" t="s">
        <v>8440</v>
      </c>
      <c r="B4542" s="76" t="s">
        <v>11198</v>
      </c>
    </row>
    <row r="4543" spans="1:2" ht="15">
      <c r="A4543" s="77" t="s">
        <v>8441</v>
      </c>
      <c r="B4543" s="76" t="s">
        <v>11198</v>
      </c>
    </row>
    <row r="4544" spans="1:2" ht="15">
      <c r="A4544" s="77" t="s">
        <v>8442</v>
      </c>
      <c r="B4544" s="76" t="s">
        <v>11198</v>
      </c>
    </row>
    <row r="4545" spans="1:2" ht="15">
      <c r="A4545" s="77" t="s">
        <v>8443</v>
      </c>
      <c r="B4545" s="76" t="s">
        <v>11198</v>
      </c>
    </row>
    <row r="4546" spans="1:2" ht="15">
      <c r="A4546" s="77" t="s">
        <v>8444</v>
      </c>
      <c r="B4546" s="76" t="s">
        <v>11198</v>
      </c>
    </row>
    <row r="4547" spans="1:2" ht="15">
      <c r="A4547" s="77" t="s">
        <v>8445</v>
      </c>
      <c r="B4547" s="76" t="s">
        <v>11198</v>
      </c>
    </row>
    <row r="4548" spans="1:2" ht="15">
      <c r="A4548" s="77" t="s">
        <v>8446</v>
      </c>
      <c r="B4548" s="76" t="s">
        <v>11198</v>
      </c>
    </row>
    <row r="4549" spans="1:2" ht="15">
      <c r="A4549" s="77" t="s">
        <v>8447</v>
      </c>
      <c r="B4549" s="76" t="s">
        <v>11198</v>
      </c>
    </row>
    <row r="4550" spans="1:2" ht="15">
      <c r="A4550" s="77" t="s">
        <v>8448</v>
      </c>
      <c r="B4550" s="76" t="s">
        <v>11198</v>
      </c>
    </row>
    <row r="4551" spans="1:2" ht="15">
      <c r="A4551" s="77" t="s">
        <v>8449</v>
      </c>
      <c r="B4551" s="76" t="s">
        <v>11198</v>
      </c>
    </row>
    <row r="4552" spans="1:2" ht="15">
      <c r="A4552" s="77" t="s">
        <v>8450</v>
      </c>
      <c r="B4552" s="76" t="s">
        <v>11198</v>
      </c>
    </row>
    <row r="4553" spans="1:2" ht="15">
      <c r="A4553" s="77" t="s">
        <v>8451</v>
      </c>
      <c r="B4553" s="76" t="s">
        <v>11198</v>
      </c>
    </row>
    <row r="4554" spans="1:2" ht="15">
      <c r="A4554" s="77" t="s">
        <v>8452</v>
      </c>
      <c r="B4554" s="76" t="s">
        <v>11198</v>
      </c>
    </row>
    <row r="4555" spans="1:2" ht="15">
      <c r="A4555" s="77" t="s">
        <v>8453</v>
      </c>
      <c r="B4555" s="76" t="s">
        <v>11198</v>
      </c>
    </row>
    <row r="4556" spans="1:2" ht="15">
      <c r="A4556" s="77" t="s">
        <v>8454</v>
      </c>
      <c r="B4556" s="76" t="s">
        <v>11198</v>
      </c>
    </row>
    <row r="4557" spans="1:2" ht="15">
      <c r="A4557" s="77" t="s">
        <v>8455</v>
      </c>
      <c r="B4557" s="76" t="s">
        <v>11198</v>
      </c>
    </row>
    <row r="4558" spans="1:2" ht="15">
      <c r="A4558" s="77" t="s">
        <v>8456</v>
      </c>
      <c r="B4558" s="76" t="s">
        <v>11198</v>
      </c>
    </row>
    <row r="4559" spans="1:2" ht="15">
      <c r="A4559" s="77" t="s">
        <v>8457</v>
      </c>
      <c r="B4559" s="76" t="s">
        <v>11198</v>
      </c>
    </row>
    <row r="4560" spans="1:2" ht="15">
      <c r="A4560" s="77" t="s">
        <v>8458</v>
      </c>
      <c r="B4560" s="76" t="s">
        <v>11198</v>
      </c>
    </row>
    <row r="4561" spans="1:2" ht="15">
      <c r="A4561" s="77" t="s">
        <v>8459</v>
      </c>
      <c r="B4561" s="76" t="s">
        <v>11198</v>
      </c>
    </row>
    <row r="4562" spans="1:2" ht="15">
      <c r="A4562" s="77" t="s">
        <v>8460</v>
      </c>
      <c r="B4562" s="76" t="s">
        <v>11198</v>
      </c>
    </row>
    <row r="4563" spans="1:2" ht="15">
      <c r="A4563" s="77" t="s">
        <v>8461</v>
      </c>
      <c r="B4563" s="76" t="s">
        <v>11198</v>
      </c>
    </row>
    <row r="4564" spans="1:2" ht="15">
      <c r="A4564" s="77" t="s">
        <v>8462</v>
      </c>
      <c r="B4564" s="76" t="s">
        <v>11198</v>
      </c>
    </row>
    <row r="4565" spans="1:2" ht="15">
      <c r="A4565" s="77" t="s">
        <v>8463</v>
      </c>
      <c r="B4565" s="76" t="s">
        <v>11198</v>
      </c>
    </row>
    <row r="4566" spans="1:2" ht="15">
      <c r="A4566" s="77" t="s">
        <v>8464</v>
      </c>
      <c r="B4566" s="76" t="s">
        <v>11198</v>
      </c>
    </row>
    <row r="4567" spans="1:2" ht="15">
      <c r="A4567" s="77" t="s">
        <v>8465</v>
      </c>
      <c r="B4567" s="76" t="s">
        <v>11198</v>
      </c>
    </row>
    <row r="4568" spans="1:2" ht="15">
      <c r="A4568" s="77" t="s">
        <v>8466</v>
      </c>
      <c r="B4568" s="76" t="s">
        <v>11198</v>
      </c>
    </row>
    <row r="4569" spans="1:2" ht="15">
      <c r="A4569" s="77" t="s">
        <v>8467</v>
      </c>
      <c r="B4569" s="76" t="s">
        <v>11198</v>
      </c>
    </row>
    <row r="4570" spans="1:2" ht="15">
      <c r="A4570" s="77" t="s">
        <v>8468</v>
      </c>
      <c r="B4570" s="76" t="s">
        <v>11198</v>
      </c>
    </row>
    <row r="4571" spans="1:2" ht="15">
      <c r="A4571" s="77" t="s">
        <v>8469</v>
      </c>
      <c r="B4571" s="76" t="s">
        <v>11198</v>
      </c>
    </row>
    <row r="4572" spans="1:2" ht="15">
      <c r="A4572" s="77" t="s">
        <v>8470</v>
      </c>
      <c r="B4572" s="76" t="s">
        <v>11198</v>
      </c>
    </row>
    <row r="4573" spans="1:2" ht="15">
      <c r="A4573" s="77" t="s">
        <v>8471</v>
      </c>
      <c r="B4573" s="76" t="s">
        <v>11198</v>
      </c>
    </row>
    <row r="4574" spans="1:2" ht="15">
      <c r="A4574" s="77" t="s">
        <v>8472</v>
      </c>
      <c r="B4574" s="76" t="s">
        <v>11198</v>
      </c>
    </row>
    <row r="4575" spans="1:2" ht="15">
      <c r="A4575" s="77" t="s">
        <v>8473</v>
      </c>
      <c r="B4575" s="76" t="s">
        <v>11198</v>
      </c>
    </row>
    <row r="4576" spans="1:2" ht="15">
      <c r="A4576" s="77" t="s">
        <v>8474</v>
      </c>
      <c r="B4576" s="76" t="s">
        <v>11198</v>
      </c>
    </row>
    <row r="4577" spans="1:2" ht="15">
      <c r="A4577" s="77" t="s">
        <v>8475</v>
      </c>
      <c r="B4577" s="76" t="s">
        <v>11198</v>
      </c>
    </row>
    <row r="4578" spans="1:2" ht="15">
      <c r="A4578" s="77" t="s">
        <v>8476</v>
      </c>
      <c r="B4578" s="76" t="s">
        <v>11198</v>
      </c>
    </row>
    <row r="4579" spans="1:2" ht="15">
      <c r="A4579" s="77" t="s">
        <v>8477</v>
      </c>
      <c r="B4579" s="76" t="s">
        <v>11198</v>
      </c>
    </row>
    <row r="4580" spans="1:2" ht="15">
      <c r="A4580" s="77" t="s">
        <v>8478</v>
      </c>
      <c r="B4580" s="76" t="s">
        <v>11198</v>
      </c>
    </row>
    <row r="4581" spans="1:2" ht="15">
      <c r="A4581" s="77" t="s">
        <v>8479</v>
      </c>
      <c r="B4581" s="76" t="s">
        <v>11198</v>
      </c>
    </row>
    <row r="4582" spans="1:2" ht="15">
      <c r="A4582" s="77" t="s">
        <v>8480</v>
      </c>
      <c r="B4582" s="76" t="s">
        <v>11198</v>
      </c>
    </row>
    <row r="4583" spans="1:2" ht="15">
      <c r="A4583" s="77" t="s">
        <v>8481</v>
      </c>
      <c r="B4583" s="76" t="s">
        <v>11198</v>
      </c>
    </row>
    <row r="4584" spans="1:2" ht="15">
      <c r="A4584" s="77" t="s">
        <v>8482</v>
      </c>
      <c r="B4584" s="76" t="s">
        <v>11198</v>
      </c>
    </row>
    <row r="4585" spans="1:2" ht="15">
      <c r="A4585" s="77" t="s">
        <v>8483</v>
      </c>
      <c r="B4585" s="76" t="s">
        <v>11198</v>
      </c>
    </row>
    <row r="4586" spans="1:2" ht="15">
      <c r="A4586" s="77" t="s">
        <v>8484</v>
      </c>
      <c r="B4586" s="76" t="s">
        <v>11198</v>
      </c>
    </row>
    <row r="4587" spans="1:2" ht="15">
      <c r="A4587" s="77" t="s">
        <v>8485</v>
      </c>
      <c r="B4587" s="76" t="s">
        <v>11198</v>
      </c>
    </row>
    <row r="4588" spans="1:2" ht="15">
      <c r="A4588" s="77" t="s">
        <v>8486</v>
      </c>
      <c r="B4588" s="76" t="s">
        <v>11198</v>
      </c>
    </row>
    <row r="4589" spans="1:2" ht="15">
      <c r="A4589" s="77" t="s">
        <v>8487</v>
      </c>
      <c r="B4589" s="76" t="s">
        <v>11198</v>
      </c>
    </row>
    <row r="4590" spans="1:2" ht="15">
      <c r="A4590" s="77" t="s">
        <v>8488</v>
      </c>
      <c r="B4590" s="76" t="s">
        <v>11198</v>
      </c>
    </row>
    <row r="4591" spans="1:2" ht="15">
      <c r="A4591" s="77" t="s">
        <v>8489</v>
      </c>
      <c r="B4591" s="76" t="s">
        <v>11198</v>
      </c>
    </row>
    <row r="4592" spans="1:2" ht="15">
      <c r="A4592" s="77" t="s">
        <v>8490</v>
      </c>
      <c r="B4592" s="76" t="s">
        <v>11198</v>
      </c>
    </row>
    <row r="4593" spans="1:2" ht="15">
      <c r="A4593" s="77" t="s">
        <v>8491</v>
      </c>
      <c r="B4593" s="76" t="s">
        <v>11198</v>
      </c>
    </row>
    <row r="4594" spans="1:2" ht="15">
      <c r="A4594" s="77" t="s">
        <v>8492</v>
      </c>
      <c r="B4594" s="76" t="s">
        <v>11198</v>
      </c>
    </row>
    <row r="4595" spans="1:2" ht="15">
      <c r="A4595" s="77" t="s">
        <v>8493</v>
      </c>
      <c r="B4595" s="76" t="s">
        <v>11198</v>
      </c>
    </row>
    <row r="4596" spans="1:2" ht="15">
      <c r="A4596" s="77" t="s">
        <v>8494</v>
      </c>
      <c r="B4596" s="76" t="s">
        <v>11198</v>
      </c>
    </row>
    <row r="4597" spans="1:2" ht="15">
      <c r="A4597" s="77" t="s">
        <v>8495</v>
      </c>
      <c r="B4597" s="76" t="s">
        <v>11198</v>
      </c>
    </row>
    <row r="4598" spans="1:2" ht="15">
      <c r="A4598" s="77" t="s">
        <v>8496</v>
      </c>
      <c r="B4598" s="76" t="s">
        <v>11198</v>
      </c>
    </row>
    <row r="4599" spans="1:2" ht="15">
      <c r="A4599" s="77" t="s">
        <v>8497</v>
      </c>
      <c r="B4599" s="76" t="s">
        <v>11198</v>
      </c>
    </row>
    <row r="4600" spans="1:2" ht="15">
      <c r="A4600" s="77" t="s">
        <v>8498</v>
      </c>
      <c r="B4600" s="76" t="s">
        <v>11198</v>
      </c>
    </row>
    <row r="4601" spans="1:2" ht="15">
      <c r="A4601" s="77" t="s">
        <v>8499</v>
      </c>
      <c r="B4601" s="76" t="s">
        <v>11198</v>
      </c>
    </row>
    <row r="4602" spans="1:2" ht="15">
      <c r="A4602" s="77" t="s">
        <v>8500</v>
      </c>
      <c r="B4602" s="76" t="s">
        <v>11198</v>
      </c>
    </row>
    <row r="4603" spans="1:2" ht="15">
      <c r="A4603" s="77" t="s">
        <v>8501</v>
      </c>
      <c r="B4603" s="76" t="s">
        <v>11198</v>
      </c>
    </row>
    <row r="4604" spans="1:2" ht="15">
      <c r="A4604" s="77" t="s">
        <v>8502</v>
      </c>
      <c r="B4604" s="76" t="s">
        <v>11198</v>
      </c>
    </row>
    <row r="4605" spans="1:2" ht="15">
      <c r="A4605" s="77" t="s">
        <v>8503</v>
      </c>
      <c r="B4605" s="76" t="s">
        <v>11198</v>
      </c>
    </row>
    <row r="4606" spans="1:2" ht="15">
      <c r="A4606" s="77" t="s">
        <v>8504</v>
      </c>
      <c r="B4606" s="76" t="s">
        <v>11198</v>
      </c>
    </row>
    <row r="4607" spans="1:2" ht="15">
      <c r="A4607" s="77" t="s">
        <v>8505</v>
      </c>
      <c r="B4607" s="76" t="s">
        <v>11198</v>
      </c>
    </row>
    <row r="4608" spans="1:2" ht="15">
      <c r="A4608" s="77" t="s">
        <v>8506</v>
      </c>
      <c r="B4608" s="76" t="s">
        <v>11198</v>
      </c>
    </row>
    <row r="4609" spans="1:2" ht="15">
      <c r="A4609" s="77" t="s">
        <v>8507</v>
      </c>
      <c r="B4609" s="76" t="s">
        <v>11198</v>
      </c>
    </row>
    <row r="4610" spans="1:2" ht="15">
      <c r="A4610" s="77" t="s">
        <v>8508</v>
      </c>
      <c r="B4610" s="76" t="s">
        <v>11198</v>
      </c>
    </row>
    <row r="4611" spans="1:2" ht="15">
      <c r="A4611" s="77" t="s">
        <v>8509</v>
      </c>
      <c r="B4611" s="76" t="s">
        <v>11198</v>
      </c>
    </row>
    <row r="4612" spans="1:2" ht="15">
      <c r="A4612" s="77" t="s">
        <v>8510</v>
      </c>
      <c r="B4612" s="76" t="s">
        <v>11198</v>
      </c>
    </row>
    <row r="4613" spans="1:2" ht="15">
      <c r="A4613" s="77" t="s">
        <v>8511</v>
      </c>
      <c r="B4613" s="76" t="s">
        <v>11198</v>
      </c>
    </row>
    <row r="4614" spans="1:2" ht="15">
      <c r="A4614" s="77" t="s">
        <v>8512</v>
      </c>
      <c r="B4614" s="76" t="s">
        <v>11198</v>
      </c>
    </row>
    <row r="4615" spans="1:2" ht="15">
      <c r="A4615" s="77" t="s">
        <v>8513</v>
      </c>
      <c r="B4615" s="76" t="s">
        <v>11198</v>
      </c>
    </row>
    <row r="4616" spans="1:2" ht="15">
      <c r="A4616" s="77" t="s">
        <v>8514</v>
      </c>
      <c r="B4616" s="76" t="s">
        <v>11198</v>
      </c>
    </row>
    <row r="4617" spans="1:2" ht="15">
      <c r="A4617" s="77" t="s">
        <v>8515</v>
      </c>
      <c r="B4617" s="76" t="s">
        <v>11198</v>
      </c>
    </row>
    <row r="4618" spans="1:2" ht="15">
      <c r="A4618" s="77" t="s">
        <v>8516</v>
      </c>
      <c r="B4618" s="76" t="s">
        <v>11198</v>
      </c>
    </row>
    <row r="4619" spans="1:2" ht="15">
      <c r="A4619" s="77" t="s">
        <v>8517</v>
      </c>
      <c r="B4619" s="76" t="s">
        <v>11198</v>
      </c>
    </row>
    <row r="4620" spans="1:2" ht="15">
      <c r="A4620" s="77" t="s">
        <v>8518</v>
      </c>
      <c r="B4620" s="76" t="s">
        <v>11198</v>
      </c>
    </row>
    <row r="4621" spans="1:2" ht="15">
      <c r="A4621" s="77" t="s">
        <v>8519</v>
      </c>
      <c r="B4621" s="76" t="s">
        <v>11198</v>
      </c>
    </row>
    <row r="4622" spans="1:2" ht="15">
      <c r="A4622" s="77" t="s">
        <v>8520</v>
      </c>
      <c r="B4622" s="76" t="s">
        <v>11198</v>
      </c>
    </row>
    <row r="4623" spans="1:2" ht="15">
      <c r="A4623" s="77" t="s">
        <v>8521</v>
      </c>
      <c r="B4623" s="76" t="s">
        <v>11198</v>
      </c>
    </row>
    <row r="4624" spans="1:2" ht="15">
      <c r="A4624" s="77" t="s">
        <v>8522</v>
      </c>
      <c r="B4624" s="76" t="s">
        <v>11198</v>
      </c>
    </row>
    <row r="4625" spans="1:2" ht="15">
      <c r="A4625" s="77" t="s">
        <v>8523</v>
      </c>
      <c r="B4625" s="76" t="s">
        <v>11198</v>
      </c>
    </row>
    <row r="4626" spans="1:2" ht="15">
      <c r="A4626" s="77" t="s">
        <v>8524</v>
      </c>
      <c r="B4626" s="76" t="s">
        <v>11198</v>
      </c>
    </row>
    <row r="4627" spans="1:2" ht="15">
      <c r="A4627" s="77" t="s">
        <v>8525</v>
      </c>
      <c r="B4627" s="76" t="s">
        <v>11198</v>
      </c>
    </row>
    <row r="4628" spans="1:2" ht="15">
      <c r="A4628" s="77" t="s">
        <v>8526</v>
      </c>
      <c r="B4628" s="76" t="s">
        <v>11198</v>
      </c>
    </row>
    <row r="4629" spans="1:2" ht="15">
      <c r="A4629" s="77" t="s">
        <v>8527</v>
      </c>
      <c r="B4629" s="76" t="s">
        <v>11198</v>
      </c>
    </row>
    <row r="4630" spans="1:2" ht="15">
      <c r="A4630" s="77" t="s">
        <v>8528</v>
      </c>
      <c r="B4630" s="76" t="s">
        <v>11198</v>
      </c>
    </row>
    <row r="4631" spans="1:2" ht="15">
      <c r="A4631" s="77" t="s">
        <v>8529</v>
      </c>
      <c r="B4631" s="76" t="s">
        <v>11198</v>
      </c>
    </row>
    <row r="4632" spans="1:2" ht="15">
      <c r="A4632" s="77" t="s">
        <v>8530</v>
      </c>
      <c r="B4632" s="76" t="s">
        <v>11198</v>
      </c>
    </row>
    <row r="4633" spans="1:2" ht="15">
      <c r="A4633" s="77" t="s">
        <v>8531</v>
      </c>
      <c r="B4633" s="76" t="s">
        <v>11198</v>
      </c>
    </row>
    <row r="4634" spans="1:2" ht="15">
      <c r="A4634" s="77" t="s">
        <v>8532</v>
      </c>
      <c r="B4634" s="76" t="s">
        <v>11198</v>
      </c>
    </row>
    <row r="4635" spans="1:2" ht="15">
      <c r="A4635" s="77" t="s">
        <v>8533</v>
      </c>
      <c r="B4635" s="76" t="s">
        <v>11198</v>
      </c>
    </row>
    <row r="4636" spans="1:2" ht="15">
      <c r="A4636" s="77" t="s">
        <v>8534</v>
      </c>
      <c r="B4636" s="76" t="s">
        <v>11198</v>
      </c>
    </row>
    <row r="4637" spans="1:2" ht="15">
      <c r="A4637" s="77" t="s">
        <v>8535</v>
      </c>
      <c r="B4637" s="76" t="s">
        <v>11198</v>
      </c>
    </row>
    <row r="4638" spans="1:2" ht="15">
      <c r="A4638" s="77" t="s">
        <v>8536</v>
      </c>
      <c r="B4638" s="76" t="s">
        <v>11198</v>
      </c>
    </row>
    <row r="4639" spans="1:2" ht="15">
      <c r="A4639" s="77" t="s">
        <v>8537</v>
      </c>
      <c r="B4639" s="76" t="s">
        <v>11198</v>
      </c>
    </row>
    <row r="4640" spans="1:2" ht="15">
      <c r="A4640" s="77" t="s">
        <v>8538</v>
      </c>
      <c r="B4640" s="76" t="s">
        <v>11198</v>
      </c>
    </row>
    <row r="4641" spans="1:2" ht="15">
      <c r="A4641" s="77" t="s">
        <v>8539</v>
      </c>
      <c r="B4641" s="76" t="s">
        <v>11198</v>
      </c>
    </row>
    <row r="4642" spans="1:2" ht="15">
      <c r="A4642" s="77" t="s">
        <v>8540</v>
      </c>
      <c r="B4642" s="76" t="s">
        <v>11198</v>
      </c>
    </row>
    <row r="4643" spans="1:2" ht="15">
      <c r="A4643" s="77" t="s">
        <v>8541</v>
      </c>
      <c r="B4643" s="76" t="s">
        <v>11198</v>
      </c>
    </row>
    <row r="4644" spans="1:2" ht="15">
      <c r="A4644" s="77" t="s">
        <v>8542</v>
      </c>
      <c r="B4644" s="76" t="s">
        <v>11198</v>
      </c>
    </row>
    <row r="4645" spans="1:2" ht="15">
      <c r="A4645" s="77" t="s">
        <v>8543</v>
      </c>
      <c r="B4645" s="76" t="s">
        <v>11198</v>
      </c>
    </row>
    <row r="4646" spans="1:2" ht="15">
      <c r="A4646" s="77" t="s">
        <v>8544</v>
      </c>
      <c r="B4646" s="76" t="s">
        <v>11198</v>
      </c>
    </row>
    <row r="4647" spans="1:2" ht="15">
      <c r="A4647" s="77" t="s">
        <v>8545</v>
      </c>
      <c r="B4647" s="76" t="s">
        <v>11198</v>
      </c>
    </row>
    <row r="4648" spans="1:2" ht="15">
      <c r="A4648" s="77" t="s">
        <v>8546</v>
      </c>
      <c r="B4648" s="76" t="s">
        <v>11198</v>
      </c>
    </row>
    <row r="4649" spans="1:2" ht="15">
      <c r="A4649" s="77" t="s">
        <v>8547</v>
      </c>
      <c r="B4649" s="76" t="s">
        <v>11198</v>
      </c>
    </row>
    <row r="4650" spans="1:2" ht="15">
      <c r="A4650" s="77" t="s">
        <v>8548</v>
      </c>
      <c r="B4650" s="76" t="s">
        <v>11198</v>
      </c>
    </row>
    <row r="4651" spans="1:2" ht="15">
      <c r="A4651" s="77" t="s">
        <v>8549</v>
      </c>
      <c r="B4651" s="76" t="s">
        <v>11198</v>
      </c>
    </row>
    <row r="4652" spans="1:2" ht="15">
      <c r="A4652" s="77" t="s">
        <v>8550</v>
      </c>
      <c r="B4652" s="76" t="s">
        <v>11198</v>
      </c>
    </row>
    <row r="4653" spans="1:2" ht="15">
      <c r="A4653" s="77" t="s">
        <v>8551</v>
      </c>
      <c r="B4653" s="76" t="s">
        <v>11198</v>
      </c>
    </row>
    <row r="4654" spans="1:2" ht="15">
      <c r="A4654" s="77" t="s">
        <v>8552</v>
      </c>
      <c r="B4654" s="76" t="s">
        <v>11198</v>
      </c>
    </row>
    <row r="4655" spans="1:2" ht="15">
      <c r="A4655" s="77" t="s">
        <v>8553</v>
      </c>
      <c r="B4655" s="76" t="s">
        <v>11198</v>
      </c>
    </row>
    <row r="4656" spans="1:2" ht="15">
      <c r="A4656" s="77" t="s">
        <v>8554</v>
      </c>
      <c r="B4656" s="76" t="s">
        <v>11198</v>
      </c>
    </row>
    <row r="4657" spans="1:2" ht="15">
      <c r="A4657" s="77" t="s">
        <v>8555</v>
      </c>
      <c r="B4657" s="76" t="s">
        <v>11198</v>
      </c>
    </row>
    <row r="4658" spans="1:2" ht="15">
      <c r="A4658" s="77" t="s">
        <v>8556</v>
      </c>
      <c r="B4658" s="76" t="s">
        <v>11198</v>
      </c>
    </row>
    <row r="4659" spans="1:2" ht="15">
      <c r="A4659" s="77" t="s">
        <v>8557</v>
      </c>
      <c r="B4659" s="76" t="s">
        <v>11198</v>
      </c>
    </row>
    <row r="4660" spans="1:2" ht="15">
      <c r="A4660" s="77" t="s">
        <v>8558</v>
      </c>
      <c r="B4660" s="76" t="s">
        <v>11198</v>
      </c>
    </row>
    <row r="4661" spans="1:2" ht="15">
      <c r="A4661" s="77" t="s">
        <v>8559</v>
      </c>
      <c r="B4661" s="76" t="s">
        <v>11198</v>
      </c>
    </row>
    <row r="4662" spans="1:2" ht="15">
      <c r="A4662" s="77" t="s">
        <v>8560</v>
      </c>
      <c r="B4662" s="76" t="s">
        <v>11198</v>
      </c>
    </row>
    <row r="4663" spans="1:2" ht="15">
      <c r="A4663" s="77" t="s">
        <v>8561</v>
      </c>
      <c r="B4663" s="76" t="s">
        <v>11198</v>
      </c>
    </row>
    <row r="4664" spans="1:2" ht="15">
      <c r="A4664" s="77" t="s">
        <v>8562</v>
      </c>
      <c r="B4664" s="76" t="s">
        <v>11198</v>
      </c>
    </row>
    <row r="4665" spans="1:2" ht="15">
      <c r="A4665" s="77" t="s">
        <v>8563</v>
      </c>
      <c r="B4665" s="76" t="s">
        <v>11198</v>
      </c>
    </row>
    <row r="4666" spans="1:2" ht="15">
      <c r="A4666" s="77" t="s">
        <v>8564</v>
      </c>
      <c r="B4666" s="76" t="s">
        <v>11198</v>
      </c>
    </row>
    <row r="4667" spans="1:2" ht="15">
      <c r="A4667" s="77" t="s">
        <v>8565</v>
      </c>
      <c r="B4667" s="76" t="s">
        <v>11198</v>
      </c>
    </row>
    <row r="4668" spans="1:2" ht="15">
      <c r="A4668" s="77" t="s">
        <v>8566</v>
      </c>
      <c r="B4668" s="76" t="s">
        <v>11198</v>
      </c>
    </row>
    <row r="4669" spans="1:2" ht="15">
      <c r="A4669" s="77" t="s">
        <v>8567</v>
      </c>
      <c r="B4669" s="76" t="s">
        <v>11198</v>
      </c>
    </row>
    <row r="4670" spans="1:2" ht="15">
      <c r="A4670" s="77" t="s">
        <v>8568</v>
      </c>
      <c r="B4670" s="76" t="s">
        <v>11198</v>
      </c>
    </row>
    <row r="4671" spans="1:2" ht="15">
      <c r="A4671" s="77" t="s">
        <v>8569</v>
      </c>
      <c r="B4671" s="76" t="s">
        <v>11198</v>
      </c>
    </row>
    <row r="4672" spans="1:2" ht="15">
      <c r="A4672" s="77" t="s">
        <v>8570</v>
      </c>
      <c r="B4672" s="76" t="s">
        <v>11198</v>
      </c>
    </row>
    <row r="4673" spans="1:2" ht="15">
      <c r="A4673" s="77" t="s">
        <v>8571</v>
      </c>
      <c r="B4673" s="76" t="s">
        <v>11198</v>
      </c>
    </row>
    <row r="4674" spans="1:2" ht="15">
      <c r="A4674" s="77" t="s">
        <v>8572</v>
      </c>
      <c r="B4674" s="76" t="s">
        <v>11198</v>
      </c>
    </row>
    <row r="4675" spans="1:2" ht="15">
      <c r="A4675" s="77" t="s">
        <v>8573</v>
      </c>
      <c r="B4675" s="76" t="s">
        <v>11198</v>
      </c>
    </row>
    <row r="4676" spans="1:2" ht="15">
      <c r="A4676" s="77" t="s">
        <v>8574</v>
      </c>
      <c r="B4676" s="76" t="s">
        <v>11198</v>
      </c>
    </row>
    <row r="4677" spans="1:2" ht="15">
      <c r="A4677" s="77" t="s">
        <v>8575</v>
      </c>
      <c r="B4677" s="76" t="s">
        <v>11198</v>
      </c>
    </row>
    <row r="4678" spans="1:2" ht="15">
      <c r="A4678" s="77" t="s">
        <v>8576</v>
      </c>
      <c r="B4678" s="76" t="s">
        <v>11198</v>
      </c>
    </row>
    <row r="4679" spans="1:2" ht="15">
      <c r="A4679" s="77" t="s">
        <v>8577</v>
      </c>
      <c r="B4679" s="76" t="s">
        <v>11198</v>
      </c>
    </row>
    <row r="4680" spans="1:2" ht="15">
      <c r="A4680" s="77" t="s">
        <v>8578</v>
      </c>
      <c r="B4680" s="76" t="s">
        <v>11198</v>
      </c>
    </row>
    <row r="4681" spans="1:2" ht="15">
      <c r="A4681" s="77" t="s">
        <v>8579</v>
      </c>
      <c r="B4681" s="76" t="s">
        <v>11198</v>
      </c>
    </row>
    <row r="4682" spans="1:2" ht="15">
      <c r="A4682" s="77" t="s">
        <v>8580</v>
      </c>
      <c r="B4682" s="76" t="s">
        <v>11198</v>
      </c>
    </row>
    <row r="4683" spans="1:2" ht="15">
      <c r="A4683" s="77" t="s">
        <v>8581</v>
      </c>
      <c r="B4683" s="76" t="s">
        <v>11198</v>
      </c>
    </row>
    <row r="4684" spans="1:2" ht="15">
      <c r="A4684" s="77" t="s">
        <v>8582</v>
      </c>
      <c r="B4684" s="76" t="s">
        <v>11198</v>
      </c>
    </row>
    <row r="4685" spans="1:2" ht="15">
      <c r="A4685" s="77" t="s">
        <v>8583</v>
      </c>
      <c r="B4685" s="76" t="s">
        <v>11198</v>
      </c>
    </row>
    <row r="4686" spans="1:2" ht="15">
      <c r="A4686" s="77" t="s">
        <v>8584</v>
      </c>
      <c r="B4686" s="76" t="s">
        <v>11198</v>
      </c>
    </row>
    <row r="4687" spans="1:2" ht="15">
      <c r="A4687" s="77" t="s">
        <v>8585</v>
      </c>
      <c r="B4687" s="76" t="s">
        <v>11198</v>
      </c>
    </row>
    <row r="4688" spans="1:2" ht="15">
      <c r="A4688" s="77" t="s">
        <v>8586</v>
      </c>
      <c r="B4688" s="76" t="s">
        <v>11198</v>
      </c>
    </row>
    <row r="4689" spans="1:2" ht="15">
      <c r="A4689" s="77" t="s">
        <v>8587</v>
      </c>
      <c r="B4689" s="76" t="s">
        <v>11198</v>
      </c>
    </row>
    <row r="4690" spans="1:2" ht="15">
      <c r="A4690" s="77" t="s">
        <v>8588</v>
      </c>
      <c r="B4690" s="76" t="s">
        <v>11198</v>
      </c>
    </row>
    <row r="4691" spans="1:2" ht="15">
      <c r="A4691" s="77" t="s">
        <v>8589</v>
      </c>
      <c r="B4691" s="76" t="s">
        <v>11198</v>
      </c>
    </row>
    <row r="4692" spans="1:2" ht="15">
      <c r="A4692" s="77" t="s">
        <v>8590</v>
      </c>
      <c r="B4692" s="76" t="s">
        <v>11198</v>
      </c>
    </row>
    <row r="4693" spans="1:2" ht="15">
      <c r="A4693" s="77" t="s">
        <v>8591</v>
      </c>
      <c r="B4693" s="76" t="s">
        <v>11198</v>
      </c>
    </row>
    <row r="4694" spans="1:2" ht="15">
      <c r="A4694" s="77" t="s">
        <v>8592</v>
      </c>
      <c r="B4694" s="76" t="s">
        <v>11198</v>
      </c>
    </row>
    <row r="4695" spans="1:2" ht="15">
      <c r="A4695" s="77" t="s">
        <v>8593</v>
      </c>
      <c r="B4695" s="76" t="s">
        <v>11198</v>
      </c>
    </row>
    <row r="4696" spans="1:2" ht="15">
      <c r="A4696" s="77" t="s">
        <v>8594</v>
      </c>
      <c r="B4696" s="76" t="s">
        <v>11198</v>
      </c>
    </row>
    <row r="4697" spans="1:2" ht="15">
      <c r="A4697" s="77" t="s">
        <v>8595</v>
      </c>
      <c r="B4697" s="76" t="s">
        <v>11198</v>
      </c>
    </row>
    <row r="4698" spans="1:2" ht="15">
      <c r="A4698" s="77" t="s">
        <v>8596</v>
      </c>
      <c r="B4698" s="76" t="s">
        <v>11198</v>
      </c>
    </row>
    <row r="4699" spans="1:2" ht="15">
      <c r="A4699" s="77" t="s">
        <v>8597</v>
      </c>
      <c r="B4699" s="76" t="s">
        <v>11198</v>
      </c>
    </row>
    <row r="4700" spans="1:2" ht="15">
      <c r="A4700" s="77" t="s">
        <v>8598</v>
      </c>
      <c r="B4700" s="76" t="s">
        <v>11198</v>
      </c>
    </row>
    <row r="4701" spans="1:2" ht="15">
      <c r="A4701" s="77" t="s">
        <v>8599</v>
      </c>
      <c r="B4701" s="76" t="s">
        <v>11198</v>
      </c>
    </row>
    <row r="4702" spans="1:2" ht="15">
      <c r="A4702" s="77" t="s">
        <v>8600</v>
      </c>
      <c r="B4702" s="76" t="s">
        <v>11198</v>
      </c>
    </row>
    <row r="4703" spans="1:2" ht="15">
      <c r="A4703" s="77" t="s">
        <v>8601</v>
      </c>
      <c r="B4703" s="76" t="s">
        <v>11198</v>
      </c>
    </row>
    <row r="4704" spans="1:2" ht="15">
      <c r="A4704" s="77" t="s">
        <v>8602</v>
      </c>
      <c r="B4704" s="76" t="s">
        <v>11198</v>
      </c>
    </row>
    <row r="4705" spans="1:2" ht="15">
      <c r="A4705" s="77" t="s">
        <v>8603</v>
      </c>
      <c r="B4705" s="76" t="s">
        <v>11198</v>
      </c>
    </row>
    <row r="4706" spans="1:2" ht="15">
      <c r="A4706" s="77" t="s">
        <v>8604</v>
      </c>
      <c r="B4706" s="76" t="s">
        <v>11198</v>
      </c>
    </row>
    <row r="4707" spans="1:2" ht="15">
      <c r="A4707" s="77" t="s">
        <v>8605</v>
      </c>
      <c r="B4707" s="76" t="s">
        <v>11198</v>
      </c>
    </row>
    <row r="4708" spans="1:2" ht="15">
      <c r="A4708" s="77" t="s">
        <v>8606</v>
      </c>
      <c r="B4708" s="76" t="s">
        <v>11198</v>
      </c>
    </row>
    <row r="4709" spans="1:2" ht="15">
      <c r="A4709" s="77" t="s">
        <v>8607</v>
      </c>
      <c r="B4709" s="76" t="s">
        <v>11198</v>
      </c>
    </row>
    <row r="4710" spans="1:2" ht="15">
      <c r="A4710" s="77" t="s">
        <v>8608</v>
      </c>
      <c r="B4710" s="76" t="s">
        <v>11198</v>
      </c>
    </row>
    <row r="4711" spans="1:2" ht="15">
      <c r="A4711" s="77" t="s">
        <v>8609</v>
      </c>
      <c r="B4711" s="76" t="s">
        <v>11198</v>
      </c>
    </row>
    <row r="4712" spans="1:2" ht="15">
      <c r="A4712" s="77" t="s">
        <v>8610</v>
      </c>
      <c r="B4712" s="76" t="s">
        <v>11198</v>
      </c>
    </row>
    <row r="4713" spans="1:2" ht="15">
      <c r="A4713" s="77" t="s">
        <v>8611</v>
      </c>
      <c r="B4713" s="76" t="s">
        <v>11198</v>
      </c>
    </row>
    <row r="4714" spans="1:2" ht="15">
      <c r="A4714" s="77" t="s">
        <v>8612</v>
      </c>
      <c r="B4714" s="76" t="s">
        <v>11198</v>
      </c>
    </row>
    <row r="4715" spans="1:2" ht="15">
      <c r="A4715" s="77" t="s">
        <v>8613</v>
      </c>
      <c r="B4715" s="76" t="s">
        <v>11198</v>
      </c>
    </row>
    <row r="4716" spans="1:2" ht="15">
      <c r="A4716" s="77" t="s">
        <v>8614</v>
      </c>
      <c r="B4716" s="76" t="s">
        <v>11198</v>
      </c>
    </row>
    <row r="4717" spans="1:2" ht="15">
      <c r="A4717" s="77" t="s">
        <v>8615</v>
      </c>
      <c r="B4717" s="76" t="s">
        <v>11198</v>
      </c>
    </row>
    <row r="4718" spans="1:2" ht="15">
      <c r="A4718" s="77" t="s">
        <v>8616</v>
      </c>
      <c r="B4718" s="76" t="s">
        <v>11198</v>
      </c>
    </row>
    <row r="4719" spans="1:2" ht="15">
      <c r="A4719" s="77" t="s">
        <v>8617</v>
      </c>
      <c r="B4719" s="76" t="s">
        <v>11198</v>
      </c>
    </row>
    <row r="4720" spans="1:2" ht="15">
      <c r="A4720" s="77" t="s">
        <v>8618</v>
      </c>
      <c r="B4720" s="76" t="s">
        <v>11198</v>
      </c>
    </row>
    <row r="4721" spans="1:2" ht="15">
      <c r="A4721" s="77" t="s">
        <v>8619</v>
      </c>
      <c r="B4721" s="76" t="s">
        <v>11198</v>
      </c>
    </row>
    <row r="4722" spans="1:2" ht="15">
      <c r="A4722" s="77" t="s">
        <v>8620</v>
      </c>
      <c r="B4722" s="76" t="s">
        <v>11198</v>
      </c>
    </row>
    <row r="4723" spans="1:2" ht="15">
      <c r="A4723" s="77" t="s">
        <v>8621</v>
      </c>
      <c r="B4723" s="76" t="s">
        <v>11198</v>
      </c>
    </row>
    <row r="4724" spans="1:2" ht="15">
      <c r="A4724" s="77" t="s">
        <v>8622</v>
      </c>
      <c r="B4724" s="76" t="s">
        <v>11198</v>
      </c>
    </row>
    <row r="4725" spans="1:2" ht="15">
      <c r="A4725" s="77" t="s">
        <v>8623</v>
      </c>
      <c r="B4725" s="76" t="s">
        <v>11198</v>
      </c>
    </row>
    <row r="4726" spans="1:2" ht="15">
      <c r="A4726" s="77" t="s">
        <v>8624</v>
      </c>
      <c r="B4726" s="76" t="s">
        <v>11198</v>
      </c>
    </row>
    <row r="4727" spans="1:2" ht="15">
      <c r="A4727" s="77" t="s">
        <v>8625</v>
      </c>
      <c r="B4727" s="76" t="s">
        <v>11198</v>
      </c>
    </row>
    <row r="4728" spans="1:2" ht="15">
      <c r="A4728" s="77" t="s">
        <v>8626</v>
      </c>
      <c r="B4728" s="76" t="s">
        <v>11198</v>
      </c>
    </row>
    <row r="4729" spans="1:2" ht="15">
      <c r="A4729" s="77" t="s">
        <v>8627</v>
      </c>
      <c r="B4729" s="76" t="s">
        <v>11198</v>
      </c>
    </row>
    <row r="4730" spans="1:2" ht="15">
      <c r="A4730" s="77" t="s">
        <v>8628</v>
      </c>
      <c r="B4730" s="76" t="s">
        <v>11198</v>
      </c>
    </row>
    <row r="4731" spans="1:2" ht="15">
      <c r="A4731" s="77" t="s">
        <v>8629</v>
      </c>
      <c r="B4731" s="76" t="s">
        <v>11198</v>
      </c>
    </row>
    <row r="4732" spans="1:2" ht="15">
      <c r="A4732" s="77" t="s">
        <v>8630</v>
      </c>
      <c r="B4732" s="76" t="s">
        <v>11198</v>
      </c>
    </row>
    <row r="4733" spans="1:2" ht="15">
      <c r="A4733" s="77" t="s">
        <v>8631</v>
      </c>
      <c r="B4733" s="76" t="s">
        <v>11198</v>
      </c>
    </row>
    <row r="4734" spans="1:2" ht="15">
      <c r="A4734" s="77" t="s">
        <v>8632</v>
      </c>
      <c r="B4734" s="76" t="s">
        <v>11198</v>
      </c>
    </row>
    <row r="4735" spans="1:2" ht="15">
      <c r="A4735" s="77" t="s">
        <v>8633</v>
      </c>
      <c r="B4735" s="76" t="s">
        <v>11198</v>
      </c>
    </row>
    <row r="4736" spans="1:2" ht="15">
      <c r="A4736" s="77" t="s">
        <v>8634</v>
      </c>
      <c r="B4736" s="76" t="s">
        <v>11198</v>
      </c>
    </row>
    <row r="4737" spans="1:2" ht="15">
      <c r="A4737" s="77" t="s">
        <v>8635</v>
      </c>
      <c r="B4737" s="76" t="s">
        <v>11198</v>
      </c>
    </row>
    <row r="4738" spans="1:2" ht="15">
      <c r="A4738" s="77" t="s">
        <v>8636</v>
      </c>
      <c r="B4738" s="76" t="s">
        <v>11198</v>
      </c>
    </row>
    <row r="4739" spans="1:2" ht="15">
      <c r="A4739" s="77" t="s">
        <v>8637</v>
      </c>
      <c r="B4739" s="76" t="s">
        <v>11198</v>
      </c>
    </row>
    <row r="4740" spans="1:2" ht="15">
      <c r="A4740" s="77" t="s">
        <v>8638</v>
      </c>
      <c r="B4740" s="76" t="s">
        <v>11198</v>
      </c>
    </row>
    <row r="4741" spans="1:2" ht="15">
      <c r="A4741" s="77" t="s">
        <v>8639</v>
      </c>
      <c r="B4741" s="76" t="s">
        <v>11198</v>
      </c>
    </row>
    <row r="4742" spans="1:2" ht="15">
      <c r="A4742" s="77" t="s">
        <v>8640</v>
      </c>
      <c r="B4742" s="76" t="s">
        <v>11198</v>
      </c>
    </row>
    <row r="4743" spans="1:2" ht="15">
      <c r="A4743" s="77" t="s">
        <v>8641</v>
      </c>
      <c r="B4743" s="76" t="s">
        <v>11198</v>
      </c>
    </row>
    <row r="4744" spans="1:2" ht="15">
      <c r="A4744" s="77" t="s">
        <v>8642</v>
      </c>
      <c r="B4744" s="76" t="s">
        <v>11198</v>
      </c>
    </row>
    <row r="4745" spans="1:2" ht="15">
      <c r="A4745" s="77" t="s">
        <v>8643</v>
      </c>
      <c r="B4745" s="76" t="s">
        <v>11198</v>
      </c>
    </row>
    <row r="4746" spans="1:2" ht="15">
      <c r="A4746" s="77" t="s">
        <v>8644</v>
      </c>
      <c r="B4746" s="76" t="s">
        <v>11198</v>
      </c>
    </row>
    <row r="4747" spans="1:2" ht="15">
      <c r="A4747" s="77" t="s">
        <v>8645</v>
      </c>
      <c r="B4747" s="76" t="s">
        <v>11198</v>
      </c>
    </row>
    <row r="4748" spans="1:2" ht="15">
      <c r="A4748" s="77" t="s">
        <v>8646</v>
      </c>
      <c r="B4748" s="76" t="s">
        <v>11198</v>
      </c>
    </row>
    <row r="4749" spans="1:2" ht="15">
      <c r="A4749" s="77" t="s">
        <v>8647</v>
      </c>
      <c r="B4749" s="76" t="s">
        <v>11198</v>
      </c>
    </row>
    <row r="4750" spans="1:2" ht="15">
      <c r="A4750" s="77" t="s">
        <v>8648</v>
      </c>
      <c r="B4750" s="76" t="s">
        <v>11198</v>
      </c>
    </row>
    <row r="4751" spans="1:2" ht="15">
      <c r="A4751" s="77" t="s">
        <v>8649</v>
      </c>
      <c r="B4751" s="76" t="s">
        <v>11198</v>
      </c>
    </row>
    <row r="4752" spans="1:2" ht="15">
      <c r="A4752" s="77" t="s">
        <v>8650</v>
      </c>
      <c r="B4752" s="76" t="s">
        <v>11198</v>
      </c>
    </row>
    <row r="4753" spans="1:2" ht="15">
      <c r="A4753" s="77" t="s">
        <v>8651</v>
      </c>
      <c r="B4753" s="76" t="s">
        <v>11198</v>
      </c>
    </row>
    <row r="4754" spans="1:2" ht="15">
      <c r="A4754" s="77" t="s">
        <v>8652</v>
      </c>
      <c r="B4754" s="76" t="s">
        <v>11198</v>
      </c>
    </row>
    <row r="4755" spans="1:2" ht="15">
      <c r="A4755" s="77" t="s">
        <v>8653</v>
      </c>
      <c r="B4755" s="76" t="s">
        <v>11198</v>
      </c>
    </row>
    <row r="4756" spans="1:2" ht="15">
      <c r="A4756" s="77" t="s">
        <v>8654</v>
      </c>
      <c r="B4756" s="76" t="s">
        <v>11198</v>
      </c>
    </row>
    <row r="4757" spans="1:2" ht="15">
      <c r="A4757" s="77" t="s">
        <v>8655</v>
      </c>
      <c r="B4757" s="76" t="s">
        <v>11198</v>
      </c>
    </row>
    <row r="4758" spans="1:2" ht="15">
      <c r="A4758" s="77" t="s">
        <v>8656</v>
      </c>
      <c r="B4758" s="76" t="s">
        <v>11198</v>
      </c>
    </row>
    <row r="4759" spans="1:2" ht="15">
      <c r="A4759" s="77" t="s">
        <v>8657</v>
      </c>
      <c r="B4759" s="76" t="s">
        <v>11198</v>
      </c>
    </row>
    <row r="4760" spans="1:2" ht="15">
      <c r="A4760" s="77" t="s">
        <v>8658</v>
      </c>
      <c r="B4760" s="76" t="s">
        <v>11198</v>
      </c>
    </row>
    <row r="4761" spans="1:2" ht="15">
      <c r="A4761" s="77" t="s">
        <v>8659</v>
      </c>
      <c r="B4761" s="76" t="s">
        <v>11198</v>
      </c>
    </row>
    <row r="4762" spans="1:2" ht="15">
      <c r="A4762" s="77" t="s">
        <v>8660</v>
      </c>
      <c r="B4762" s="76" t="s">
        <v>11198</v>
      </c>
    </row>
    <row r="4763" spans="1:2" ht="15">
      <c r="A4763" s="77" t="s">
        <v>8661</v>
      </c>
      <c r="B4763" s="76" t="s">
        <v>11198</v>
      </c>
    </row>
    <row r="4764" spans="1:2" ht="15">
      <c r="A4764" s="77" t="s">
        <v>8662</v>
      </c>
      <c r="B4764" s="76" t="s">
        <v>11198</v>
      </c>
    </row>
    <row r="4765" spans="1:2" ht="15">
      <c r="A4765" s="77" t="s">
        <v>8663</v>
      </c>
      <c r="B4765" s="76" t="s">
        <v>11198</v>
      </c>
    </row>
    <row r="4766" spans="1:2" ht="15">
      <c r="A4766" s="77" t="s">
        <v>8664</v>
      </c>
      <c r="B4766" s="76" t="s">
        <v>11198</v>
      </c>
    </row>
    <row r="4767" spans="1:2" ht="15">
      <c r="A4767" s="77" t="s">
        <v>8665</v>
      </c>
      <c r="B4767" s="76" t="s">
        <v>11198</v>
      </c>
    </row>
    <row r="4768" spans="1:2" ht="15">
      <c r="A4768" s="77" t="s">
        <v>8666</v>
      </c>
      <c r="B4768" s="76" t="s">
        <v>11198</v>
      </c>
    </row>
    <row r="4769" spans="1:2" ht="15">
      <c r="A4769" s="77" t="s">
        <v>8667</v>
      </c>
      <c r="B4769" s="76" t="s">
        <v>11198</v>
      </c>
    </row>
    <row r="4770" spans="1:2" ht="15">
      <c r="A4770" s="77" t="s">
        <v>8668</v>
      </c>
      <c r="B4770" s="76" t="s">
        <v>11198</v>
      </c>
    </row>
    <row r="4771" spans="1:2" ht="15">
      <c r="A4771" s="77" t="s">
        <v>8669</v>
      </c>
      <c r="B4771" s="76" t="s">
        <v>11198</v>
      </c>
    </row>
    <row r="4772" spans="1:2" ht="15">
      <c r="A4772" s="77" t="s">
        <v>8670</v>
      </c>
      <c r="B4772" s="76" t="s">
        <v>11198</v>
      </c>
    </row>
    <row r="4773" spans="1:2" ht="15">
      <c r="A4773" s="77" t="s">
        <v>8671</v>
      </c>
      <c r="B4773" s="76" t="s">
        <v>11198</v>
      </c>
    </row>
    <row r="4774" spans="1:2" ht="15">
      <c r="A4774" s="77" t="s">
        <v>8672</v>
      </c>
      <c r="B4774" s="76" t="s">
        <v>11198</v>
      </c>
    </row>
    <row r="4775" spans="1:2" ht="15">
      <c r="A4775" s="77" t="s">
        <v>8673</v>
      </c>
      <c r="B4775" s="76" t="s">
        <v>11198</v>
      </c>
    </row>
    <row r="4776" spans="1:2" ht="15">
      <c r="A4776" s="77" t="s">
        <v>8674</v>
      </c>
      <c r="B4776" s="76" t="s">
        <v>11198</v>
      </c>
    </row>
    <row r="4777" spans="1:2" ht="15">
      <c r="A4777" s="77" t="s">
        <v>8675</v>
      </c>
      <c r="B4777" s="76" t="s">
        <v>11198</v>
      </c>
    </row>
    <row r="4778" spans="1:2" ht="15">
      <c r="A4778" s="77" t="s">
        <v>8676</v>
      </c>
      <c r="B4778" s="76" t="s">
        <v>11198</v>
      </c>
    </row>
    <row r="4779" spans="1:2" ht="15">
      <c r="A4779" s="77" t="s">
        <v>8677</v>
      </c>
      <c r="B4779" s="76" t="s">
        <v>11198</v>
      </c>
    </row>
    <row r="4780" spans="1:2" ht="15">
      <c r="A4780" s="77" t="s">
        <v>8678</v>
      </c>
      <c r="B4780" s="76" t="s">
        <v>11198</v>
      </c>
    </row>
    <row r="4781" spans="1:2" ht="15">
      <c r="A4781" s="77" t="s">
        <v>8679</v>
      </c>
      <c r="B4781" s="76" t="s">
        <v>11198</v>
      </c>
    </row>
    <row r="4782" spans="1:2" ht="15">
      <c r="A4782" s="77" t="s">
        <v>8680</v>
      </c>
      <c r="B4782" s="76" t="s">
        <v>11198</v>
      </c>
    </row>
    <row r="4783" spans="1:2" ht="15">
      <c r="A4783" s="77" t="s">
        <v>8681</v>
      </c>
      <c r="B4783" s="76" t="s">
        <v>11198</v>
      </c>
    </row>
    <row r="4784" spans="1:2" ht="15">
      <c r="A4784" s="77" t="s">
        <v>8682</v>
      </c>
      <c r="B4784" s="76" t="s">
        <v>11198</v>
      </c>
    </row>
    <row r="4785" spans="1:2" ht="15">
      <c r="A4785" s="77" t="s">
        <v>8683</v>
      </c>
      <c r="B4785" s="76" t="s">
        <v>11198</v>
      </c>
    </row>
    <row r="4786" spans="1:2" ht="15">
      <c r="A4786" s="77" t="s">
        <v>8684</v>
      </c>
      <c r="B4786" s="76" t="s">
        <v>11198</v>
      </c>
    </row>
    <row r="4787" spans="1:2" ht="15">
      <c r="A4787" s="77" t="s">
        <v>8685</v>
      </c>
      <c r="B4787" s="76" t="s">
        <v>11198</v>
      </c>
    </row>
    <row r="4788" spans="1:2" ht="15">
      <c r="A4788" s="77" t="s">
        <v>8686</v>
      </c>
      <c r="B4788" s="76" t="s">
        <v>11198</v>
      </c>
    </row>
    <row r="4789" spans="1:2" ht="15">
      <c r="A4789" s="77" t="s">
        <v>8687</v>
      </c>
      <c r="B4789" s="76" t="s">
        <v>11198</v>
      </c>
    </row>
    <row r="4790" spans="1:2" ht="15">
      <c r="A4790" s="77" t="s">
        <v>8688</v>
      </c>
      <c r="B4790" s="76" t="s">
        <v>11198</v>
      </c>
    </row>
    <row r="4791" spans="1:2" ht="15">
      <c r="A4791" s="77" t="s">
        <v>8689</v>
      </c>
      <c r="B4791" s="76" t="s">
        <v>11198</v>
      </c>
    </row>
    <row r="4792" spans="1:2" ht="15">
      <c r="A4792" s="77" t="s">
        <v>8690</v>
      </c>
      <c r="B4792" s="76" t="s">
        <v>11198</v>
      </c>
    </row>
    <row r="4793" spans="1:2" ht="15">
      <c r="A4793" s="77" t="s">
        <v>8691</v>
      </c>
      <c r="B4793" s="76" t="s">
        <v>11198</v>
      </c>
    </row>
    <row r="4794" spans="1:2" ht="15">
      <c r="A4794" s="77" t="s">
        <v>8692</v>
      </c>
      <c r="B4794" s="76" t="s">
        <v>11198</v>
      </c>
    </row>
    <row r="4795" spans="1:2" ht="15">
      <c r="A4795" s="77" t="s">
        <v>8693</v>
      </c>
      <c r="B4795" s="76" t="s">
        <v>11198</v>
      </c>
    </row>
    <row r="4796" spans="1:2" ht="15">
      <c r="A4796" s="77" t="s">
        <v>8694</v>
      </c>
      <c r="B4796" s="76" t="s">
        <v>11198</v>
      </c>
    </row>
    <row r="4797" spans="1:2" ht="15">
      <c r="A4797" s="77" t="s">
        <v>8695</v>
      </c>
      <c r="B4797" s="76" t="s">
        <v>11198</v>
      </c>
    </row>
    <row r="4798" spans="1:2" ht="15">
      <c r="A4798" s="77" t="s">
        <v>8696</v>
      </c>
      <c r="B4798" s="76" t="s">
        <v>11198</v>
      </c>
    </row>
    <row r="4799" spans="1:2" ht="15">
      <c r="A4799" s="77" t="s">
        <v>8697</v>
      </c>
      <c r="B4799" s="76" t="s">
        <v>11198</v>
      </c>
    </row>
    <row r="4800" spans="1:2" ht="15">
      <c r="A4800" s="77" t="s">
        <v>8698</v>
      </c>
      <c r="B4800" s="76" t="s">
        <v>11198</v>
      </c>
    </row>
    <row r="4801" spans="1:2" ht="15">
      <c r="A4801" s="77" t="s">
        <v>8699</v>
      </c>
      <c r="B4801" s="76" t="s">
        <v>11198</v>
      </c>
    </row>
    <row r="4802" spans="1:2" ht="15">
      <c r="A4802" s="77" t="s">
        <v>8700</v>
      </c>
      <c r="B4802" s="76" t="s">
        <v>11198</v>
      </c>
    </row>
    <row r="4803" spans="1:2" ht="15">
      <c r="A4803" s="77" t="s">
        <v>8701</v>
      </c>
      <c r="B4803" s="76" t="s">
        <v>11198</v>
      </c>
    </row>
    <row r="4804" spans="1:2" ht="15">
      <c r="A4804" s="77" t="s">
        <v>8702</v>
      </c>
      <c r="B4804" s="76" t="s">
        <v>11198</v>
      </c>
    </row>
    <row r="4805" spans="1:2" ht="15">
      <c r="A4805" s="77" t="s">
        <v>8703</v>
      </c>
      <c r="B4805" s="76" t="s">
        <v>11198</v>
      </c>
    </row>
    <row r="4806" spans="1:2" ht="15">
      <c r="A4806" s="77" t="s">
        <v>8704</v>
      </c>
      <c r="B4806" s="76" t="s">
        <v>11198</v>
      </c>
    </row>
    <row r="4807" spans="1:2" ht="15">
      <c r="A4807" s="77" t="s">
        <v>8705</v>
      </c>
      <c r="B4807" s="76" t="s">
        <v>11198</v>
      </c>
    </row>
    <row r="4808" spans="1:2" ht="15">
      <c r="A4808" s="77" t="s">
        <v>8706</v>
      </c>
      <c r="B4808" s="76" t="s">
        <v>11198</v>
      </c>
    </row>
    <row r="4809" spans="1:2" ht="15">
      <c r="A4809" s="77" t="s">
        <v>8707</v>
      </c>
      <c r="B4809" s="76" t="s">
        <v>11198</v>
      </c>
    </row>
    <row r="4810" spans="1:2" ht="15">
      <c r="A4810" s="77" t="s">
        <v>8708</v>
      </c>
      <c r="B4810" s="76" t="s">
        <v>11198</v>
      </c>
    </row>
    <row r="4811" spans="1:2" ht="15">
      <c r="A4811" s="77" t="s">
        <v>8709</v>
      </c>
      <c r="B4811" s="76" t="s">
        <v>11198</v>
      </c>
    </row>
    <row r="4812" spans="1:2" ht="15">
      <c r="A4812" s="77" t="s">
        <v>8710</v>
      </c>
      <c r="B4812" s="76" t="s">
        <v>11198</v>
      </c>
    </row>
    <row r="4813" spans="1:2" ht="15">
      <c r="A4813" s="77" t="s">
        <v>8711</v>
      </c>
      <c r="B4813" s="76" t="s">
        <v>11198</v>
      </c>
    </row>
    <row r="4814" spans="1:2" ht="15">
      <c r="A4814" s="77" t="s">
        <v>8712</v>
      </c>
      <c r="B4814" s="76" t="s">
        <v>11198</v>
      </c>
    </row>
    <row r="4815" spans="1:2" ht="15">
      <c r="A4815" s="77" t="s">
        <v>8713</v>
      </c>
      <c r="B4815" s="76" t="s">
        <v>11198</v>
      </c>
    </row>
    <row r="4816" spans="1:2" ht="15">
      <c r="A4816" s="77" t="s">
        <v>8714</v>
      </c>
      <c r="B4816" s="76" t="s">
        <v>11198</v>
      </c>
    </row>
    <row r="4817" spans="1:2" ht="15">
      <c r="A4817" s="77" t="s">
        <v>8715</v>
      </c>
      <c r="B4817" s="76" t="s">
        <v>11198</v>
      </c>
    </row>
    <row r="4818" spans="1:2" ht="15">
      <c r="A4818" s="77" t="s">
        <v>8716</v>
      </c>
      <c r="B4818" s="76" t="s">
        <v>11198</v>
      </c>
    </row>
    <row r="4819" spans="1:2" ht="15">
      <c r="A4819" s="77" t="s">
        <v>8717</v>
      </c>
      <c r="B4819" s="76" t="s">
        <v>11198</v>
      </c>
    </row>
    <row r="4820" spans="1:2" ht="15">
      <c r="A4820" s="77" t="s">
        <v>8718</v>
      </c>
      <c r="B4820" s="76" t="s">
        <v>11198</v>
      </c>
    </row>
    <row r="4821" spans="1:2" ht="15">
      <c r="A4821" s="77" t="s">
        <v>8719</v>
      </c>
      <c r="B4821" s="76" t="s">
        <v>11198</v>
      </c>
    </row>
    <row r="4822" spans="1:2" ht="15">
      <c r="A4822" s="77" t="s">
        <v>8720</v>
      </c>
      <c r="B4822" s="76" t="s">
        <v>11198</v>
      </c>
    </row>
    <row r="4823" spans="1:2" ht="15">
      <c r="A4823" s="77" t="s">
        <v>8721</v>
      </c>
      <c r="B4823" s="76" t="s">
        <v>11198</v>
      </c>
    </row>
    <row r="4824" spans="1:2" ht="15">
      <c r="A4824" s="77" t="s">
        <v>8722</v>
      </c>
      <c r="B4824" s="76" t="s">
        <v>11198</v>
      </c>
    </row>
    <row r="4825" spans="1:2" ht="15">
      <c r="A4825" s="77" t="s">
        <v>8723</v>
      </c>
      <c r="B4825" s="76" t="s">
        <v>11198</v>
      </c>
    </row>
    <row r="4826" spans="1:2" ht="15">
      <c r="A4826" s="77" t="s">
        <v>8724</v>
      </c>
      <c r="B4826" s="76" t="s">
        <v>11198</v>
      </c>
    </row>
    <row r="4827" spans="1:2" ht="15">
      <c r="A4827" s="77" t="s">
        <v>8725</v>
      </c>
      <c r="B4827" s="76" t="s">
        <v>11198</v>
      </c>
    </row>
    <row r="4828" spans="1:2" ht="15">
      <c r="A4828" s="77" t="s">
        <v>8726</v>
      </c>
      <c r="B4828" s="76" t="s">
        <v>11198</v>
      </c>
    </row>
    <row r="4829" spans="1:2" ht="15">
      <c r="A4829" s="77" t="s">
        <v>8727</v>
      </c>
      <c r="B4829" s="76" t="s">
        <v>11198</v>
      </c>
    </row>
    <row r="4830" spans="1:2" ht="15">
      <c r="A4830" s="77" t="s">
        <v>8728</v>
      </c>
      <c r="B4830" s="76" t="s">
        <v>11198</v>
      </c>
    </row>
    <row r="4831" spans="1:2" ht="15">
      <c r="A4831" s="77" t="s">
        <v>8729</v>
      </c>
      <c r="B4831" s="76" t="s">
        <v>11198</v>
      </c>
    </row>
    <row r="4832" spans="1:2" ht="15">
      <c r="A4832" s="77" t="s">
        <v>8730</v>
      </c>
      <c r="B4832" s="76" t="s">
        <v>11198</v>
      </c>
    </row>
    <row r="4833" spans="1:2" ht="15">
      <c r="A4833" s="77" t="s">
        <v>8731</v>
      </c>
      <c r="B4833" s="76" t="s">
        <v>11198</v>
      </c>
    </row>
    <row r="4834" spans="1:2" ht="15">
      <c r="A4834" s="77" t="s">
        <v>8732</v>
      </c>
      <c r="B4834" s="76" t="s">
        <v>11198</v>
      </c>
    </row>
    <row r="4835" spans="1:2" ht="15">
      <c r="A4835" s="77" t="s">
        <v>8733</v>
      </c>
      <c r="B4835" s="76" t="s">
        <v>11198</v>
      </c>
    </row>
    <row r="4836" spans="1:2" ht="15">
      <c r="A4836" s="77" t="s">
        <v>8734</v>
      </c>
      <c r="B4836" s="76" t="s">
        <v>11198</v>
      </c>
    </row>
    <row r="4837" spans="1:2" ht="15">
      <c r="A4837" s="77" t="s">
        <v>8735</v>
      </c>
      <c r="B4837" s="76" t="s">
        <v>11198</v>
      </c>
    </row>
    <row r="4838" spans="1:2" ht="15">
      <c r="A4838" s="77" t="s">
        <v>8736</v>
      </c>
      <c r="B4838" s="76" t="s">
        <v>11198</v>
      </c>
    </row>
    <row r="4839" spans="1:2" ht="15">
      <c r="A4839" s="77" t="s">
        <v>8737</v>
      </c>
      <c r="B4839" s="76" t="s">
        <v>11198</v>
      </c>
    </row>
    <row r="4840" spans="1:2" ht="15">
      <c r="A4840" s="77" t="s">
        <v>8738</v>
      </c>
      <c r="B4840" s="76" t="s">
        <v>11198</v>
      </c>
    </row>
    <row r="4841" spans="1:2" ht="15">
      <c r="A4841" s="77" t="s">
        <v>8739</v>
      </c>
      <c r="B4841" s="76" t="s">
        <v>11198</v>
      </c>
    </row>
    <row r="4842" spans="1:2" ht="15">
      <c r="A4842" s="77" t="s">
        <v>8740</v>
      </c>
      <c r="B4842" s="76" t="s">
        <v>11198</v>
      </c>
    </row>
    <row r="4843" spans="1:2" ht="15">
      <c r="A4843" s="77" t="s">
        <v>8741</v>
      </c>
      <c r="B4843" s="76" t="s">
        <v>11198</v>
      </c>
    </row>
    <row r="4844" spans="1:2" ht="15">
      <c r="A4844" s="77" t="s">
        <v>8742</v>
      </c>
      <c r="B4844" s="76" t="s">
        <v>11198</v>
      </c>
    </row>
    <row r="4845" spans="1:2" ht="15">
      <c r="A4845" s="77" t="s">
        <v>8743</v>
      </c>
      <c r="B4845" s="76" t="s">
        <v>11198</v>
      </c>
    </row>
    <row r="4846" spans="1:2" ht="15">
      <c r="A4846" s="77" t="s">
        <v>8744</v>
      </c>
      <c r="B4846" s="76" t="s">
        <v>11198</v>
      </c>
    </row>
    <row r="4847" spans="1:2" ht="15">
      <c r="A4847" s="77" t="s">
        <v>8745</v>
      </c>
      <c r="B4847" s="76" t="s">
        <v>11198</v>
      </c>
    </row>
    <row r="4848" spans="1:2" ht="15">
      <c r="A4848" s="77" t="s">
        <v>8746</v>
      </c>
      <c r="B4848" s="76" t="s">
        <v>11198</v>
      </c>
    </row>
    <row r="4849" spans="1:2" ht="15">
      <c r="A4849" s="77" t="s">
        <v>8747</v>
      </c>
      <c r="B4849" s="76" t="s">
        <v>11198</v>
      </c>
    </row>
    <row r="4850" spans="1:2" ht="15">
      <c r="A4850" s="77" t="s">
        <v>8748</v>
      </c>
      <c r="B4850" s="76" t="s">
        <v>11198</v>
      </c>
    </row>
    <row r="4851" spans="1:2" ht="15">
      <c r="A4851" s="77" t="s">
        <v>8749</v>
      </c>
      <c r="B4851" s="76" t="s">
        <v>11198</v>
      </c>
    </row>
    <row r="4852" spans="1:2" ht="15">
      <c r="A4852" s="77" t="s">
        <v>8750</v>
      </c>
      <c r="B4852" s="76" t="s">
        <v>11198</v>
      </c>
    </row>
    <row r="4853" spans="1:2" ht="15">
      <c r="A4853" s="77" t="s">
        <v>8751</v>
      </c>
      <c r="B4853" s="76" t="s">
        <v>11198</v>
      </c>
    </row>
    <row r="4854" spans="1:2" ht="15">
      <c r="A4854" s="77" t="s">
        <v>8752</v>
      </c>
      <c r="B4854" s="76" t="s">
        <v>11198</v>
      </c>
    </row>
    <row r="4855" spans="1:2" ht="15">
      <c r="A4855" s="77" t="s">
        <v>8753</v>
      </c>
      <c r="B4855" s="76" t="s">
        <v>11198</v>
      </c>
    </row>
    <row r="4856" spans="1:2" ht="15">
      <c r="A4856" s="77" t="s">
        <v>8754</v>
      </c>
      <c r="B4856" s="76" t="s">
        <v>11198</v>
      </c>
    </row>
    <row r="4857" spans="1:2" ht="15">
      <c r="A4857" s="77" t="s">
        <v>8755</v>
      </c>
      <c r="B4857" s="76" t="s">
        <v>11198</v>
      </c>
    </row>
    <row r="4858" spans="1:2" ht="15">
      <c r="A4858" s="77" t="s">
        <v>8756</v>
      </c>
      <c r="B4858" s="76" t="s">
        <v>11198</v>
      </c>
    </row>
    <row r="4859" spans="1:2" ht="15">
      <c r="A4859" s="77" t="s">
        <v>8757</v>
      </c>
      <c r="B4859" s="76" t="s">
        <v>11198</v>
      </c>
    </row>
    <row r="4860" spans="1:2" ht="15">
      <c r="A4860" s="77" t="s">
        <v>8758</v>
      </c>
      <c r="B4860" s="76" t="s">
        <v>11198</v>
      </c>
    </row>
    <row r="4861" spans="1:2" ht="15">
      <c r="A4861" s="77" t="s">
        <v>8759</v>
      </c>
      <c r="B4861" s="76" t="s">
        <v>11198</v>
      </c>
    </row>
    <row r="4862" spans="1:2" ht="15">
      <c r="A4862" s="77" t="s">
        <v>8760</v>
      </c>
      <c r="B4862" s="76" t="s">
        <v>11198</v>
      </c>
    </row>
    <row r="4863" spans="1:2" ht="15">
      <c r="A4863" s="77" t="s">
        <v>8761</v>
      </c>
      <c r="B4863" s="76" t="s">
        <v>11198</v>
      </c>
    </row>
    <row r="4864" spans="1:2" ht="15">
      <c r="A4864" s="77" t="s">
        <v>8762</v>
      </c>
      <c r="B4864" s="76" t="s">
        <v>11198</v>
      </c>
    </row>
    <row r="4865" spans="1:2" ht="15">
      <c r="A4865" s="77" t="s">
        <v>8763</v>
      </c>
      <c r="B4865" s="76" t="s">
        <v>11198</v>
      </c>
    </row>
    <row r="4866" spans="1:2" ht="15">
      <c r="A4866" s="77" t="s">
        <v>8764</v>
      </c>
      <c r="B4866" s="76" t="s">
        <v>11198</v>
      </c>
    </row>
    <row r="4867" spans="1:2" ht="15">
      <c r="A4867" s="77" t="s">
        <v>8765</v>
      </c>
      <c r="B4867" s="76" t="s">
        <v>11198</v>
      </c>
    </row>
    <row r="4868" spans="1:2" ht="15">
      <c r="A4868" s="77" t="s">
        <v>8766</v>
      </c>
      <c r="B4868" s="76" t="s">
        <v>11198</v>
      </c>
    </row>
    <row r="4869" spans="1:2" ht="15">
      <c r="A4869" s="77" t="s">
        <v>8767</v>
      </c>
      <c r="B4869" s="76" t="s">
        <v>11198</v>
      </c>
    </row>
    <row r="4870" spans="1:2" ht="15">
      <c r="A4870" s="77" t="s">
        <v>8768</v>
      </c>
      <c r="B4870" s="76" t="s">
        <v>11198</v>
      </c>
    </row>
    <row r="4871" spans="1:2" ht="15">
      <c r="A4871" s="77" t="s">
        <v>8769</v>
      </c>
      <c r="B4871" s="76" t="s">
        <v>11198</v>
      </c>
    </row>
    <row r="4872" spans="1:2" ht="15">
      <c r="A4872" s="77" t="s">
        <v>8770</v>
      </c>
      <c r="B4872" s="76" t="s">
        <v>11198</v>
      </c>
    </row>
    <row r="4873" spans="1:2" ht="15">
      <c r="A4873" s="77" t="s">
        <v>8771</v>
      </c>
      <c r="B4873" s="76" t="s">
        <v>11198</v>
      </c>
    </row>
    <row r="4874" spans="1:2" ht="15">
      <c r="A4874" s="77" t="s">
        <v>8772</v>
      </c>
      <c r="B4874" s="76" t="s">
        <v>11198</v>
      </c>
    </row>
    <row r="4875" spans="1:2" ht="15">
      <c r="A4875" s="77" t="s">
        <v>8773</v>
      </c>
      <c r="B4875" s="76" t="s">
        <v>11198</v>
      </c>
    </row>
    <row r="4876" spans="1:2" ht="15">
      <c r="A4876" s="77" t="s">
        <v>8774</v>
      </c>
      <c r="B4876" s="76" t="s">
        <v>11198</v>
      </c>
    </row>
    <row r="4877" spans="1:2" ht="15">
      <c r="A4877" s="77" t="s">
        <v>8775</v>
      </c>
      <c r="B4877" s="76" t="s">
        <v>11198</v>
      </c>
    </row>
    <row r="4878" spans="1:2" ht="15">
      <c r="A4878" s="77" t="s">
        <v>8776</v>
      </c>
      <c r="B4878" s="76" t="s">
        <v>11198</v>
      </c>
    </row>
    <row r="4879" spans="1:2" ht="15">
      <c r="A4879" s="77" t="s">
        <v>8777</v>
      </c>
      <c r="B4879" s="76" t="s">
        <v>11198</v>
      </c>
    </row>
    <row r="4880" spans="1:2" ht="15">
      <c r="A4880" s="77" t="s">
        <v>8778</v>
      </c>
      <c r="B4880" s="76" t="s">
        <v>11198</v>
      </c>
    </row>
    <row r="4881" spans="1:2" ht="15">
      <c r="A4881" s="77" t="s">
        <v>8779</v>
      </c>
      <c r="B4881" s="76" t="s">
        <v>11198</v>
      </c>
    </row>
    <row r="4882" spans="1:2" ht="15">
      <c r="A4882" s="77" t="s">
        <v>8780</v>
      </c>
      <c r="B4882" s="76" t="s">
        <v>11198</v>
      </c>
    </row>
    <row r="4883" spans="1:2" ht="15">
      <c r="A4883" s="77" t="s">
        <v>8781</v>
      </c>
      <c r="B4883" s="76" t="s">
        <v>11198</v>
      </c>
    </row>
    <row r="4884" spans="1:2" ht="15">
      <c r="A4884" s="77" t="s">
        <v>8782</v>
      </c>
      <c r="B4884" s="76" t="s">
        <v>11198</v>
      </c>
    </row>
    <row r="4885" spans="1:2" ht="15">
      <c r="A4885" s="77" t="s">
        <v>8783</v>
      </c>
      <c r="B4885" s="76" t="s">
        <v>11198</v>
      </c>
    </row>
    <row r="4886" spans="1:2" ht="15">
      <c r="A4886" s="77" t="s">
        <v>8784</v>
      </c>
      <c r="B4886" s="76" t="s">
        <v>11198</v>
      </c>
    </row>
    <row r="4887" spans="1:2" ht="15">
      <c r="A4887" s="77" t="s">
        <v>8785</v>
      </c>
      <c r="B4887" s="76" t="s">
        <v>11198</v>
      </c>
    </row>
    <row r="4888" spans="1:2" ht="15">
      <c r="A4888" s="77" t="s">
        <v>8786</v>
      </c>
      <c r="B4888" s="76" t="s">
        <v>11198</v>
      </c>
    </row>
    <row r="4889" spans="1:2" ht="15">
      <c r="A4889" s="77" t="s">
        <v>8787</v>
      </c>
      <c r="B4889" s="76" t="s">
        <v>11198</v>
      </c>
    </row>
    <row r="4890" spans="1:2" ht="15">
      <c r="A4890" s="77" t="s">
        <v>8788</v>
      </c>
      <c r="B4890" s="76" t="s">
        <v>11198</v>
      </c>
    </row>
    <row r="4891" spans="1:2" ht="15">
      <c r="A4891" s="77" t="s">
        <v>8789</v>
      </c>
      <c r="B4891" s="76" t="s">
        <v>11198</v>
      </c>
    </row>
    <row r="4892" spans="1:2" ht="15">
      <c r="A4892" s="77" t="s">
        <v>8790</v>
      </c>
      <c r="B4892" s="76" t="s">
        <v>11198</v>
      </c>
    </row>
    <row r="4893" spans="1:2" ht="15">
      <c r="A4893" s="77" t="s">
        <v>8791</v>
      </c>
      <c r="B4893" s="76" t="s">
        <v>11198</v>
      </c>
    </row>
    <row r="4894" spans="1:2" ht="15">
      <c r="A4894" s="77" t="s">
        <v>8792</v>
      </c>
      <c r="B4894" s="76" t="s">
        <v>11198</v>
      </c>
    </row>
    <row r="4895" spans="1:2" ht="15">
      <c r="A4895" s="77" t="s">
        <v>8793</v>
      </c>
      <c r="B4895" s="76" t="s">
        <v>11198</v>
      </c>
    </row>
    <row r="4896" spans="1:2" ht="15">
      <c r="A4896" s="77" t="s">
        <v>8794</v>
      </c>
      <c r="B4896" s="76" t="s">
        <v>11198</v>
      </c>
    </row>
    <row r="4897" spans="1:2" ht="15">
      <c r="A4897" s="77" t="s">
        <v>8795</v>
      </c>
      <c r="B4897" s="76" t="s">
        <v>11198</v>
      </c>
    </row>
    <row r="4898" spans="1:2" ht="15">
      <c r="A4898" s="77" t="s">
        <v>8796</v>
      </c>
      <c r="B4898" s="76" t="s">
        <v>11198</v>
      </c>
    </row>
    <row r="4899" spans="1:2" ht="15">
      <c r="A4899" s="77" t="s">
        <v>8797</v>
      </c>
      <c r="B4899" s="76" t="s">
        <v>11198</v>
      </c>
    </row>
    <row r="4900" spans="1:2" ht="15">
      <c r="A4900" s="77" t="s">
        <v>8798</v>
      </c>
      <c r="B4900" s="76" t="s">
        <v>11198</v>
      </c>
    </row>
    <row r="4901" spans="1:2" ht="15">
      <c r="A4901" s="77" t="s">
        <v>8799</v>
      </c>
      <c r="B4901" s="76" t="s">
        <v>11198</v>
      </c>
    </row>
    <row r="4902" spans="1:2" ht="15">
      <c r="A4902" s="77" t="s">
        <v>8800</v>
      </c>
      <c r="B4902" s="76" t="s">
        <v>11198</v>
      </c>
    </row>
    <row r="4903" spans="1:2" ht="15">
      <c r="A4903" s="77" t="s">
        <v>8801</v>
      </c>
      <c r="B4903" s="76" t="s">
        <v>11198</v>
      </c>
    </row>
    <row r="4904" spans="1:2" ht="15">
      <c r="A4904" s="77" t="s">
        <v>8802</v>
      </c>
      <c r="B4904" s="76" t="s">
        <v>11198</v>
      </c>
    </row>
    <row r="4905" spans="1:2" ht="15">
      <c r="A4905" s="77" t="s">
        <v>8803</v>
      </c>
      <c r="B4905" s="76" t="s">
        <v>11198</v>
      </c>
    </row>
    <row r="4906" spans="1:2" ht="15">
      <c r="A4906" s="77" t="s">
        <v>8804</v>
      </c>
      <c r="B4906" s="76" t="s">
        <v>11198</v>
      </c>
    </row>
    <row r="4907" spans="1:2" ht="15">
      <c r="A4907" s="77" t="s">
        <v>8805</v>
      </c>
      <c r="B4907" s="76" t="s">
        <v>11198</v>
      </c>
    </row>
    <row r="4908" spans="1:2" ht="15">
      <c r="A4908" s="77" t="s">
        <v>8806</v>
      </c>
      <c r="B4908" s="76" t="s">
        <v>11198</v>
      </c>
    </row>
    <row r="4909" spans="1:2" ht="15">
      <c r="A4909" s="77" t="s">
        <v>8807</v>
      </c>
      <c r="B4909" s="76" t="s">
        <v>11198</v>
      </c>
    </row>
    <row r="4910" spans="1:2" ht="15">
      <c r="A4910" s="77" t="s">
        <v>8808</v>
      </c>
      <c r="B4910" s="76" t="s">
        <v>11198</v>
      </c>
    </row>
    <row r="4911" spans="1:2" ht="15">
      <c r="A4911" s="77" t="s">
        <v>8809</v>
      </c>
      <c r="B4911" s="76" t="s">
        <v>11198</v>
      </c>
    </row>
    <row r="4912" spans="1:2" ht="15">
      <c r="A4912" s="77" t="s">
        <v>8810</v>
      </c>
      <c r="B4912" s="76" t="s">
        <v>11198</v>
      </c>
    </row>
    <row r="4913" spans="1:2" ht="15">
      <c r="A4913" s="77" t="s">
        <v>8811</v>
      </c>
      <c r="B4913" s="76" t="s">
        <v>11198</v>
      </c>
    </row>
    <row r="4914" spans="1:2" ht="15">
      <c r="A4914" s="77" t="s">
        <v>8812</v>
      </c>
      <c r="B4914" s="76" t="s">
        <v>11198</v>
      </c>
    </row>
    <row r="4915" spans="1:2" ht="15">
      <c r="A4915" s="77" t="s">
        <v>8813</v>
      </c>
      <c r="B4915" s="76" t="s">
        <v>11198</v>
      </c>
    </row>
    <row r="4916" spans="1:2" ht="15">
      <c r="A4916" s="77" t="s">
        <v>8814</v>
      </c>
      <c r="B4916" s="76" t="s">
        <v>11198</v>
      </c>
    </row>
    <row r="4917" spans="1:2" ht="15">
      <c r="A4917" s="77" t="s">
        <v>8815</v>
      </c>
      <c r="B4917" s="76" t="s">
        <v>11198</v>
      </c>
    </row>
    <row r="4918" spans="1:2" ht="15">
      <c r="A4918" s="77" t="s">
        <v>8816</v>
      </c>
      <c r="B4918" s="76" t="s">
        <v>11198</v>
      </c>
    </row>
    <row r="4919" spans="1:2" ht="15">
      <c r="A4919" s="77" t="s">
        <v>8817</v>
      </c>
      <c r="B4919" s="76" t="s">
        <v>11198</v>
      </c>
    </row>
    <row r="4920" spans="1:2" ht="15">
      <c r="A4920" s="77" t="s">
        <v>8818</v>
      </c>
      <c r="B4920" s="76" t="s">
        <v>11198</v>
      </c>
    </row>
    <row r="4921" spans="1:2" ht="15">
      <c r="A4921" s="77" t="s">
        <v>8819</v>
      </c>
      <c r="B4921" s="76" t="s">
        <v>11198</v>
      </c>
    </row>
    <row r="4922" spans="1:2" ht="15">
      <c r="A4922" s="77" t="s">
        <v>8820</v>
      </c>
      <c r="B4922" s="76" t="s">
        <v>11198</v>
      </c>
    </row>
    <row r="4923" spans="1:2" ht="15">
      <c r="A4923" s="77" t="s">
        <v>8821</v>
      </c>
      <c r="B4923" s="76" t="s">
        <v>11198</v>
      </c>
    </row>
    <row r="4924" spans="1:2" ht="15">
      <c r="A4924" s="77" t="s">
        <v>8822</v>
      </c>
      <c r="B4924" s="76" t="s">
        <v>11198</v>
      </c>
    </row>
    <row r="4925" spans="1:2" ht="15">
      <c r="A4925" s="77" t="s">
        <v>8823</v>
      </c>
      <c r="B4925" s="76" t="s">
        <v>11198</v>
      </c>
    </row>
    <row r="4926" spans="1:2" ht="15">
      <c r="A4926" s="77" t="s">
        <v>8824</v>
      </c>
      <c r="B4926" s="76" t="s">
        <v>11198</v>
      </c>
    </row>
    <row r="4927" spans="1:2" ht="15">
      <c r="A4927" s="77" t="s">
        <v>8825</v>
      </c>
      <c r="B4927" s="76" t="s">
        <v>11198</v>
      </c>
    </row>
    <row r="4928" spans="1:2" ht="15">
      <c r="A4928" s="77" t="s">
        <v>8826</v>
      </c>
      <c r="B4928" s="76" t="s">
        <v>11198</v>
      </c>
    </row>
    <row r="4929" spans="1:2" ht="15">
      <c r="A4929" s="77" t="s">
        <v>8827</v>
      </c>
      <c r="B4929" s="76" t="s">
        <v>11198</v>
      </c>
    </row>
    <row r="4930" spans="1:2" ht="15">
      <c r="A4930" s="77" t="s">
        <v>8828</v>
      </c>
      <c r="B4930" s="76" t="s">
        <v>11198</v>
      </c>
    </row>
    <row r="4931" spans="1:2" ht="15">
      <c r="A4931" s="77" t="s">
        <v>8829</v>
      </c>
      <c r="B4931" s="76" t="s">
        <v>11198</v>
      </c>
    </row>
    <row r="4932" spans="1:2" ht="15">
      <c r="A4932" s="77" t="s">
        <v>8830</v>
      </c>
      <c r="B4932" s="76" t="s">
        <v>11198</v>
      </c>
    </row>
    <row r="4933" spans="1:2" ht="15">
      <c r="A4933" s="77" t="s">
        <v>8831</v>
      </c>
      <c r="B4933" s="76" t="s">
        <v>11198</v>
      </c>
    </row>
    <row r="4934" spans="1:2" ht="15">
      <c r="A4934" s="77" t="s">
        <v>8832</v>
      </c>
      <c r="B4934" s="76" t="s">
        <v>11198</v>
      </c>
    </row>
    <row r="4935" spans="1:2" ht="15">
      <c r="A4935" s="77" t="s">
        <v>8833</v>
      </c>
      <c r="B4935" s="76" t="s">
        <v>11198</v>
      </c>
    </row>
    <row r="4936" spans="1:2" ht="15">
      <c r="A4936" s="77" t="s">
        <v>8834</v>
      </c>
      <c r="B4936" s="76" t="s">
        <v>11198</v>
      </c>
    </row>
    <row r="4937" spans="1:2" ht="15">
      <c r="A4937" s="77" t="s">
        <v>8835</v>
      </c>
      <c r="B4937" s="76" t="s">
        <v>11198</v>
      </c>
    </row>
    <row r="4938" spans="1:2" ht="15">
      <c r="A4938" s="77" t="s">
        <v>8836</v>
      </c>
      <c r="B4938" s="76" t="s">
        <v>11198</v>
      </c>
    </row>
    <row r="4939" spans="1:2" ht="15">
      <c r="A4939" s="77" t="s">
        <v>8837</v>
      </c>
      <c r="B4939" s="76" t="s">
        <v>11198</v>
      </c>
    </row>
    <row r="4940" spans="1:2" ht="15">
      <c r="A4940" s="77" t="s">
        <v>8838</v>
      </c>
      <c r="B4940" s="76" t="s">
        <v>11198</v>
      </c>
    </row>
    <row r="4941" spans="1:2" ht="15">
      <c r="A4941" s="77" t="s">
        <v>8839</v>
      </c>
      <c r="B4941" s="76" t="s">
        <v>11198</v>
      </c>
    </row>
    <row r="4942" spans="1:2" ht="15">
      <c r="A4942" s="77" t="s">
        <v>8840</v>
      </c>
      <c r="B4942" s="76" t="s">
        <v>11198</v>
      </c>
    </row>
    <row r="4943" spans="1:2" ht="15">
      <c r="A4943" s="77" t="s">
        <v>8841</v>
      </c>
      <c r="B4943" s="76" t="s">
        <v>11198</v>
      </c>
    </row>
    <row r="4944" spans="1:2" ht="15">
      <c r="A4944" s="77" t="s">
        <v>8842</v>
      </c>
      <c r="B4944" s="76" t="s">
        <v>11198</v>
      </c>
    </row>
    <row r="4945" spans="1:2" ht="15">
      <c r="A4945" s="77" t="s">
        <v>8843</v>
      </c>
      <c r="B4945" s="76" t="s">
        <v>11198</v>
      </c>
    </row>
    <row r="4946" spans="1:2" ht="15">
      <c r="A4946" s="77" t="s">
        <v>8844</v>
      </c>
      <c r="B4946" s="76" t="s">
        <v>11198</v>
      </c>
    </row>
    <row r="4947" spans="1:2" ht="15">
      <c r="A4947" s="77" t="s">
        <v>8845</v>
      </c>
      <c r="B4947" s="76" t="s">
        <v>11198</v>
      </c>
    </row>
    <row r="4948" spans="1:2" ht="15">
      <c r="A4948" s="77" t="s">
        <v>8846</v>
      </c>
      <c r="B4948" s="76" t="s">
        <v>11198</v>
      </c>
    </row>
    <row r="4949" spans="1:2" ht="15">
      <c r="A4949" s="77" t="s">
        <v>8847</v>
      </c>
      <c r="B4949" s="76" t="s">
        <v>11198</v>
      </c>
    </row>
    <row r="4950" spans="1:2" ht="15">
      <c r="A4950" s="77" t="s">
        <v>8848</v>
      </c>
      <c r="B4950" s="76" t="s">
        <v>11198</v>
      </c>
    </row>
    <row r="4951" spans="1:2" ht="15">
      <c r="A4951" s="77" t="s">
        <v>3567</v>
      </c>
      <c r="B4951" s="76" t="s">
        <v>11198</v>
      </c>
    </row>
    <row r="4952" spans="1:2" ht="15">
      <c r="A4952" s="77" t="s">
        <v>8849</v>
      </c>
      <c r="B4952" s="76" t="s">
        <v>11198</v>
      </c>
    </row>
    <row r="4953" spans="1:2" ht="15">
      <c r="A4953" s="77" t="s">
        <v>8850</v>
      </c>
      <c r="B4953" s="76" t="s">
        <v>11198</v>
      </c>
    </row>
    <row r="4954" spans="1:2" ht="15">
      <c r="A4954" s="77" t="s">
        <v>8851</v>
      </c>
      <c r="B4954" s="76" t="s">
        <v>11198</v>
      </c>
    </row>
    <row r="4955" spans="1:2" ht="15">
      <c r="A4955" s="77" t="s">
        <v>8852</v>
      </c>
      <c r="B4955" s="76" t="s">
        <v>11198</v>
      </c>
    </row>
    <row r="4956" spans="1:2" ht="15">
      <c r="A4956" s="77" t="s">
        <v>8853</v>
      </c>
      <c r="B4956" s="76" t="s">
        <v>11198</v>
      </c>
    </row>
    <row r="4957" spans="1:2" ht="15">
      <c r="A4957" s="77" t="s">
        <v>8854</v>
      </c>
      <c r="B4957" s="76" t="s">
        <v>11198</v>
      </c>
    </row>
    <row r="4958" spans="1:2" ht="15">
      <c r="A4958" s="77" t="s">
        <v>8855</v>
      </c>
      <c r="B4958" s="76" t="s">
        <v>11198</v>
      </c>
    </row>
    <row r="4959" spans="1:2" ht="15">
      <c r="A4959" s="77" t="s">
        <v>8856</v>
      </c>
      <c r="B4959" s="76" t="s">
        <v>11198</v>
      </c>
    </row>
    <row r="4960" spans="1:2" ht="15">
      <c r="A4960" s="77" t="s">
        <v>8857</v>
      </c>
      <c r="B4960" s="76" t="s">
        <v>11198</v>
      </c>
    </row>
    <row r="4961" spans="1:2" ht="15">
      <c r="A4961" s="77" t="s">
        <v>8858</v>
      </c>
      <c r="B4961" s="76" t="s">
        <v>11198</v>
      </c>
    </row>
    <row r="4962" spans="1:2" ht="15">
      <c r="A4962" s="77" t="s">
        <v>8859</v>
      </c>
      <c r="B4962" s="76" t="s">
        <v>11198</v>
      </c>
    </row>
    <row r="4963" spans="1:2" ht="15">
      <c r="A4963" s="77" t="s">
        <v>8860</v>
      </c>
      <c r="B4963" s="76" t="s">
        <v>11198</v>
      </c>
    </row>
    <row r="4964" spans="1:2" ht="15">
      <c r="A4964" s="77" t="s">
        <v>8861</v>
      </c>
      <c r="B4964" s="76" t="s">
        <v>11198</v>
      </c>
    </row>
    <row r="4965" spans="1:2" ht="15">
      <c r="A4965" s="77" t="s">
        <v>8862</v>
      </c>
      <c r="B4965" s="76" t="s">
        <v>11198</v>
      </c>
    </row>
    <row r="4966" spans="1:2" ht="15">
      <c r="A4966" s="77" t="s">
        <v>8863</v>
      </c>
      <c r="B4966" s="76" t="s">
        <v>11198</v>
      </c>
    </row>
    <row r="4967" spans="1:2" ht="15">
      <c r="A4967" s="77" t="s">
        <v>8864</v>
      </c>
      <c r="B4967" s="76" t="s">
        <v>11198</v>
      </c>
    </row>
    <row r="4968" spans="1:2" ht="15">
      <c r="A4968" s="77" t="s">
        <v>8865</v>
      </c>
      <c r="B4968" s="76" t="s">
        <v>11198</v>
      </c>
    </row>
    <row r="4969" spans="1:2" ht="15">
      <c r="A4969" s="77" t="s">
        <v>8866</v>
      </c>
      <c r="B4969" s="76" t="s">
        <v>11198</v>
      </c>
    </row>
    <row r="4970" spans="1:2" ht="15">
      <c r="A4970" s="77" t="s">
        <v>8867</v>
      </c>
      <c r="B4970" s="76" t="s">
        <v>11198</v>
      </c>
    </row>
    <row r="4971" spans="1:2" ht="15">
      <c r="A4971" s="77" t="s">
        <v>8868</v>
      </c>
      <c r="B4971" s="76" t="s">
        <v>11198</v>
      </c>
    </row>
    <row r="4972" spans="1:2" ht="15">
      <c r="A4972" s="77" t="s">
        <v>8869</v>
      </c>
      <c r="B4972" s="76" t="s">
        <v>11198</v>
      </c>
    </row>
    <row r="4973" spans="1:2" ht="15">
      <c r="A4973" s="77" t="s">
        <v>8870</v>
      </c>
      <c r="B4973" s="76" t="s">
        <v>11198</v>
      </c>
    </row>
    <row r="4974" spans="1:2" ht="15">
      <c r="A4974" s="77" t="s">
        <v>8871</v>
      </c>
      <c r="B4974" s="76" t="s">
        <v>11198</v>
      </c>
    </row>
    <row r="4975" spans="1:2" ht="15">
      <c r="A4975" s="77" t="s">
        <v>8872</v>
      </c>
      <c r="B4975" s="76" t="s">
        <v>11198</v>
      </c>
    </row>
    <row r="4976" spans="1:2" ht="15">
      <c r="A4976" s="77" t="s">
        <v>8873</v>
      </c>
      <c r="B4976" s="76" t="s">
        <v>11198</v>
      </c>
    </row>
    <row r="4977" spans="1:2" ht="15">
      <c r="A4977" s="77" t="s">
        <v>8874</v>
      </c>
      <c r="B4977" s="76" t="s">
        <v>11198</v>
      </c>
    </row>
    <row r="4978" spans="1:2" ht="15">
      <c r="A4978" s="77" t="s">
        <v>8875</v>
      </c>
      <c r="B4978" s="76" t="s">
        <v>11198</v>
      </c>
    </row>
    <row r="4979" spans="1:2" ht="15">
      <c r="A4979" s="77" t="s">
        <v>8876</v>
      </c>
      <c r="B4979" s="76" t="s">
        <v>11198</v>
      </c>
    </row>
    <row r="4980" spans="1:2" ht="15">
      <c r="A4980" s="77" t="s">
        <v>8877</v>
      </c>
      <c r="B4980" s="76" t="s">
        <v>11198</v>
      </c>
    </row>
    <row r="4981" spans="1:2" ht="15">
      <c r="A4981" s="77" t="s">
        <v>8878</v>
      </c>
      <c r="B4981" s="76" t="s">
        <v>11198</v>
      </c>
    </row>
    <row r="4982" spans="1:2" ht="15">
      <c r="A4982" s="77" t="s">
        <v>8879</v>
      </c>
      <c r="B4982" s="76" t="s">
        <v>11198</v>
      </c>
    </row>
    <row r="4983" spans="1:2" ht="15">
      <c r="A4983" s="77" t="s">
        <v>8880</v>
      </c>
      <c r="B4983" s="76" t="s">
        <v>11198</v>
      </c>
    </row>
    <row r="4984" spans="1:2" ht="15">
      <c r="A4984" s="77" t="s">
        <v>8881</v>
      </c>
      <c r="B4984" s="76" t="s">
        <v>11198</v>
      </c>
    </row>
    <row r="4985" spans="1:2" ht="15">
      <c r="A4985" s="77" t="s">
        <v>8882</v>
      </c>
      <c r="B4985" s="76" t="s">
        <v>11198</v>
      </c>
    </row>
    <row r="4986" spans="1:2" ht="15">
      <c r="A4986" s="77" t="s">
        <v>8883</v>
      </c>
      <c r="B4986" s="76" t="s">
        <v>11198</v>
      </c>
    </row>
    <row r="4987" spans="1:2" ht="15">
      <c r="A4987" s="77" t="s">
        <v>8884</v>
      </c>
      <c r="B4987" s="76" t="s">
        <v>11198</v>
      </c>
    </row>
    <row r="4988" spans="1:2" ht="15">
      <c r="A4988" s="77" t="s">
        <v>8885</v>
      </c>
      <c r="B4988" s="76" t="s">
        <v>11198</v>
      </c>
    </row>
    <row r="4989" spans="1:2" ht="15">
      <c r="A4989" s="77" t="s">
        <v>8886</v>
      </c>
      <c r="B4989" s="76" t="s">
        <v>11198</v>
      </c>
    </row>
    <row r="4990" spans="1:2" ht="15">
      <c r="A4990" s="77" t="s">
        <v>8887</v>
      </c>
      <c r="B4990" s="76" t="s">
        <v>11198</v>
      </c>
    </row>
    <row r="4991" spans="1:2" ht="15">
      <c r="A4991" s="77" t="s">
        <v>8888</v>
      </c>
      <c r="B4991" s="76" t="s">
        <v>11198</v>
      </c>
    </row>
    <row r="4992" spans="1:2" ht="15">
      <c r="A4992" s="77" t="s">
        <v>8889</v>
      </c>
      <c r="B4992" s="76" t="s">
        <v>11198</v>
      </c>
    </row>
    <row r="4993" spans="1:2" ht="15">
      <c r="A4993" s="77" t="s">
        <v>8890</v>
      </c>
      <c r="B4993" s="76" t="s">
        <v>11198</v>
      </c>
    </row>
    <row r="4994" spans="1:2" ht="15">
      <c r="A4994" s="77" t="s">
        <v>8891</v>
      </c>
      <c r="B4994" s="76" t="s">
        <v>11198</v>
      </c>
    </row>
    <row r="4995" spans="1:2" ht="15">
      <c r="A4995" s="77" t="s">
        <v>8892</v>
      </c>
      <c r="B4995" s="76" t="s">
        <v>11198</v>
      </c>
    </row>
    <row r="4996" spans="1:2" ht="15">
      <c r="A4996" s="77" t="s">
        <v>8893</v>
      </c>
      <c r="B4996" s="76" t="s">
        <v>11198</v>
      </c>
    </row>
    <row r="4997" spans="1:2" ht="15">
      <c r="A4997" s="77" t="s">
        <v>8894</v>
      </c>
      <c r="B4997" s="76" t="s">
        <v>11198</v>
      </c>
    </row>
    <row r="4998" spans="1:2" ht="15">
      <c r="A4998" s="77" t="s">
        <v>8895</v>
      </c>
      <c r="B4998" s="76" t="s">
        <v>11198</v>
      </c>
    </row>
    <row r="4999" spans="1:2" ht="15">
      <c r="A4999" s="77" t="s">
        <v>8896</v>
      </c>
      <c r="B4999" s="76" t="s">
        <v>11198</v>
      </c>
    </row>
    <row r="5000" spans="1:2" ht="15">
      <c r="A5000" s="77" t="s">
        <v>8897</v>
      </c>
      <c r="B5000" s="76" t="s">
        <v>11198</v>
      </c>
    </row>
    <row r="5001" spans="1:2" ht="15">
      <c r="A5001" s="77" t="s">
        <v>8898</v>
      </c>
      <c r="B5001" s="76" t="s">
        <v>11198</v>
      </c>
    </row>
    <row r="5002" spans="1:2" ht="15">
      <c r="A5002" s="77" t="s">
        <v>8899</v>
      </c>
      <c r="B5002" s="76" t="s">
        <v>11198</v>
      </c>
    </row>
    <row r="5003" spans="1:2" ht="15">
      <c r="A5003" s="77" t="s">
        <v>8900</v>
      </c>
      <c r="B5003" s="76" t="s">
        <v>11198</v>
      </c>
    </row>
    <row r="5004" spans="1:2" ht="15">
      <c r="A5004" s="77" t="s">
        <v>8901</v>
      </c>
      <c r="B5004" s="76" t="s">
        <v>11198</v>
      </c>
    </row>
    <row r="5005" spans="1:2" ht="15">
      <c r="A5005" s="77" t="s">
        <v>8902</v>
      </c>
      <c r="B5005" s="76" t="s">
        <v>11198</v>
      </c>
    </row>
    <row r="5006" spans="1:2" ht="15">
      <c r="A5006" s="77" t="s">
        <v>8903</v>
      </c>
      <c r="B5006" s="76" t="s">
        <v>11198</v>
      </c>
    </row>
    <row r="5007" spans="1:2" ht="15">
      <c r="A5007" s="77" t="s">
        <v>3435</v>
      </c>
      <c r="B5007" s="76" t="s">
        <v>11198</v>
      </c>
    </row>
    <row r="5008" spans="1:2" ht="15">
      <c r="A5008" s="77" t="s">
        <v>8904</v>
      </c>
      <c r="B5008" s="76" t="s">
        <v>11198</v>
      </c>
    </row>
    <row r="5009" spans="1:2" ht="15">
      <c r="A5009" s="77" t="s">
        <v>8905</v>
      </c>
      <c r="B5009" s="76" t="s">
        <v>11198</v>
      </c>
    </row>
    <row r="5010" spans="1:2" ht="15">
      <c r="A5010" s="77" t="s">
        <v>8906</v>
      </c>
      <c r="B5010" s="76" t="s">
        <v>11198</v>
      </c>
    </row>
    <row r="5011" spans="1:2" ht="15">
      <c r="A5011" s="77" t="s">
        <v>8907</v>
      </c>
      <c r="B5011" s="76" t="s">
        <v>11198</v>
      </c>
    </row>
    <row r="5012" spans="1:2" ht="15">
      <c r="A5012" s="77" t="s">
        <v>8908</v>
      </c>
      <c r="B5012" s="76" t="s">
        <v>11198</v>
      </c>
    </row>
    <row r="5013" spans="1:2" ht="15">
      <c r="A5013" s="77" t="s">
        <v>8909</v>
      </c>
      <c r="B5013" s="76" t="s">
        <v>11198</v>
      </c>
    </row>
    <row r="5014" spans="1:2" ht="15">
      <c r="A5014" s="77" t="s">
        <v>8910</v>
      </c>
      <c r="B5014" s="76" t="s">
        <v>11198</v>
      </c>
    </row>
    <row r="5015" spans="1:2" ht="15">
      <c r="A5015" s="77" t="s">
        <v>8911</v>
      </c>
      <c r="B5015" s="76" t="s">
        <v>11198</v>
      </c>
    </row>
    <row r="5016" spans="1:2" ht="15">
      <c r="A5016" s="77" t="s">
        <v>8912</v>
      </c>
      <c r="B5016" s="76" t="s">
        <v>11198</v>
      </c>
    </row>
    <row r="5017" spans="1:2" ht="15">
      <c r="A5017" s="77" t="s">
        <v>8913</v>
      </c>
      <c r="B5017" s="76" t="s">
        <v>11198</v>
      </c>
    </row>
    <row r="5018" spans="1:2" ht="15">
      <c r="A5018" s="77" t="s">
        <v>8914</v>
      </c>
      <c r="B5018" s="76" t="s">
        <v>11198</v>
      </c>
    </row>
    <row r="5019" spans="1:2" ht="15">
      <c r="A5019" s="77" t="s">
        <v>8915</v>
      </c>
      <c r="B5019" s="76" t="s">
        <v>11198</v>
      </c>
    </row>
    <row r="5020" spans="1:2" ht="15">
      <c r="A5020" s="77" t="s">
        <v>8916</v>
      </c>
      <c r="B5020" s="76" t="s">
        <v>11198</v>
      </c>
    </row>
    <row r="5021" spans="1:2" ht="15">
      <c r="A5021" s="77" t="s">
        <v>8917</v>
      </c>
      <c r="B5021" s="76" t="s">
        <v>11198</v>
      </c>
    </row>
    <row r="5022" spans="1:2" ht="15">
      <c r="A5022" s="77" t="s">
        <v>8918</v>
      </c>
      <c r="B5022" s="76" t="s">
        <v>11198</v>
      </c>
    </row>
    <row r="5023" spans="1:2" ht="15">
      <c r="A5023" s="77" t="s">
        <v>8919</v>
      </c>
      <c r="B5023" s="76" t="s">
        <v>11198</v>
      </c>
    </row>
    <row r="5024" spans="1:2" ht="15">
      <c r="A5024" s="77" t="s">
        <v>3201</v>
      </c>
      <c r="B5024" s="76" t="s">
        <v>11198</v>
      </c>
    </row>
    <row r="5025" spans="1:2" ht="15">
      <c r="A5025" s="77" t="s">
        <v>8920</v>
      </c>
      <c r="B5025" s="76" t="s">
        <v>11198</v>
      </c>
    </row>
    <row r="5026" spans="1:2" ht="15">
      <c r="A5026" s="77" t="s">
        <v>8921</v>
      </c>
      <c r="B5026" s="76" t="s">
        <v>11198</v>
      </c>
    </row>
    <row r="5027" spans="1:2" ht="15">
      <c r="A5027" s="77" t="s">
        <v>8922</v>
      </c>
      <c r="B5027" s="76" t="s">
        <v>11198</v>
      </c>
    </row>
    <row r="5028" spans="1:2" ht="15">
      <c r="A5028" s="77" t="s">
        <v>8923</v>
      </c>
      <c r="B5028" s="76" t="s">
        <v>11198</v>
      </c>
    </row>
    <row r="5029" spans="1:2" ht="15">
      <c r="A5029" s="77" t="s">
        <v>8924</v>
      </c>
      <c r="B5029" s="76" t="s">
        <v>11198</v>
      </c>
    </row>
    <row r="5030" spans="1:2" ht="15">
      <c r="A5030" s="77" t="s">
        <v>8925</v>
      </c>
      <c r="B5030" s="76" t="s">
        <v>11198</v>
      </c>
    </row>
    <row r="5031" spans="1:2" ht="15">
      <c r="A5031" s="77" t="s">
        <v>8926</v>
      </c>
      <c r="B5031" s="76" t="s">
        <v>11198</v>
      </c>
    </row>
    <row r="5032" spans="1:2" ht="15">
      <c r="A5032" s="77" t="s">
        <v>8927</v>
      </c>
      <c r="B5032" s="76" t="s">
        <v>11198</v>
      </c>
    </row>
    <row r="5033" spans="1:2" ht="15">
      <c r="A5033" s="77" t="s">
        <v>8928</v>
      </c>
      <c r="B5033" s="76" t="s">
        <v>11198</v>
      </c>
    </row>
    <row r="5034" spans="1:2" ht="15">
      <c r="A5034" s="77" t="s">
        <v>8929</v>
      </c>
      <c r="B5034" s="76" t="s">
        <v>11198</v>
      </c>
    </row>
    <row r="5035" spans="1:2" ht="15">
      <c r="A5035" s="77" t="s">
        <v>8930</v>
      </c>
      <c r="B5035" s="76" t="s">
        <v>11198</v>
      </c>
    </row>
    <row r="5036" spans="1:2" ht="15">
      <c r="A5036" s="77" t="s">
        <v>8931</v>
      </c>
      <c r="B5036" s="76" t="s">
        <v>11198</v>
      </c>
    </row>
    <row r="5037" spans="1:2" ht="15">
      <c r="A5037" s="77" t="s">
        <v>8932</v>
      </c>
      <c r="B5037" s="76" t="s">
        <v>11198</v>
      </c>
    </row>
    <row r="5038" spans="1:2" ht="15">
      <c r="A5038" s="77" t="s">
        <v>8933</v>
      </c>
      <c r="B5038" s="76" t="s">
        <v>11198</v>
      </c>
    </row>
    <row r="5039" spans="1:2" ht="15">
      <c r="A5039" s="77" t="s">
        <v>8934</v>
      </c>
      <c r="B5039" s="76" t="s">
        <v>11198</v>
      </c>
    </row>
    <row r="5040" spans="1:2" ht="15">
      <c r="A5040" s="77" t="s">
        <v>8935</v>
      </c>
      <c r="B5040" s="76" t="s">
        <v>11198</v>
      </c>
    </row>
    <row r="5041" spans="1:2" ht="15">
      <c r="A5041" s="77" t="s">
        <v>8936</v>
      </c>
      <c r="B5041" s="76" t="s">
        <v>11198</v>
      </c>
    </row>
    <row r="5042" spans="1:2" ht="15">
      <c r="A5042" s="77" t="s">
        <v>8937</v>
      </c>
      <c r="B5042" s="76" t="s">
        <v>11198</v>
      </c>
    </row>
    <row r="5043" spans="1:2" ht="15">
      <c r="A5043" s="77" t="s">
        <v>8938</v>
      </c>
      <c r="B5043" s="76" t="s">
        <v>11198</v>
      </c>
    </row>
    <row r="5044" spans="1:2" ht="15">
      <c r="A5044" s="77" t="s">
        <v>8939</v>
      </c>
      <c r="B5044" s="76" t="s">
        <v>11198</v>
      </c>
    </row>
    <row r="5045" spans="1:2" ht="15">
      <c r="A5045" s="77" t="s">
        <v>8940</v>
      </c>
      <c r="B5045" s="76" t="s">
        <v>11198</v>
      </c>
    </row>
    <row r="5046" spans="1:2" ht="15">
      <c r="A5046" s="77" t="s">
        <v>8941</v>
      </c>
      <c r="B5046" s="76" t="s">
        <v>11198</v>
      </c>
    </row>
    <row r="5047" spans="1:2" ht="15">
      <c r="A5047" s="77" t="s">
        <v>8942</v>
      </c>
      <c r="B5047" s="76" t="s">
        <v>11198</v>
      </c>
    </row>
    <row r="5048" spans="1:2" ht="15">
      <c r="A5048" s="77" t="s">
        <v>8943</v>
      </c>
      <c r="B5048" s="76" t="s">
        <v>11198</v>
      </c>
    </row>
    <row r="5049" spans="1:2" ht="15">
      <c r="A5049" s="77" t="s">
        <v>8944</v>
      </c>
      <c r="B5049" s="76" t="s">
        <v>11198</v>
      </c>
    </row>
    <row r="5050" spans="1:2" ht="15">
      <c r="A5050" s="77" t="s">
        <v>3379</v>
      </c>
      <c r="B5050" s="76" t="s">
        <v>11198</v>
      </c>
    </row>
    <row r="5051" spans="1:2" ht="15">
      <c r="A5051" s="77" t="s">
        <v>8945</v>
      </c>
      <c r="B5051" s="76" t="s">
        <v>11198</v>
      </c>
    </row>
    <row r="5052" spans="1:2" ht="15">
      <c r="A5052" s="77" t="s">
        <v>8946</v>
      </c>
      <c r="B5052" s="76" t="s">
        <v>11198</v>
      </c>
    </row>
    <row r="5053" spans="1:2" ht="15">
      <c r="A5053" s="77" t="s">
        <v>8947</v>
      </c>
      <c r="B5053" s="76" t="s">
        <v>11198</v>
      </c>
    </row>
    <row r="5054" spans="1:2" ht="15">
      <c r="A5054" s="77" t="s">
        <v>8948</v>
      </c>
      <c r="B5054" s="76" t="s">
        <v>11198</v>
      </c>
    </row>
    <row r="5055" spans="1:2" ht="15">
      <c r="A5055" s="77" t="s">
        <v>8949</v>
      </c>
      <c r="B5055" s="76" t="s">
        <v>11198</v>
      </c>
    </row>
    <row r="5056" spans="1:2" ht="15">
      <c r="A5056" s="77" t="s">
        <v>8950</v>
      </c>
      <c r="B5056" s="76" t="s">
        <v>11198</v>
      </c>
    </row>
    <row r="5057" spans="1:2" ht="15">
      <c r="A5057" s="77" t="s">
        <v>8951</v>
      </c>
      <c r="B5057" s="76" t="s">
        <v>11198</v>
      </c>
    </row>
    <row r="5058" spans="1:2" ht="15">
      <c r="A5058" s="77" t="s">
        <v>8952</v>
      </c>
      <c r="B5058" s="76" t="s">
        <v>11198</v>
      </c>
    </row>
    <row r="5059" spans="1:2" ht="15">
      <c r="A5059" s="77" t="s">
        <v>8953</v>
      </c>
      <c r="B5059" s="76" t="s">
        <v>11198</v>
      </c>
    </row>
    <row r="5060" spans="1:2" ht="15">
      <c r="A5060" s="77" t="s">
        <v>8954</v>
      </c>
      <c r="B5060" s="76" t="s">
        <v>11198</v>
      </c>
    </row>
    <row r="5061" spans="1:2" ht="15">
      <c r="A5061" s="77" t="s">
        <v>8955</v>
      </c>
      <c r="B5061" s="76" t="s">
        <v>11198</v>
      </c>
    </row>
    <row r="5062" spans="1:2" ht="15">
      <c r="A5062" s="77" t="s">
        <v>8956</v>
      </c>
      <c r="B5062" s="76" t="s">
        <v>11198</v>
      </c>
    </row>
    <row r="5063" spans="1:2" ht="15">
      <c r="A5063" s="77" t="s">
        <v>8957</v>
      </c>
      <c r="B5063" s="76" t="s">
        <v>11198</v>
      </c>
    </row>
    <row r="5064" spans="1:2" ht="15">
      <c r="A5064" s="77" t="s">
        <v>8958</v>
      </c>
      <c r="B5064" s="76" t="s">
        <v>11198</v>
      </c>
    </row>
    <row r="5065" spans="1:2" ht="15">
      <c r="A5065" s="77" t="s">
        <v>8959</v>
      </c>
      <c r="B5065" s="76" t="s">
        <v>11198</v>
      </c>
    </row>
    <row r="5066" spans="1:2" ht="15">
      <c r="A5066" s="77" t="s">
        <v>8960</v>
      </c>
      <c r="B5066" s="76" t="s">
        <v>11198</v>
      </c>
    </row>
    <row r="5067" spans="1:2" ht="15">
      <c r="A5067" s="77" t="s">
        <v>8961</v>
      </c>
      <c r="B5067" s="76" t="s">
        <v>11198</v>
      </c>
    </row>
    <row r="5068" spans="1:2" ht="15">
      <c r="A5068" s="77" t="s">
        <v>8962</v>
      </c>
      <c r="B5068" s="76" t="s">
        <v>11198</v>
      </c>
    </row>
    <row r="5069" spans="1:2" ht="15">
      <c r="A5069" s="77" t="s">
        <v>8963</v>
      </c>
      <c r="B5069" s="76" t="s">
        <v>11198</v>
      </c>
    </row>
    <row r="5070" spans="1:2" ht="15">
      <c r="A5070" s="77" t="s">
        <v>8964</v>
      </c>
      <c r="B5070" s="76" t="s">
        <v>11198</v>
      </c>
    </row>
    <row r="5071" spans="1:2" ht="15">
      <c r="A5071" s="77" t="s">
        <v>8965</v>
      </c>
      <c r="B5071" s="76" t="s">
        <v>11198</v>
      </c>
    </row>
    <row r="5072" spans="1:2" ht="15">
      <c r="A5072" s="77" t="s">
        <v>8966</v>
      </c>
      <c r="B5072" s="76" t="s">
        <v>11198</v>
      </c>
    </row>
    <row r="5073" spans="1:2" ht="15">
      <c r="A5073" s="77" t="s">
        <v>8967</v>
      </c>
      <c r="B5073" s="76" t="s">
        <v>11198</v>
      </c>
    </row>
    <row r="5074" spans="1:2" ht="15">
      <c r="A5074" s="77" t="s">
        <v>8968</v>
      </c>
      <c r="B5074" s="76" t="s">
        <v>11198</v>
      </c>
    </row>
    <row r="5075" spans="1:2" ht="15">
      <c r="A5075" s="77" t="s">
        <v>8969</v>
      </c>
      <c r="B5075" s="76" t="s">
        <v>11198</v>
      </c>
    </row>
    <row r="5076" spans="1:2" ht="15">
      <c r="A5076" s="77" t="s">
        <v>8970</v>
      </c>
      <c r="B5076" s="76" t="s">
        <v>11198</v>
      </c>
    </row>
    <row r="5077" spans="1:2" ht="15">
      <c r="A5077" s="77" t="s">
        <v>8971</v>
      </c>
      <c r="B5077" s="76" t="s">
        <v>11198</v>
      </c>
    </row>
    <row r="5078" spans="1:2" ht="15">
      <c r="A5078" s="77" t="s">
        <v>8972</v>
      </c>
      <c r="B5078" s="76" t="s">
        <v>11198</v>
      </c>
    </row>
    <row r="5079" spans="1:2" ht="15">
      <c r="A5079" s="77" t="s">
        <v>8973</v>
      </c>
      <c r="B5079" s="76" t="s">
        <v>11198</v>
      </c>
    </row>
    <row r="5080" spans="1:2" ht="15">
      <c r="A5080" s="77" t="s">
        <v>8974</v>
      </c>
      <c r="B5080" s="76" t="s">
        <v>11198</v>
      </c>
    </row>
    <row r="5081" spans="1:2" ht="15">
      <c r="A5081" s="77" t="s">
        <v>8975</v>
      </c>
      <c r="B5081" s="76" t="s">
        <v>11198</v>
      </c>
    </row>
    <row r="5082" spans="1:2" ht="15">
      <c r="A5082" s="77" t="s">
        <v>8976</v>
      </c>
      <c r="B5082" s="76" t="s">
        <v>11198</v>
      </c>
    </row>
    <row r="5083" spans="1:2" ht="15">
      <c r="A5083" s="77" t="s">
        <v>8977</v>
      </c>
      <c r="B5083" s="76" t="s">
        <v>11198</v>
      </c>
    </row>
    <row r="5084" spans="1:2" ht="15">
      <c r="A5084" s="77" t="s">
        <v>8978</v>
      </c>
      <c r="B5084" s="76" t="s">
        <v>11198</v>
      </c>
    </row>
    <row r="5085" spans="1:2" ht="15">
      <c r="A5085" s="77" t="s">
        <v>8979</v>
      </c>
      <c r="B5085" s="76" t="s">
        <v>11198</v>
      </c>
    </row>
    <row r="5086" spans="1:2" ht="15">
      <c r="A5086" s="77" t="s">
        <v>8980</v>
      </c>
      <c r="B5086" s="76" t="s">
        <v>11198</v>
      </c>
    </row>
    <row r="5087" spans="1:2" ht="15">
      <c r="A5087" s="77" t="s">
        <v>8981</v>
      </c>
      <c r="B5087" s="76" t="s">
        <v>11198</v>
      </c>
    </row>
    <row r="5088" spans="1:2" ht="15">
      <c r="A5088" s="77" t="s">
        <v>8982</v>
      </c>
      <c r="B5088" s="76" t="s">
        <v>11198</v>
      </c>
    </row>
    <row r="5089" spans="1:2" ht="15">
      <c r="A5089" s="77" t="s">
        <v>8983</v>
      </c>
      <c r="B5089" s="76" t="s">
        <v>11198</v>
      </c>
    </row>
    <row r="5090" spans="1:2" ht="15">
      <c r="A5090" s="77" t="s">
        <v>8984</v>
      </c>
      <c r="B5090" s="76" t="s">
        <v>11198</v>
      </c>
    </row>
    <row r="5091" spans="1:2" ht="15">
      <c r="A5091" s="77" t="s">
        <v>8985</v>
      </c>
      <c r="B5091" s="76" t="s">
        <v>11198</v>
      </c>
    </row>
    <row r="5092" spans="1:2" ht="15">
      <c r="A5092" s="77" t="s">
        <v>8986</v>
      </c>
      <c r="B5092" s="76" t="s">
        <v>11198</v>
      </c>
    </row>
    <row r="5093" spans="1:2" ht="15">
      <c r="A5093" s="77" t="s">
        <v>8987</v>
      </c>
      <c r="B5093" s="76" t="s">
        <v>11198</v>
      </c>
    </row>
    <row r="5094" spans="1:2" ht="15">
      <c r="A5094" s="77" t="s">
        <v>8988</v>
      </c>
      <c r="B5094" s="76" t="s">
        <v>11198</v>
      </c>
    </row>
    <row r="5095" spans="1:2" ht="15">
      <c r="A5095" s="77" t="s">
        <v>8989</v>
      </c>
      <c r="B5095" s="76" t="s">
        <v>11198</v>
      </c>
    </row>
    <row r="5096" spans="1:2" ht="15">
      <c r="A5096" s="77" t="s">
        <v>8990</v>
      </c>
      <c r="B5096" s="76" t="s">
        <v>11198</v>
      </c>
    </row>
    <row r="5097" spans="1:2" ht="15">
      <c r="A5097" s="77" t="s">
        <v>8991</v>
      </c>
      <c r="B5097" s="76" t="s">
        <v>11198</v>
      </c>
    </row>
    <row r="5098" spans="1:2" ht="15">
      <c r="A5098" s="77" t="s">
        <v>8992</v>
      </c>
      <c r="B5098" s="76" t="s">
        <v>11198</v>
      </c>
    </row>
    <row r="5099" spans="1:2" ht="15">
      <c r="A5099" s="77" t="s">
        <v>8993</v>
      </c>
      <c r="B5099" s="76" t="s">
        <v>11198</v>
      </c>
    </row>
    <row r="5100" spans="1:2" ht="15">
      <c r="A5100" s="77" t="s">
        <v>8994</v>
      </c>
      <c r="B5100" s="76" t="s">
        <v>11198</v>
      </c>
    </row>
    <row r="5101" spans="1:2" ht="15">
      <c r="A5101" s="77" t="s">
        <v>8995</v>
      </c>
      <c r="B5101" s="76" t="s">
        <v>11198</v>
      </c>
    </row>
    <row r="5102" spans="1:2" ht="15">
      <c r="A5102" s="77" t="s">
        <v>8996</v>
      </c>
      <c r="B5102" s="76" t="s">
        <v>11198</v>
      </c>
    </row>
    <row r="5103" spans="1:2" ht="15">
      <c r="A5103" s="77" t="s">
        <v>8997</v>
      </c>
      <c r="B5103" s="76" t="s">
        <v>11198</v>
      </c>
    </row>
    <row r="5104" spans="1:2" ht="15">
      <c r="A5104" s="77" t="s">
        <v>8998</v>
      </c>
      <c r="B5104" s="76" t="s">
        <v>11198</v>
      </c>
    </row>
    <row r="5105" spans="1:2" ht="15">
      <c r="A5105" s="77" t="s">
        <v>8999</v>
      </c>
      <c r="B5105" s="76" t="s">
        <v>11198</v>
      </c>
    </row>
    <row r="5106" spans="1:2" ht="15">
      <c r="A5106" s="77" t="s">
        <v>9000</v>
      </c>
      <c r="B5106" s="76" t="s">
        <v>11198</v>
      </c>
    </row>
    <row r="5107" spans="1:2" ht="15">
      <c r="A5107" s="77" t="s">
        <v>9001</v>
      </c>
      <c r="B5107" s="76" t="s">
        <v>11198</v>
      </c>
    </row>
    <row r="5108" spans="1:2" ht="15">
      <c r="A5108" s="77" t="s">
        <v>9002</v>
      </c>
      <c r="B5108" s="76" t="s">
        <v>11198</v>
      </c>
    </row>
    <row r="5109" spans="1:2" ht="15">
      <c r="A5109" s="77" t="s">
        <v>9003</v>
      </c>
      <c r="B5109" s="76" t="s">
        <v>11198</v>
      </c>
    </row>
    <row r="5110" spans="1:2" ht="15">
      <c r="A5110" s="77" t="s">
        <v>9004</v>
      </c>
      <c r="B5110" s="76" t="s">
        <v>11198</v>
      </c>
    </row>
    <row r="5111" spans="1:2" ht="15">
      <c r="A5111" s="77" t="s">
        <v>9005</v>
      </c>
      <c r="B5111" s="76" t="s">
        <v>11198</v>
      </c>
    </row>
    <row r="5112" spans="1:2" ht="15">
      <c r="A5112" s="77" t="s">
        <v>9006</v>
      </c>
      <c r="B5112" s="76" t="s">
        <v>11198</v>
      </c>
    </row>
    <row r="5113" spans="1:2" ht="15">
      <c r="A5113" s="77" t="s">
        <v>9007</v>
      </c>
      <c r="B5113" s="76" t="s">
        <v>11198</v>
      </c>
    </row>
    <row r="5114" spans="1:2" ht="15">
      <c r="A5114" s="77" t="s">
        <v>9008</v>
      </c>
      <c r="B5114" s="76" t="s">
        <v>11198</v>
      </c>
    </row>
    <row r="5115" spans="1:2" ht="15">
      <c r="A5115" s="77" t="s">
        <v>9009</v>
      </c>
      <c r="B5115" s="76" t="s">
        <v>11198</v>
      </c>
    </row>
    <row r="5116" spans="1:2" ht="15">
      <c r="A5116" s="77" t="s">
        <v>3582</v>
      </c>
      <c r="B5116" s="76" t="s">
        <v>11198</v>
      </c>
    </row>
    <row r="5117" spans="1:2" ht="15">
      <c r="A5117" s="77" t="s">
        <v>9010</v>
      </c>
      <c r="B5117" s="76" t="s">
        <v>11198</v>
      </c>
    </row>
    <row r="5118" spans="1:2" ht="15">
      <c r="A5118" s="77" t="s">
        <v>9011</v>
      </c>
      <c r="B5118" s="76" t="s">
        <v>11198</v>
      </c>
    </row>
    <row r="5119" spans="1:2" ht="15">
      <c r="A5119" s="77" t="s">
        <v>9012</v>
      </c>
      <c r="B5119" s="76" t="s">
        <v>11198</v>
      </c>
    </row>
    <row r="5120" spans="1:2" ht="15">
      <c r="A5120" s="77" t="s">
        <v>9013</v>
      </c>
      <c r="B5120" s="76" t="s">
        <v>11198</v>
      </c>
    </row>
    <row r="5121" spans="1:2" ht="15">
      <c r="A5121" s="77" t="s">
        <v>9014</v>
      </c>
      <c r="B5121" s="76" t="s">
        <v>11198</v>
      </c>
    </row>
    <row r="5122" spans="1:2" ht="15">
      <c r="A5122" s="77" t="s">
        <v>9015</v>
      </c>
      <c r="B5122" s="76" t="s">
        <v>11198</v>
      </c>
    </row>
    <row r="5123" spans="1:2" ht="15">
      <c r="A5123" s="77" t="s">
        <v>9016</v>
      </c>
      <c r="B5123" s="76" t="s">
        <v>11198</v>
      </c>
    </row>
    <row r="5124" spans="1:2" ht="15">
      <c r="A5124" s="77" t="s">
        <v>9017</v>
      </c>
      <c r="B5124" s="76" t="s">
        <v>11198</v>
      </c>
    </row>
    <row r="5125" spans="1:2" ht="15">
      <c r="A5125" s="77" t="s">
        <v>9018</v>
      </c>
      <c r="B5125" s="76" t="s">
        <v>11198</v>
      </c>
    </row>
    <row r="5126" spans="1:2" ht="15">
      <c r="A5126" s="77" t="s">
        <v>9019</v>
      </c>
      <c r="B5126" s="76" t="s">
        <v>11198</v>
      </c>
    </row>
    <row r="5127" spans="1:2" ht="15">
      <c r="A5127" s="77" t="s">
        <v>9020</v>
      </c>
      <c r="B5127" s="76" t="s">
        <v>11198</v>
      </c>
    </row>
    <row r="5128" spans="1:2" ht="15">
      <c r="A5128" s="77" t="s">
        <v>9021</v>
      </c>
      <c r="B5128" s="76" t="s">
        <v>11198</v>
      </c>
    </row>
    <row r="5129" spans="1:2" ht="15">
      <c r="A5129" s="77" t="s">
        <v>9022</v>
      </c>
      <c r="B5129" s="76" t="s">
        <v>11198</v>
      </c>
    </row>
    <row r="5130" spans="1:2" ht="15">
      <c r="A5130" s="77" t="s">
        <v>9023</v>
      </c>
      <c r="B5130" s="76" t="s">
        <v>11198</v>
      </c>
    </row>
    <row r="5131" spans="1:2" ht="15">
      <c r="A5131" s="77" t="s">
        <v>9024</v>
      </c>
      <c r="B5131" s="76" t="s">
        <v>11198</v>
      </c>
    </row>
    <row r="5132" spans="1:2" ht="15">
      <c r="A5132" s="77" t="s">
        <v>9025</v>
      </c>
      <c r="B5132" s="76" t="s">
        <v>11198</v>
      </c>
    </row>
    <row r="5133" spans="1:2" ht="15">
      <c r="A5133" s="77" t="s">
        <v>9026</v>
      </c>
      <c r="B5133" s="76" t="s">
        <v>11198</v>
      </c>
    </row>
    <row r="5134" spans="1:2" ht="15">
      <c r="A5134" s="77" t="s">
        <v>9027</v>
      </c>
      <c r="B5134" s="76" t="s">
        <v>11198</v>
      </c>
    </row>
    <row r="5135" spans="1:2" ht="15">
      <c r="A5135" s="77" t="s">
        <v>9028</v>
      </c>
      <c r="B5135" s="76" t="s">
        <v>11198</v>
      </c>
    </row>
    <row r="5136" spans="1:2" ht="15">
      <c r="A5136" s="77" t="s">
        <v>9029</v>
      </c>
      <c r="B5136" s="76" t="s">
        <v>11198</v>
      </c>
    </row>
    <row r="5137" spans="1:2" ht="15">
      <c r="A5137" s="77" t="s">
        <v>9030</v>
      </c>
      <c r="B5137" s="76" t="s">
        <v>11198</v>
      </c>
    </row>
    <row r="5138" spans="1:2" ht="15">
      <c r="A5138" s="77" t="s">
        <v>9031</v>
      </c>
      <c r="B5138" s="76" t="s">
        <v>11198</v>
      </c>
    </row>
    <row r="5139" spans="1:2" ht="15">
      <c r="A5139" s="77" t="s">
        <v>9032</v>
      </c>
      <c r="B5139" s="76" t="s">
        <v>11198</v>
      </c>
    </row>
    <row r="5140" spans="1:2" ht="15">
      <c r="A5140" s="77" t="s">
        <v>9033</v>
      </c>
      <c r="B5140" s="76" t="s">
        <v>11198</v>
      </c>
    </row>
    <row r="5141" spans="1:2" ht="15">
      <c r="A5141" s="77" t="s">
        <v>9034</v>
      </c>
      <c r="B5141" s="76" t="s">
        <v>11198</v>
      </c>
    </row>
    <row r="5142" spans="1:2" ht="15">
      <c r="A5142" s="77" t="s">
        <v>9035</v>
      </c>
      <c r="B5142" s="76" t="s">
        <v>11198</v>
      </c>
    </row>
    <row r="5143" spans="1:2" ht="15">
      <c r="A5143" s="77" t="s">
        <v>9036</v>
      </c>
      <c r="B5143" s="76" t="s">
        <v>11198</v>
      </c>
    </row>
    <row r="5144" spans="1:2" ht="15">
      <c r="A5144" s="77" t="s">
        <v>9037</v>
      </c>
      <c r="B5144" s="76" t="s">
        <v>11198</v>
      </c>
    </row>
    <row r="5145" spans="1:2" ht="15">
      <c r="A5145" s="77" t="s">
        <v>9038</v>
      </c>
      <c r="B5145" s="76" t="s">
        <v>11198</v>
      </c>
    </row>
    <row r="5146" spans="1:2" ht="15">
      <c r="A5146" s="77" t="s">
        <v>9039</v>
      </c>
      <c r="B5146" s="76" t="s">
        <v>11198</v>
      </c>
    </row>
    <row r="5147" spans="1:2" ht="15">
      <c r="A5147" s="77" t="s">
        <v>9040</v>
      </c>
      <c r="B5147" s="76" t="s">
        <v>11198</v>
      </c>
    </row>
    <row r="5148" spans="1:2" ht="15">
      <c r="A5148" s="77" t="s">
        <v>9041</v>
      </c>
      <c r="B5148" s="76" t="s">
        <v>11198</v>
      </c>
    </row>
    <row r="5149" spans="1:2" ht="15">
      <c r="A5149" s="77" t="s">
        <v>9042</v>
      </c>
      <c r="B5149" s="76" t="s">
        <v>11198</v>
      </c>
    </row>
    <row r="5150" spans="1:2" ht="15">
      <c r="A5150" s="77" t="s">
        <v>9043</v>
      </c>
      <c r="B5150" s="76" t="s">
        <v>11198</v>
      </c>
    </row>
    <row r="5151" spans="1:2" ht="15">
      <c r="A5151" s="77" t="s">
        <v>9044</v>
      </c>
      <c r="B5151" s="76" t="s">
        <v>11198</v>
      </c>
    </row>
    <row r="5152" spans="1:2" ht="15">
      <c r="A5152" s="77" t="s">
        <v>9045</v>
      </c>
      <c r="B5152" s="76" t="s">
        <v>11198</v>
      </c>
    </row>
    <row r="5153" spans="1:2" ht="15">
      <c r="A5153" s="77" t="s">
        <v>9046</v>
      </c>
      <c r="B5153" s="76" t="s">
        <v>11198</v>
      </c>
    </row>
    <row r="5154" spans="1:2" ht="15">
      <c r="A5154" s="77" t="s">
        <v>9047</v>
      </c>
      <c r="B5154" s="76" t="s">
        <v>11198</v>
      </c>
    </row>
    <row r="5155" spans="1:2" ht="15">
      <c r="A5155" s="77" t="s">
        <v>9048</v>
      </c>
      <c r="B5155" s="76" t="s">
        <v>11198</v>
      </c>
    </row>
    <row r="5156" spans="1:2" ht="15">
      <c r="A5156" s="77" t="s">
        <v>9049</v>
      </c>
      <c r="B5156" s="76" t="s">
        <v>11198</v>
      </c>
    </row>
    <row r="5157" spans="1:2" ht="15">
      <c r="A5157" s="77" t="s">
        <v>3426</v>
      </c>
      <c r="B5157" s="76" t="s">
        <v>11198</v>
      </c>
    </row>
    <row r="5158" spans="1:2" ht="15">
      <c r="A5158" s="77" t="s">
        <v>9050</v>
      </c>
      <c r="B5158" s="76" t="s">
        <v>11198</v>
      </c>
    </row>
    <row r="5159" spans="1:2" ht="15">
      <c r="A5159" s="77" t="s">
        <v>9051</v>
      </c>
      <c r="B5159" s="76" t="s">
        <v>11198</v>
      </c>
    </row>
    <row r="5160" spans="1:2" ht="15">
      <c r="A5160" s="77" t="s">
        <v>9052</v>
      </c>
      <c r="B5160" s="76" t="s">
        <v>11198</v>
      </c>
    </row>
    <row r="5161" spans="1:2" ht="15">
      <c r="A5161" s="77" t="s">
        <v>9053</v>
      </c>
      <c r="B5161" s="76" t="s">
        <v>11198</v>
      </c>
    </row>
    <row r="5162" spans="1:2" ht="15">
      <c r="A5162" s="77" t="s">
        <v>9054</v>
      </c>
      <c r="B5162" s="76" t="s">
        <v>11198</v>
      </c>
    </row>
    <row r="5163" spans="1:2" ht="15">
      <c r="A5163" s="77" t="s">
        <v>9055</v>
      </c>
      <c r="B5163" s="76" t="s">
        <v>11198</v>
      </c>
    </row>
    <row r="5164" spans="1:2" ht="15">
      <c r="A5164" s="77" t="s">
        <v>9056</v>
      </c>
      <c r="B5164" s="76" t="s">
        <v>11198</v>
      </c>
    </row>
    <row r="5165" spans="1:2" ht="15">
      <c r="A5165" s="77" t="s">
        <v>9057</v>
      </c>
      <c r="B5165" s="76" t="s">
        <v>11198</v>
      </c>
    </row>
    <row r="5166" spans="1:2" ht="15">
      <c r="A5166" s="77" t="s">
        <v>9058</v>
      </c>
      <c r="B5166" s="76" t="s">
        <v>11198</v>
      </c>
    </row>
    <row r="5167" spans="1:2" ht="15">
      <c r="A5167" s="77" t="s">
        <v>9059</v>
      </c>
      <c r="B5167" s="76" t="s">
        <v>11198</v>
      </c>
    </row>
    <row r="5168" spans="1:2" ht="15">
      <c r="A5168" s="77" t="s">
        <v>9060</v>
      </c>
      <c r="B5168" s="76" t="s">
        <v>11198</v>
      </c>
    </row>
    <row r="5169" spans="1:2" ht="15">
      <c r="A5169" s="77" t="s">
        <v>9061</v>
      </c>
      <c r="B5169" s="76" t="s">
        <v>11198</v>
      </c>
    </row>
    <row r="5170" spans="1:2" ht="15">
      <c r="A5170" s="77" t="s">
        <v>9062</v>
      </c>
      <c r="B5170" s="76" t="s">
        <v>11198</v>
      </c>
    </row>
    <row r="5171" spans="1:2" ht="15">
      <c r="A5171" s="77" t="s">
        <v>9063</v>
      </c>
      <c r="B5171" s="76" t="s">
        <v>11198</v>
      </c>
    </row>
    <row r="5172" spans="1:2" ht="15">
      <c r="A5172" s="77" t="s">
        <v>9064</v>
      </c>
      <c r="B5172" s="76" t="s">
        <v>11198</v>
      </c>
    </row>
    <row r="5173" spans="1:2" ht="15">
      <c r="A5173" s="77" t="s">
        <v>9065</v>
      </c>
      <c r="B5173" s="76" t="s">
        <v>11198</v>
      </c>
    </row>
    <row r="5174" spans="1:2" ht="15">
      <c r="A5174" s="77" t="s">
        <v>9066</v>
      </c>
      <c r="B5174" s="76" t="s">
        <v>11198</v>
      </c>
    </row>
    <row r="5175" spans="1:2" ht="15">
      <c r="A5175" s="77" t="s">
        <v>9067</v>
      </c>
      <c r="B5175" s="76" t="s">
        <v>11198</v>
      </c>
    </row>
    <row r="5176" spans="1:2" ht="15">
      <c r="A5176" s="77" t="s">
        <v>9068</v>
      </c>
      <c r="B5176" s="76" t="s">
        <v>11198</v>
      </c>
    </row>
    <row r="5177" spans="1:2" ht="15">
      <c r="A5177" s="77" t="s">
        <v>9069</v>
      </c>
      <c r="B5177" s="76" t="s">
        <v>11198</v>
      </c>
    </row>
    <row r="5178" spans="1:2" ht="15">
      <c r="A5178" s="77" t="s">
        <v>9070</v>
      </c>
      <c r="B5178" s="76" t="s">
        <v>11198</v>
      </c>
    </row>
    <row r="5179" spans="1:2" ht="15">
      <c r="A5179" s="77" t="s">
        <v>9071</v>
      </c>
      <c r="B5179" s="76" t="s">
        <v>11198</v>
      </c>
    </row>
    <row r="5180" spans="1:2" ht="15">
      <c r="A5180" s="77" t="s">
        <v>9072</v>
      </c>
      <c r="B5180" s="76" t="s">
        <v>11198</v>
      </c>
    </row>
    <row r="5181" spans="1:2" ht="15">
      <c r="A5181" s="77" t="s">
        <v>9073</v>
      </c>
      <c r="B5181" s="76" t="s">
        <v>11198</v>
      </c>
    </row>
    <row r="5182" spans="1:2" ht="15">
      <c r="A5182" s="77" t="s">
        <v>9074</v>
      </c>
      <c r="B5182" s="76" t="s">
        <v>11198</v>
      </c>
    </row>
    <row r="5183" spans="1:2" ht="15">
      <c r="A5183" s="77" t="s">
        <v>9075</v>
      </c>
      <c r="B5183" s="76" t="s">
        <v>11198</v>
      </c>
    </row>
    <row r="5184" spans="1:2" ht="15">
      <c r="A5184" s="77" t="s">
        <v>9076</v>
      </c>
      <c r="B5184" s="76" t="s">
        <v>11198</v>
      </c>
    </row>
    <row r="5185" spans="1:2" ht="15">
      <c r="A5185" s="77" t="s">
        <v>9077</v>
      </c>
      <c r="B5185" s="76" t="s">
        <v>11198</v>
      </c>
    </row>
    <row r="5186" spans="1:2" ht="15">
      <c r="A5186" s="77" t="s">
        <v>9078</v>
      </c>
      <c r="B5186" s="76" t="s">
        <v>11198</v>
      </c>
    </row>
    <row r="5187" spans="1:2" ht="15">
      <c r="A5187" s="77" t="s">
        <v>9079</v>
      </c>
      <c r="B5187" s="76" t="s">
        <v>11198</v>
      </c>
    </row>
    <row r="5188" spans="1:2" ht="15">
      <c r="A5188" s="77" t="s">
        <v>9080</v>
      </c>
      <c r="B5188" s="76" t="s">
        <v>11198</v>
      </c>
    </row>
    <row r="5189" spans="1:2" ht="15">
      <c r="A5189" s="77" t="s">
        <v>9081</v>
      </c>
      <c r="B5189" s="76" t="s">
        <v>11198</v>
      </c>
    </row>
    <row r="5190" spans="1:2" ht="15">
      <c r="A5190" s="77" t="s">
        <v>9082</v>
      </c>
      <c r="B5190" s="76" t="s">
        <v>11198</v>
      </c>
    </row>
    <row r="5191" spans="1:2" ht="15">
      <c r="A5191" s="77" t="s">
        <v>9083</v>
      </c>
      <c r="B5191" s="76" t="s">
        <v>11198</v>
      </c>
    </row>
    <row r="5192" spans="1:2" ht="15">
      <c r="A5192" s="77" t="s">
        <v>9084</v>
      </c>
      <c r="B5192" s="76" t="s">
        <v>11198</v>
      </c>
    </row>
    <row r="5193" spans="1:2" ht="15">
      <c r="A5193" s="77" t="s">
        <v>9085</v>
      </c>
      <c r="B5193" s="76" t="s">
        <v>11198</v>
      </c>
    </row>
    <row r="5194" spans="1:2" ht="15">
      <c r="A5194" s="77" t="s">
        <v>9086</v>
      </c>
      <c r="B5194" s="76" t="s">
        <v>11198</v>
      </c>
    </row>
    <row r="5195" spans="1:2" ht="15">
      <c r="A5195" s="77" t="s">
        <v>9087</v>
      </c>
      <c r="B5195" s="76" t="s">
        <v>11198</v>
      </c>
    </row>
    <row r="5196" spans="1:2" ht="15">
      <c r="A5196" s="77" t="s">
        <v>9088</v>
      </c>
      <c r="B5196" s="76" t="s">
        <v>11198</v>
      </c>
    </row>
    <row r="5197" spans="1:2" ht="15">
      <c r="A5197" s="77" t="s">
        <v>9089</v>
      </c>
      <c r="B5197" s="76" t="s">
        <v>11198</v>
      </c>
    </row>
    <row r="5198" spans="1:2" ht="15">
      <c r="A5198" s="77" t="s">
        <v>9090</v>
      </c>
      <c r="B5198" s="76" t="s">
        <v>11198</v>
      </c>
    </row>
    <row r="5199" spans="1:2" ht="15">
      <c r="A5199" s="77" t="s">
        <v>9091</v>
      </c>
      <c r="B5199" s="76" t="s">
        <v>11198</v>
      </c>
    </row>
    <row r="5200" spans="1:2" ht="15">
      <c r="A5200" s="77" t="s">
        <v>9092</v>
      </c>
      <c r="B5200" s="76" t="s">
        <v>11198</v>
      </c>
    </row>
    <row r="5201" spans="1:2" ht="15">
      <c r="A5201" s="77" t="s">
        <v>9093</v>
      </c>
      <c r="B5201" s="76" t="s">
        <v>11198</v>
      </c>
    </row>
    <row r="5202" spans="1:2" ht="15">
      <c r="A5202" s="77" t="s">
        <v>9094</v>
      </c>
      <c r="B5202" s="76" t="s">
        <v>11198</v>
      </c>
    </row>
    <row r="5203" spans="1:2" ht="15">
      <c r="A5203" s="77" t="s">
        <v>9095</v>
      </c>
      <c r="B5203" s="76" t="s">
        <v>11198</v>
      </c>
    </row>
    <row r="5204" spans="1:2" ht="15">
      <c r="A5204" s="77" t="s">
        <v>9096</v>
      </c>
      <c r="B5204" s="76" t="s">
        <v>11198</v>
      </c>
    </row>
    <row r="5205" spans="1:2" ht="15">
      <c r="A5205" s="77" t="s">
        <v>9097</v>
      </c>
      <c r="B5205" s="76" t="s">
        <v>11198</v>
      </c>
    </row>
    <row r="5206" spans="1:2" ht="15">
      <c r="A5206" s="77" t="s">
        <v>9098</v>
      </c>
      <c r="B5206" s="76" t="s">
        <v>11198</v>
      </c>
    </row>
    <row r="5207" spans="1:2" ht="15">
      <c r="A5207" s="77" t="s">
        <v>9099</v>
      </c>
      <c r="B5207" s="76" t="s">
        <v>11198</v>
      </c>
    </row>
    <row r="5208" spans="1:2" ht="15">
      <c r="A5208" s="77" t="s">
        <v>9100</v>
      </c>
      <c r="B5208" s="76" t="s">
        <v>11198</v>
      </c>
    </row>
    <row r="5209" spans="1:2" ht="15">
      <c r="A5209" s="77" t="s">
        <v>9101</v>
      </c>
      <c r="B5209" s="76" t="s">
        <v>11198</v>
      </c>
    </row>
    <row r="5210" spans="1:2" ht="15">
      <c r="A5210" s="77" t="s">
        <v>9102</v>
      </c>
      <c r="B5210" s="76" t="s">
        <v>11198</v>
      </c>
    </row>
    <row r="5211" spans="1:2" ht="15">
      <c r="A5211" s="77" t="s">
        <v>9103</v>
      </c>
      <c r="B5211" s="76" t="s">
        <v>11198</v>
      </c>
    </row>
    <row r="5212" spans="1:2" ht="15">
      <c r="A5212" s="77" t="s">
        <v>9104</v>
      </c>
      <c r="B5212" s="76" t="s">
        <v>11198</v>
      </c>
    </row>
    <row r="5213" spans="1:2" ht="15">
      <c r="A5213" s="77" t="s">
        <v>9105</v>
      </c>
      <c r="B5213" s="76" t="s">
        <v>11198</v>
      </c>
    </row>
    <row r="5214" spans="1:2" ht="15">
      <c r="A5214" s="77" t="s">
        <v>9106</v>
      </c>
      <c r="B5214" s="76" t="s">
        <v>11198</v>
      </c>
    </row>
    <row r="5215" spans="1:2" ht="15">
      <c r="A5215" s="77" t="s">
        <v>9107</v>
      </c>
      <c r="B5215" s="76" t="s">
        <v>11198</v>
      </c>
    </row>
    <row r="5216" spans="1:2" ht="15">
      <c r="A5216" s="77" t="s">
        <v>9108</v>
      </c>
      <c r="B5216" s="76" t="s">
        <v>11198</v>
      </c>
    </row>
    <row r="5217" spans="1:2" ht="15">
      <c r="A5217" s="77" t="s">
        <v>3746</v>
      </c>
      <c r="B5217" s="76" t="s">
        <v>11198</v>
      </c>
    </row>
    <row r="5218" spans="1:2" ht="15">
      <c r="A5218" s="77" t="s">
        <v>9109</v>
      </c>
      <c r="B5218" s="76" t="s">
        <v>11198</v>
      </c>
    </row>
    <row r="5219" spans="1:2" ht="15">
      <c r="A5219" s="77" t="s">
        <v>9110</v>
      </c>
      <c r="B5219" s="76" t="s">
        <v>11198</v>
      </c>
    </row>
    <row r="5220" spans="1:2" ht="15">
      <c r="A5220" s="77" t="s">
        <v>9111</v>
      </c>
      <c r="B5220" s="76" t="s">
        <v>11198</v>
      </c>
    </row>
    <row r="5221" spans="1:2" ht="15">
      <c r="A5221" s="77" t="s">
        <v>9112</v>
      </c>
      <c r="B5221" s="76" t="s">
        <v>11198</v>
      </c>
    </row>
    <row r="5222" spans="1:2" ht="15">
      <c r="A5222" s="77" t="s">
        <v>9113</v>
      </c>
      <c r="B5222" s="76" t="s">
        <v>11198</v>
      </c>
    </row>
    <row r="5223" spans="1:2" ht="15">
      <c r="A5223" s="77" t="s">
        <v>9114</v>
      </c>
      <c r="B5223" s="76" t="s">
        <v>11198</v>
      </c>
    </row>
    <row r="5224" spans="1:2" ht="15">
      <c r="A5224" s="77" t="s">
        <v>9115</v>
      </c>
      <c r="B5224" s="76" t="s">
        <v>11198</v>
      </c>
    </row>
    <row r="5225" spans="1:2" ht="15">
      <c r="A5225" s="77" t="s">
        <v>9116</v>
      </c>
      <c r="B5225" s="76" t="s">
        <v>11198</v>
      </c>
    </row>
    <row r="5226" spans="1:2" ht="15">
      <c r="A5226" s="77" t="s">
        <v>9117</v>
      </c>
      <c r="B5226" s="76" t="s">
        <v>11198</v>
      </c>
    </row>
    <row r="5227" spans="1:2" ht="15">
      <c r="A5227" s="77" t="s">
        <v>9118</v>
      </c>
      <c r="B5227" s="76" t="s">
        <v>11198</v>
      </c>
    </row>
    <row r="5228" spans="1:2" ht="15">
      <c r="A5228" s="77" t="s">
        <v>9119</v>
      </c>
      <c r="B5228" s="76" t="s">
        <v>11198</v>
      </c>
    </row>
    <row r="5229" spans="1:2" ht="15">
      <c r="A5229" s="77" t="s">
        <v>9120</v>
      </c>
      <c r="B5229" s="76" t="s">
        <v>11198</v>
      </c>
    </row>
    <row r="5230" spans="1:2" ht="15">
      <c r="A5230" s="77" t="s">
        <v>9121</v>
      </c>
      <c r="B5230" s="76" t="s">
        <v>11198</v>
      </c>
    </row>
    <row r="5231" spans="1:2" ht="15">
      <c r="A5231" s="77" t="s">
        <v>9122</v>
      </c>
      <c r="B5231" s="76" t="s">
        <v>11198</v>
      </c>
    </row>
    <row r="5232" spans="1:2" ht="15">
      <c r="A5232" s="77" t="s">
        <v>9123</v>
      </c>
      <c r="B5232" s="76" t="s">
        <v>11198</v>
      </c>
    </row>
    <row r="5233" spans="1:2" ht="15">
      <c r="A5233" s="77" t="s">
        <v>9124</v>
      </c>
      <c r="B5233" s="76" t="s">
        <v>11198</v>
      </c>
    </row>
    <row r="5234" spans="1:2" ht="15">
      <c r="A5234" s="77" t="s">
        <v>9125</v>
      </c>
      <c r="B5234" s="76" t="s">
        <v>11198</v>
      </c>
    </row>
    <row r="5235" spans="1:2" ht="15">
      <c r="A5235" s="77" t="s">
        <v>9126</v>
      </c>
      <c r="B5235" s="76" t="s">
        <v>11198</v>
      </c>
    </row>
    <row r="5236" spans="1:2" ht="15">
      <c r="A5236" s="77" t="s">
        <v>9127</v>
      </c>
      <c r="B5236" s="76" t="s">
        <v>11198</v>
      </c>
    </row>
    <row r="5237" spans="1:2" ht="15">
      <c r="A5237" s="77" t="s">
        <v>9128</v>
      </c>
      <c r="B5237" s="76" t="s">
        <v>11198</v>
      </c>
    </row>
    <row r="5238" spans="1:2" ht="15">
      <c r="A5238" s="77" t="s">
        <v>9129</v>
      </c>
      <c r="B5238" s="76" t="s">
        <v>11198</v>
      </c>
    </row>
    <row r="5239" spans="1:2" ht="15">
      <c r="A5239" s="77" t="s">
        <v>9130</v>
      </c>
      <c r="B5239" s="76" t="s">
        <v>11198</v>
      </c>
    </row>
    <row r="5240" spans="1:2" ht="15">
      <c r="A5240" s="77" t="s">
        <v>9131</v>
      </c>
      <c r="B5240" s="76" t="s">
        <v>11198</v>
      </c>
    </row>
    <row r="5241" spans="1:2" ht="15">
      <c r="A5241" s="77" t="s">
        <v>9132</v>
      </c>
      <c r="B5241" s="76" t="s">
        <v>11198</v>
      </c>
    </row>
    <row r="5242" spans="1:2" ht="15">
      <c r="A5242" s="77" t="s">
        <v>9133</v>
      </c>
      <c r="B5242" s="76" t="s">
        <v>11198</v>
      </c>
    </row>
    <row r="5243" spans="1:2" ht="15">
      <c r="A5243" s="77" t="s">
        <v>9134</v>
      </c>
      <c r="B5243" s="76" t="s">
        <v>11198</v>
      </c>
    </row>
    <row r="5244" spans="1:2" ht="15">
      <c r="A5244" s="77" t="s">
        <v>9135</v>
      </c>
      <c r="B5244" s="76" t="s">
        <v>11198</v>
      </c>
    </row>
    <row r="5245" spans="1:2" ht="15">
      <c r="A5245" s="77" t="s">
        <v>9136</v>
      </c>
      <c r="B5245" s="76" t="s">
        <v>11198</v>
      </c>
    </row>
    <row r="5246" spans="1:2" ht="15">
      <c r="A5246" s="77" t="s">
        <v>9137</v>
      </c>
      <c r="B5246" s="76" t="s">
        <v>11198</v>
      </c>
    </row>
    <row r="5247" spans="1:2" ht="15">
      <c r="A5247" s="77" t="s">
        <v>9138</v>
      </c>
      <c r="B5247" s="76" t="s">
        <v>11198</v>
      </c>
    </row>
    <row r="5248" spans="1:2" ht="15">
      <c r="A5248" s="77" t="s">
        <v>9139</v>
      </c>
      <c r="B5248" s="76" t="s">
        <v>11198</v>
      </c>
    </row>
    <row r="5249" spans="1:2" ht="15">
      <c r="A5249" s="77" t="s">
        <v>9140</v>
      </c>
      <c r="B5249" s="76" t="s">
        <v>11198</v>
      </c>
    </row>
    <row r="5250" spans="1:2" ht="15">
      <c r="A5250" s="77" t="s">
        <v>9141</v>
      </c>
      <c r="B5250" s="76" t="s">
        <v>11198</v>
      </c>
    </row>
    <row r="5251" spans="1:2" ht="15">
      <c r="A5251" s="77" t="s">
        <v>9142</v>
      </c>
      <c r="B5251" s="76" t="s">
        <v>11198</v>
      </c>
    </row>
    <row r="5252" spans="1:2" ht="15">
      <c r="A5252" s="77" t="s">
        <v>9143</v>
      </c>
      <c r="B5252" s="76" t="s">
        <v>11198</v>
      </c>
    </row>
    <row r="5253" spans="1:2" ht="15">
      <c r="A5253" s="77" t="s">
        <v>9144</v>
      </c>
      <c r="B5253" s="76" t="s">
        <v>11198</v>
      </c>
    </row>
    <row r="5254" spans="1:2" ht="15">
      <c r="A5254" s="77" t="s">
        <v>9145</v>
      </c>
      <c r="B5254" s="76" t="s">
        <v>11198</v>
      </c>
    </row>
    <row r="5255" spans="1:2" ht="15">
      <c r="A5255" s="77" t="s">
        <v>9146</v>
      </c>
      <c r="B5255" s="76" t="s">
        <v>11198</v>
      </c>
    </row>
    <row r="5256" spans="1:2" ht="15">
      <c r="A5256" s="77" t="s">
        <v>9147</v>
      </c>
      <c r="B5256" s="76" t="s">
        <v>11198</v>
      </c>
    </row>
    <row r="5257" spans="1:2" ht="15">
      <c r="A5257" s="77" t="s">
        <v>9148</v>
      </c>
      <c r="B5257" s="76" t="s">
        <v>11198</v>
      </c>
    </row>
    <row r="5258" spans="1:2" ht="15">
      <c r="A5258" s="77" t="s">
        <v>9149</v>
      </c>
      <c r="B5258" s="76" t="s">
        <v>11198</v>
      </c>
    </row>
    <row r="5259" spans="1:2" ht="15">
      <c r="A5259" s="77" t="s">
        <v>9150</v>
      </c>
      <c r="B5259" s="76" t="s">
        <v>11198</v>
      </c>
    </row>
    <row r="5260" spans="1:2" ht="15">
      <c r="A5260" s="77" t="s">
        <v>9151</v>
      </c>
      <c r="B5260" s="76" t="s">
        <v>11198</v>
      </c>
    </row>
    <row r="5261" spans="1:2" ht="15">
      <c r="A5261" s="77" t="s">
        <v>9152</v>
      </c>
      <c r="B5261" s="76" t="s">
        <v>11198</v>
      </c>
    </row>
    <row r="5262" spans="1:2" ht="15">
      <c r="A5262" s="77" t="s">
        <v>9153</v>
      </c>
      <c r="B5262" s="76" t="s">
        <v>11198</v>
      </c>
    </row>
    <row r="5263" spans="1:2" ht="15">
      <c r="A5263" s="77" t="s">
        <v>9154</v>
      </c>
      <c r="B5263" s="76" t="s">
        <v>11198</v>
      </c>
    </row>
    <row r="5264" spans="1:2" ht="15">
      <c r="A5264" s="77" t="s">
        <v>9155</v>
      </c>
      <c r="B5264" s="76" t="s">
        <v>11198</v>
      </c>
    </row>
    <row r="5265" spans="1:2" ht="15">
      <c r="A5265" s="77" t="s">
        <v>9156</v>
      </c>
      <c r="B5265" s="76" t="s">
        <v>11198</v>
      </c>
    </row>
    <row r="5266" spans="1:2" ht="15">
      <c r="A5266" s="77" t="s">
        <v>9157</v>
      </c>
      <c r="B5266" s="76" t="s">
        <v>11198</v>
      </c>
    </row>
    <row r="5267" spans="1:2" ht="15">
      <c r="A5267" s="77" t="s">
        <v>9158</v>
      </c>
      <c r="B5267" s="76" t="s">
        <v>11198</v>
      </c>
    </row>
    <row r="5268" spans="1:2" ht="15">
      <c r="A5268" s="77" t="s">
        <v>9159</v>
      </c>
      <c r="B5268" s="76" t="s">
        <v>11198</v>
      </c>
    </row>
    <row r="5269" spans="1:2" ht="15">
      <c r="A5269" s="77" t="s">
        <v>9160</v>
      </c>
      <c r="B5269" s="76" t="s">
        <v>11198</v>
      </c>
    </row>
    <row r="5270" spans="1:2" ht="15">
      <c r="A5270" s="77" t="s">
        <v>9161</v>
      </c>
      <c r="B5270" s="76" t="s">
        <v>11198</v>
      </c>
    </row>
    <row r="5271" spans="1:2" ht="15">
      <c r="A5271" s="77" t="s">
        <v>9162</v>
      </c>
      <c r="B5271" s="76" t="s">
        <v>11198</v>
      </c>
    </row>
    <row r="5272" spans="1:2" ht="15">
      <c r="A5272" s="77" t="s">
        <v>9163</v>
      </c>
      <c r="B5272" s="76" t="s">
        <v>11198</v>
      </c>
    </row>
    <row r="5273" spans="1:2" ht="15">
      <c r="A5273" s="77" t="s">
        <v>9164</v>
      </c>
      <c r="B5273" s="76" t="s">
        <v>11198</v>
      </c>
    </row>
    <row r="5274" spans="1:2" ht="15">
      <c r="A5274" s="77" t="s">
        <v>9165</v>
      </c>
      <c r="B5274" s="76" t="s">
        <v>11198</v>
      </c>
    </row>
    <row r="5275" spans="1:2" ht="15">
      <c r="A5275" s="77" t="s">
        <v>9166</v>
      </c>
      <c r="B5275" s="76" t="s">
        <v>11198</v>
      </c>
    </row>
    <row r="5276" spans="1:2" ht="15">
      <c r="A5276" s="77" t="s">
        <v>9167</v>
      </c>
      <c r="B5276" s="76" t="s">
        <v>11198</v>
      </c>
    </row>
    <row r="5277" spans="1:2" ht="15">
      <c r="A5277" s="77" t="s">
        <v>9168</v>
      </c>
      <c r="B5277" s="76" t="s">
        <v>11198</v>
      </c>
    </row>
    <row r="5278" spans="1:2" ht="15">
      <c r="A5278" s="77" t="s">
        <v>9169</v>
      </c>
      <c r="B5278" s="76" t="s">
        <v>11198</v>
      </c>
    </row>
    <row r="5279" spans="1:2" ht="15">
      <c r="A5279" s="77" t="s">
        <v>9170</v>
      </c>
      <c r="B5279" s="76" t="s">
        <v>11198</v>
      </c>
    </row>
    <row r="5280" spans="1:2" ht="15">
      <c r="A5280" s="77" t="s">
        <v>9171</v>
      </c>
      <c r="B5280" s="76" t="s">
        <v>11198</v>
      </c>
    </row>
    <row r="5281" spans="1:2" ht="15">
      <c r="A5281" s="77" t="s">
        <v>9172</v>
      </c>
      <c r="B5281" s="76" t="s">
        <v>11198</v>
      </c>
    </row>
    <row r="5282" spans="1:2" ht="15">
      <c r="A5282" s="77" t="s">
        <v>9173</v>
      </c>
      <c r="B5282" s="76" t="s">
        <v>11198</v>
      </c>
    </row>
    <row r="5283" spans="1:2" ht="15">
      <c r="A5283" s="77" t="s">
        <v>9174</v>
      </c>
      <c r="B5283" s="76" t="s">
        <v>11198</v>
      </c>
    </row>
    <row r="5284" spans="1:2" ht="15">
      <c r="A5284" s="77" t="s">
        <v>9175</v>
      </c>
      <c r="B5284" s="76" t="s">
        <v>11198</v>
      </c>
    </row>
    <row r="5285" spans="1:2" ht="15">
      <c r="A5285" s="77" t="s">
        <v>9176</v>
      </c>
      <c r="B5285" s="76" t="s">
        <v>11198</v>
      </c>
    </row>
    <row r="5286" spans="1:2" ht="15">
      <c r="A5286" s="77" t="s">
        <v>9177</v>
      </c>
      <c r="B5286" s="76" t="s">
        <v>11198</v>
      </c>
    </row>
    <row r="5287" spans="1:2" ht="15">
      <c r="A5287" s="77" t="s">
        <v>9178</v>
      </c>
      <c r="B5287" s="76" t="s">
        <v>11198</v>
      </c>
    </row>
    <row r="5288" spans="1:2" ht="15">
      <c r="A5288" s="77" t="s">
        <v>9179</v>
      </c>
      <c r="B5288" s="76" t="s">
        <v>11198</v>
      </c>
    </row>
    <row r="5289" spans="1:2" ht="15">
      <c r="A5289" s="77" t="s">
        <v>9180</v>
      </c>
      <c r="B5289" s="76" t="s">
        <v>11198</v>
      </c>
    </row>
    <row r="5290" spans="1:2" ht="15">
      <c r="A5290" s="77" t="s">
        <v>9181</v>
      </c>
      <c r="B5290" s="76" t="s">
        <v>11198</v>
      </c>
    </row>
    <row r="5291" spans="1:2" ht="15">
      <c r="A5291" s="77" t="s">
        <v>9182</v>
      </c>
      <c r="B5291" s="76" t="s">
        <v>11198</v>
      </c>
    </row>
    <row r="5292" spans="1:2" ht="15">
      <c r="A5292" s="77" t="s">
        <v>9183</v>
      </c>
      <c r="B5292" s="76" t="s">
        <v>11198</v>
      </c>
    </row>
    <row r="5293" spans="1:2" ht="15">
      <c r="A5293" s="77" t="s">
        <v>9184</v>
      </c>
      <c r="B5293" s="76" t="s">
        <v>11198</v>
      </c>
    </row>
    <row r="5294" spans="1:2" ht="15">
      <c r="A5294" s="77" t="s">
        <v>9185</v>
      </c>
      <c r="B5294" s="76" t="s">
        <v>11198</v>
      </c>
    </row>
    <row r="5295" spans="1:2" ht="15">
      <c r="A5295" s="77" t="s">
        <v>9186</v>
      </c>
      <c r="B5295" s="76" t="s">
        <v>11198</v>
      </c>
    </row>
    <row r="5296" spans="1:2" ht="15">
      <c r="A5296" s="77" t="s">
        <v>9187</v>
      </c>
      <c r="B5296" s="76" t="s">
        <v>11198</v>
      </c>
    </row>
    <row r="5297" spans="1:2" ht="15">
      <c r="A5297" s="77" t="s">
        <v>9188</v>
      </c>
      <c r="B5297" s="76" t="s">
        <v>11198</v>
      </c>
    </row>
    <row r="5298" spans="1:2" ht="15">
      <c r="A5298" s="77" t="s">
        <v>9189</v>
      </c>
      <c r="B5298" s="76" t="s">
        <v>11198</v>
      </c>
    </row>
    <row r="5299" spans="1:2" ht="15">
      <c r="A5299" s="77" t="s">
        <v>9190</v>
      </c>
      <c r="B5299" s="76" t="s">
        <v>11198</v>
      </c>
    </row>
    <row r="5300" spans="1:2" ht="15">
      <c r="A5300" s="77" t="s">
        <v>9191</v>
      </c>
      <c r="B5300" s="76" t="s">
        <v>11198</v>
      </c>
    </row>
    <row r="5301" spans="1:2" ht="15">
      <c r="A5301" s="77" t="s">
        <v>9192</v>
      </c>
      <c r="B5301" s="76" t="s">
        <v>11198</v>
      </c>
    </row>
    <row r="5302" spans="1:2" ht="15">
      <c r="A5302" s="77" t="s">
        <v>9193</v>
      </c>
      <c r="B5302" s="76" t="s">
        <v>11198</v>
      </c>
    </row>
    <row r="5303" spans="1:2" ht="15">
      <c r="A5303" s="77" t="s">
        <v>9194</v>
      </c>
      <c r="B5303" s="76" t="s">
        <v>11198</v>
      </c>
    </row>
    <row r="5304" spans="1:2" ht="15">
      <c r="A5304" s="77" t="s">
        <v>9195</v>
      </c>
      <c r="B5304" s="76" t="s">
        <v>11198</v>
      </c>
    </row>
    <row r="5305" spans="1:2" ht="15">
      <c r="A5305" s="77" t="s">
        <v>9196</v>
      </c>
      <c r="B5305" s="76" t="s">
        <v>11198</v>
      </c>
    </row>
    <row r="5306" spans="1:2" ht="15">
      <c r="A5306" s="77" t="s">
        <v>9197</v>
      </c>
      <c r="B5306" s="76" t="s">
        <v>11198</v>
      </c>
    </row>
    <row r="5307" spans="1:2" ht="15">
      <c r="A5307" s="77" t="s">
        <v>9198</v>
      </c>
      <c r="B5307" s="76" t="s">
        <v>11198</v>
      </c>
    </row>
    <row r="5308" spans="1:2" ht="15">
      <c r="A5308" s="77" t="s">
        <v>9199</v>
      </c>
      <c r="B5308" s="76" t="s">
        <v>11198</v>
      </c>
    </row>
    <row r="5309" spans="1:2" ht="15">
      <c r="A5309" s="77" t="s">
        <v>3667</v>
      </c>
      <c r="B5309" s="76" t="s">
        <v>11198</v>
      </c>
    </row>
    <row r="5310" spans="1:2" ht="15">
      <c r="A5310" s="77" t="s">
        <v>9200</v>
      </c>
      <c r="B5310" s="76" t="s">
        <v>11198</v>
      </c>
    </row>
    <row r="5311" spans="1:2" ht="15">
      <c r="A5311" s="77" t="s">
        <v>9201</v>
      </c>
      <c r="B5311" s="76" t="s">
        <v>11198</v>
      </c>
    </row>
    <row r="5312" spans="1:2" ht="15">
      <c r="A5312" s="77" t="s">
        <v>9202</v>
      </c>
      <c r="B5312" s="76" t="s">
        <v>11198</v>
      </c>
    </row>
    <row r="5313" spans="1:2" ht="15">
      <c r="A5313" s="77" t="s">
        <v>9203</v>
      </c>
      <c r="B5313" s="76" t="s">
        <v>11198</v>
      </c>
    </row>
    <row r="5314" spans="1:2" ht="15">
      <c r="A5314" s="77" t="s">
        <v>9204</v>
      </c>
      <c r="B5314" s="76" t="s">
        <v>11198</v>
      </c>
    </row>
    <row r="5315" spans="1:2" ht="15">
      <c r="A5315" s="77" t="s">
        <v>9205</v>
      </c>
      <c r="B5315" s="76" t="s">
        <v>11198</v>
      </c>
    </row>
    <row r="5316" spans="1:2" ht="15">
      <c r="A5316" s="77" t="s">
        <v>9206</v>
      </c>
      <c r="B5316" s="76" t="s">
        <v>11198</v>
      </c>
    </row>
    <row r="5317" spans="1:2" ht="15">
      <c r="A5317" s="77" t="s">
        <v>9207</v>
      </c>
      <c r="B5317" s="76" t="s">
        <v>11198</v>
      </c>
    </row>
    <row r="5318" spans="1:2" ht="15">
      <c r="A5318" s="77" t="s">
        <v>9208</v>
      </c>
      <c r="B5318" s="76" t="s">
        <v>11198</v>
      </c>
    </row>
    <row r="5319" spans="1:2" ht="15">
      <c r="A5319" s="77" t="s">
        <v>9209</v>
      </c>
      <c r="B5319" s="76" t="s">
        <v>11198</v>
      </c>
    </row>
    <row r="5320" spans="1:2" ht="15">
      <c r="A5320" s="77" t="s">
        <v>9210</v>
      </c>
      <c r="B5320" s="76" t="s">
        <v>11198</v>
      </c>
    </row>
    <row r="5321" spans="1:2" ht="15">
      <c r="A5321" s="77" t="s">
        <v>9211</v>
      </c>
      <c r="B5321" s="76" t="s">
        <v>11198</v>
      </c>
    </row>
    <row r="5322" spans="1:2" ht="15">
      <c r="A5322" s="77" t="s">
        <v>9212</v>
      </c>
      <c r="B5322" s="76" t="s">
        <v>11198</v>
      </c>
    </row>
    <row r="5323" spans="1:2" ht="15">
      <c r="A5323" s="77" t="s">
        <v>9213</v>
      </c>
      <c r="B5323" s="76" t="s">
        <v>11198</v>
      </c>
    </row>
    <row r="5324" spans="1:2" ht="15">
      <c r="A5324" s="77" t="s">
        <v>9214</v>
      </c>
      <c r="B5324" s="76" t="s">
        <v>11198</v>
      </c>
    </row>
    <row r="5325" spans="1:2" ht="15">
      <c r="A5325" s="77" t="s">
        <v>9215</v>
      </c>
      <c r="B5325" s="76" t="s">
        <v>11198</v>
      </c>
    </row>
    <row r="5326" spans="1:2" ht="15">
      <c r="A5326" s="77" t="s">
        <v>9216</v>
      </c>
      <c r="B5326" s="76" t="s">
        <v>11198</v>
      </c>
    </row>
    <row r="5327" spans="1:2" ht="15">
      <c r="A5327" s="77" t="s">
        <v>9217</v>
      </c>
      <c r="B5327" s="76" t="s">
        <v>11198</v>
      </c>
    </row>
    <row r="5328" spans="1:2" ht="15">
      <c r="A5328" s="77" t="s">
        <v>9218</v>
      </c>
      <c r="B5328" s="76" t="s">
        <v>11198</v>
      </c>
    </row>
    <row r="5329" spans="1:2" ht="15">
      <c r="A5329" s="77" t="s">
        <v>9219</v>
      </c>
      <c r="B5329" s="76" t="s">
        <v>11198</v>
      </c>
    </row>
    <row r="5330" spans="1:2" ht="15">
      <c r="A5330" s="77" t="s">
        <v>9220</v>
      </c>
      <c r="B5330" s="76" t="s">
        <v>11198</v>
      </c>
    </row>
    <row r="5331" spans="1:2" ht="15">
      <c r="A5331" s="77" t="s">
        <v>9221</v>
      </c>
      <c r="B5331" s="76" t="s">
        <v>11198</v>
      </c>
    </row>
    <row r="5332" spans="1:2" ht="15">
      <c r="A5332" s="77" t="s">
        <v>9222</v>
      </c>
      <c r="B5332" s="76" t="s">
        <v>11198</v>
      </c>
    </row>
    <row r="5333" spans="1:2" ht="15">
      <c r="A5333" s="77" t="s">
        <v>9223</v>
      </c>
      <c r="B5333" s="76" t="s">
        <v>11198</v>
      </c>
    </row>
    <row r="5334" spans="1:2" ht="15">
      <c r="A5334" s="77" t="s">
        <v>9224</v>
      </c>
      <c r="B5334" s="76" t="s">
        <v>11198</v>
      </c>
    </row>
    <row r="5335" spans="1:2" ht="15">
      <c r="A5335" s="77" t="s">
        <v>9225</v>
      </c>
      <c r="B5335" s="76" t="s">
        <v>11198</v>
      </c>
    </row>
    <row r="5336" spans="1:2" ht="15">
      <c r="A5336" s="77" t="s">
        <v>9226</v>
      </c>
      <c r="B5336" s="76" t="s">
        <v>11198</v>
      </c>
    </row>
    <row r="5337" spans="1:2" ht="15">
      <c r="A5337" s="77" t="s">
        <v>9227</v>
      </c>
      <c r="B5337" s="76" t="s">
        <v>11198</v>
      </c>
    </row>
    <row r="5338" spans="1:2" ht="15">
      <c r="A5338" s="77" t="s">
        <v>9228</v>
      </c>
      <c r="B5338" s="76" t="s">
        <v>11198</v>
      </c>
    </row>
    <row r="5339" spans="1:2" ht="15">
      <c r="A5339" s="77" t="s">
        <v>9229</v>
      </c>
      <c r="B5339" s="76" t="s">
        <v>11198</v>
      </c>
    </row>
    <row r="5340" spans="1:2" ht="15">
      <c r="A5340" s="77" t="s">
        <v>9230</v>
      </c>
      <c r="B5340" s="76" t="s">
        <v>11198</v>
      </c>
    </row>
    <row r="5341" spans="1:2" ht="15">
      <c r="A5341" s="77" t="s">
        <v>9231</v>
      </c>
      <c r="B5341" s="76" t="s">
        <v>11198</v>
      </c>
    </row>
    <row r="5342" spans="1:2" ht="15">
      <c r="A5342" s="77" t="s">
        <v>9232</v>
      </c>
      <c r="B5342" s="76" t="s">
        <v>11198</v>
      </c>
    </row>
    <row r="5343" spans="1:2" ht="15">
      <c r="A5343" s="77" t="s">
        <v>9233</v>
      </c>
      <c r="B5343" s="76" t="s">
        <v>11198</v>
      </c>
    </row>
    <row r="5344" spans="1:2" ht="15">
      <c r="A5344" s="77" t="s">
        <v>9234</v>
      </c>
      <c r="B5344" s="76" t="s">
        <v>11198</v>
      </c>
    </row>
    <row r="5345" spans="1:2" ht="15">
      <c r="A5345" s="77" t="s">
        <v>9235</v>
      </c>
      <c r="B5345" s="76" t="s">
        <v>11198</v>
      </c>
    </row>
    <row r="5346" spans="1:2" ht="15">
      <c r="A5346" s="77" t="s">
        <v>9236</v>
      </c>
      <c r="B5346" s="76" t="s">
        <v>11198</v>
      </c>
    </row>
    <row r="5347" spans="1:2" ht="15">
      <c r="A5347" s="77" t="s">
        <v>9237</v>
      </c>
      <c r="B5347" s="76" t="s">
        <v>11198</v>
      </c>
    </row>
    <row r="5348" spans="1:2" ht="15">
      <c r="A5348" s="77" t="s">
        <v>9238</v>
      </c>
      <c r="B5348" s="76" t="s">
        <v>11198</v>
      </c>
    </row>
    <row r="5349" spans="1:2" ht="15">
      <c r="A5349" s="77" t="s">
        <v>9239</v>
      </c>
      <c r="B5349" s="76" t="s">
        <v>11198</v>
      </c>
    </row>
    <row r="5350" spans="1:2" ht="15">
      <c r="A5350" s="77" t="s">
        <v>9240</v>
      </c>
      <c r="B5350" s="76" t="s">
        <v>11198</v>
      </c>
    </row>
    <row r="5351" spans="1:2" ht="15">
      <c r="A5351" s="77" t="s">
        <v>9241</v>
      </c>
      <c r="B5351" s="76" t="s">
        <v>11198</v>
      </c>
    </row>
    <row r="5352" spans="1:2" ht="15">
      <c r="A5352" s="77" t="s">
        <v>9242</v>
      </c>
      <c r="B5352" s="76" t="s">
        <v>11198</v>
      </c>
    </row>
    <row r="5353" spans="1:2" ht="15">
      <c r="A5353" s="77" t="s">
        <v>9243</v>
      </c>
      <c r="B5353" s="76" t="s">
        <v>11198</v>
      </c>
    </row>
    <row r="5354" spans="1:2" ht="15">
      <c r="A5354" s="77" t="s">
        <v>9244</v>
      </c>
      <c r="B5354" s="76" t="s">
        <v>11198</v>
      </c>
    </row>
    <row r="5355" spans="1:2" ht="15">
      <c r="A5355" s="77" t="s">
        <v>9245</v>
      </c>
      <c r="B5355" s="76" t="s">
        <v>11198</v>
      </c>
    </row>
    <row r="5356" spans="1:2" ht="15">
      <c r="A5356" s="77" t="s">
        <v>9246</v>
      </c>
      <c r="B5356" s="76" t="s">
        <v>11198</v>
      </c>
    </row>
    <row r="5357" spans="1:2" ht="15">
      <c r="A5357" s="77" t="s">
        <v>9247</v>
      </c>
      <c r="B5357" s="76" t="s">
        <v>11198</v>
      </c>
    </row>
    <row r="5358" spans="1:2" ht="15">
      <c r="A5358" s="77" t="s">
        <v>9248</v>
      </c>
      <c r="B5358" s="76" t="s">
        <v>11198</v>
      </c>
    </row>
    <row r="5359" spans="1:2" ht="15">
      <c r="A5359" s="77" t="s">
        <v>9249</v>
      </c>
      <c r="B5359" s="76" t="s">
        <v>11198</v>
      </c>
    </row>
    <row r="5360" spans="1:2" ht="15">
      <c r="A5360" s="77" t="s">
        <v>9250</v>
      </c>
      <c r="B5360" s="76" t="s">
        <v>11198</v>
      </c>
    </row>
    <row r="5361" spans="1:2" ht="15">
      <c r="A5361" s="77" t="s">
        <v>9251</v>
      </c>
      <c r="B5361" s="76" t="s">
        <v>11198</v>
      </c>
    </row>
    <row r="5362" spans="1:2" ht="15">
      <c r="A5362" s="77" t="s">
        <v>9252</v>
      </c>
      <c r="B5362" s="76" t="s">
        <v>11198</v>
      </c>
    </row>
    <row r="5363" spans="1:2" ht="15">
      <c r="A5363" s="77" t="s">
        <v>9253</v>
      </c>
      <c r="B5363" s="76" t="s">
        <v>11198</v>
      </c>
    </row>
    <row r="5364" spans="1:2" ht="15">
      <c r="A5364" s="77" t="s">
        <v>9254</v>
      </c>
      <c r="B5364" s="76" t="s">
        <v>11198</v>
      </c>
    </row>
    <row r="5365" spans="1:2" ht="15">
      <c r="A5365" s="77" t="s">
        <v>9255</v>
      </c>
      <c r="B5365" s="76" t="s">
        <v>11198</v>
      </c>
    </row>
    <row r="5366" spans="1:2" ht="15">
      <c r="A5366" s="77" t="s">
        <v>9256</v>
      </c>
      <c r="B5366" s="76" t="s">
        <v>11198</v>
      </c>
    </row>
    <row r="5367" spans="1:2" ht="15">
      <c r="A5367" s="77" t="s">
        <v>9257</v>
      </c>
      <c r="B5367" s="76" t="s">
        <v>11198</v>
      </c>
    </row>
    <row r="5368" spans="1:2" ht="15">
      <c r="A5368" s="77" t="s">
        <v>9258</v>
      </c>
      <c r="B5368" s="76" t="s">
        <v>11198</v>
      </c>
    </row>
    <row r="5369" spans="1:2" ht="15">
      <c r="A5369" s="77" t="s">
        <v>9259</v>
      </c>
      <c r="B5369" s="76" t="s">
        <v>11198</v>
      </c>
    </row>
    <row r="5370" spans="1:2" ht="15">
      <c r="A5370" s="77" t="s">
        <v>9260</v>
      </c>
      <c r="B5370" s="76" t="s">
        <v>11198</v>
      </c>
    </row>
    <row r="5371" spans="1:2" ht="15">
      <c r="A5371" s="77" t="s">
        <v>9261</v>
      </c>
      <c r="B5371" s="76" t="s">
        <v>11198</v>
      </c>
    </row>
    <row r="5372" spans="1:2" ht="15">
      <c r="A5372" s="77" t="s">
        <v>9262</v>
      </c>
      <c r="B5372" s="76" t="s">
        <v>11198</v>
      </c>
    </row>
    <row r="5373" spans="1:2" ht="15">
      <c r="A5373" s="77" t="s">
        <v>9263</v>
      </c>
      <c r="B5373" s="76" t="s">
        <v>11198</v>
      </c>
    </row>
    <row r="5374" spans="1:2" ht="15">
      <c r="A5374" s="77" t="s">
        <v>9264</v>
      </c>
      <c r="B5374" s="76" t="s">
        <v>11198</v>
      </c>
    </row>
    <row r="5375" spans="1:2" ht="15">
      <c r="A5375" s="77" t="s">
        <v>9265</v>
      </c>
      <c r="B5375" s="76" t="s">
        <v>11198</v>
      </c>
    </row>
    <row r="5376" spans="1:2" ht="15">
      <c r="A5376" s="77" t="s">
        <v>9266</v>
      </c>
      <c r="B5376" s="76" t="s">
        <v>11198</v>
      </c>
    </row>
    <row r="5377" spans="1:2" ht="15">
      <c r="A5377" s="77" t="s">
        <v>9267</v>
      </c>
      <c r="B5377" s="76" t="s">
        <v>11198</v>
      </c>
    </row>
    <row r="5378" spans="1:2" ht="15">
      <c r="A5378" s="77" t="s">
        <v>9268</v>
      </c>
      <c r="B5378" s="76" t="s">
        <v>11198</v>
      </c>
    </row>
    <row r="5379" spans="1:2" ht="15">
      <c r="A5379" s="77" t="s">
        <v>9269</v>
      </c>
      <c r="B5379" s="76" t="s">
        <v>11198</v>
      </c>
    </row>
    <row r="5380" spans="1:2" ht="15">
      <c r="A5380" s="77" t="s">
        <v>9270</v>
      </c>
      <c r="B5380" s="76" t="s">
        <v>11198</v>
      </c>
    </row>
    <row r="5381" spans="1:2" ht="15">
      <c r="A5381" s="77" t="s">
        <v>9271</v>
      </c>
      <c r="B5381" s="76" t="s">
        <v>11198</v>
      </c>
    </row>
    <row r="5382" spans="1:2" ht="15">
      <c r="A5382" s="77" t="s">
        <v>9272</v>
      </c>
      <c r="B5382" s="76" t="s">
        <v>11198</v>
      </c>
    </row>
    <row r="5383" spans="1:2" ht="15">
      <c r="A5383" s="77" t="s">
        <v>9273</v>
      </c>
      <c r="B5383" s="76" t="s">
        <v>11198</v>
      </c>
    </row>
    <row r="5384" spans="1:2" ht="15">
      <c r="A5384" s="77" t="s">
        <v>9274</v>
      </c>
      <c r="B5384" s="76" t="s">
        <v>11198</v>
      </c>
    </row>
    <row r="5385" spans="1:2" ht="15">
      <c r="A5385" s="77" t="s">
        <v>9275</v>
      </c>
      <c r="B5385" s="76" t="s">
        <v>11198</v>
      </c>
    </row>
    <row r="5386" spans="1:2" ht="15">
      <c r="A5386" s="77" t="s">
        <v>9276</v>
      </c>
      <c r="B5386" s="76" t="s">
        <v>11198</v>
      </c>
    </row>
    <row r="5387" spans="1:2" ht="15">
      <c r="A5387" s="77" t="s">
        <v>9277</v>
      </c>
      <c r="B5387" s="76" t="s">
        <v>11198</v>
      </c>
    </row>
    <row r="5388" spans="1:2" ht="15">
      <c r="A5388" s="77" t="s">
        <v>9278</v>
      </c>
      <c r="B5388" s="76" t="s">
        <v>11198</v>
      </c>
    </row>
    <row r="5389" spans="1:2" ht="15">
      <c r="A5389" s="77" t="s">
        <v>9279</v>
      </c>
      <c r="B5389" s="76" t="s">
        <v>11198</v>
      </c>
    </row>
    <row r="5390" spans="1:2" ht="15">
      <c r="A5390" s="77" t="s">
        <v>9280</v>
      </c>
      <c r="B5390" s="76" t="s">
        <v>11198</v>
      </c>
    </row>
    <row r="5391" spans="1:2" ht="15">
      <c r="A5391" s="77" t="s">
        <v>9281</v>
      </c>
      <c r="B5391" s="76" t="s">
        <v>11198</v>
      </c>
    </row>
    <row r="5392" spans="1:2" ht="15">
      <c r="A5392" s="77" t="s">
        <v>9282</v>
      </c>
      <c r="B5392" s="76" t="s">
        <v>11198</v>
      </c>
    </row>
    <row r="5393" spans="1:2" ht="15">
      <c r="A5393" s="77" t="s">
        <v>9283</v>
      </c>
      <c r="B5393" s="76" t="s">
        <v>11198</v>
      </c>
    </row>
    <row r="5394" spans="1:2" ht="15">
      <c r="A5394" s="77" t="s">
        <v>9284</v>
      </c>
      <c r="B5394" s="76" t="s">
        <v>11198</v>
      </c>
    </row>
    <row r="5395" spans="1:2" ht="15">
      <c r="A5395" s="77" t="s">
        <v>9285</v>
      </c>
      <c r="B5395" s="76" t="s">
        <v>11198</v>
      </c>
    </row>
    <row r="5396" spans="1:2" ht="15">
      <c r="A5396" s="77" t="s">
        <v>9286</v>
      </c>
      <c r="B5396" s="76" t="s">
        <v>11198</v>
      </c>
    </row>
    <row r="5397" spans="1:2" ht="15">
      <c r="A5397" s="77" t="s">
        <v>9287</v>
      </c>
      <c r="B5397" s="76" t="s">
        <v>11198</v>
      </c>
    </row>
    <row r="5398" spans="1:2" ht="15">
      <c r="A5398" s="77" t="s">
        <v>9288</v>
      </c>
      <c r="B5398" s="76" t="s">
        <v>11198</v>
      </c>
    </row>
    <row r="5399" spans="1:2" ht="15">
      <c r="A5399" s="77" t="s">
        <v>9289</v>
      </c>
      <c r="B5399" s="76" t="s">
        <v>11198</v>
      </c>
    </row>
    <row r="5400" spans="1:2" ht="15">
      <c r="A5400" s="77" t="s">
        <v>9290</v>
      </c>
      <c r="B5400" s="76" t="s">
        <v>11198</v>
      </c>
    </row>
    <row r="5401" spans="1:2" ht="15">
      <c r="A5401" s="77" t="s">
        <v>9291</v>
      </c>
      <c r="B5401" s="76" t="s">
        <v>11198</v>
      </c>
    </row>
    <row r="5402" spans="1:2" ht="15">
      <c r="A5402" s="77" t="s">
        <v>9292</v>
      </c>
      <c r="B5402" s="76" t="s">
        <v>11198</v>
      </c>
    </row>
    <row r="5403" spans="1:2" ht="15">
      <c r="A5403" s="77" t="s">
        <v>9293</v>
      </c>
      <c r="B5403" s="76" t="s">
        <v>11198</v>
      </c>
    </row>
    <row r="5404" spans="1:2" ht="15">
      <c r="A5404" s="77" t="s">
        <v>9294</v>
      </c>
      <c r="B5404" s="76" t="s">
        <v>11198</v>
      </c>
    </row>
    <row r="5405" spans="1:2" ht="15">
      <c r="A5405" s="77" t="s">
        <v>9295</v>
      </c>
      <c r="B5405" s="76" t="s">
        <v>11198</v>
      </c>
    </row>
    <row r="5406" spans="1:2" ht="15">
      <c r="A5406" s="77" t="s">
        <v>9296</v>
      </c>
      <c r="B5406" s="76" t="s">
        <v>11198</v>
      </c>
    </row>
    <row r="5407" spans="1:2" ht="15">
      <c r="A5407" s="77" t="s">
        <v>9297</v>
      </c>
      <c r="B5407" s="76" t="s">
        <v>11198</v>
      </c>
    </row>
    <row r="5408" spans="1:2" ht="15">
      <c r="A5408" s="77" t="s">
        <v>9298</v>
      </c>
      <c r="B5408" s="76" t="s">
        <v>11198</v>
      </c>
    </row>
    <row r="5409" spans="1:2" ht="15">
      <c r="A5409" s="77" t="s">
        <v>9299</v>
      </c>
      <c r="B5409" s="76" t="s">
        <v>11198</v>
      </c>
    </row>
    <row r="5410" spans="1:2" ht="15">
      <c r="A5410" s="77" t="s">
        <v>9300</v>
      </c>
      <c r="B5410" s="76" t="s">
        <v>11198</v>
      </c>
    </row>
    <row r="5411" spans="1:2" ht="15">
      <c r="A5411" s="77" t="s">
        <v>9301</v>
      </c>
      <c r="B5411" s="76" t="s">
        <v>11198</v>
      </c>
    </row>
    <row r="5412" spans="1:2" ht="15">
      <c r="A5412" s="77" t="s">
        <v>9302</v>
      </c>
      <c r="B5412" s="76" t="s">
        <v>11198</v>
      </c>
    </row>
    <row r="5413" spans="1:2" ht="15">
      <c r="A5413" s="77" t="s">
        <v>9303</v>
      </c>
      <c r="B5413" s="76" t="s">
        <v>11198</v>
      </c>
    </row>
    <row r="5414" spans="1:2" ht="15">
      <c r="A5414" s="77" t="s">
        <v>9304</v>
      </c>
      <c r="B5414" s="76" t="s">
        <v>11198</v>
      </c>
    </row>
    <row r="5415" spans="1:2" ht="15">
      <c r="A5415" s="77" t="s">
        <v>9305</v>
      </c>
      <c r="B5415" s="76" t="s">
        <v>11198</v>
      </c>
    </row>
    <row r="5416" spans="1:2" ht="15">
      <c r="A5416" s="77" t="s">
        <v>9306</v>
      </c>
      <c r="B5416" s="76" t="s">
        <v>11198</v>
      </c>
    </row>
    <row r="5417" spans="1:2" ht="15">
      <c r="A5417" s="77" t="s">
        <v>9307</v>
      </c>
      <c r="B5417" s="76" t="s">
        <v>11198</v>
      </c>
    </row>
    <row r="5418" spans="1:2" ht="15">
      <c r="A5418" s="77" t="s">
        <v>9308</v>
      </c>
      <c r="B5418" s="76" t="s">
        <v>11198</v>
      </c>
    </row>
    <row r="5419" spans="1:2" ht="15">
      <c r="A5419" s="77" t="s">
        <v>9309</v>
      </c>
      <c r="B5419" s="76" t="s">
        <v>11198</v>
      </c>
    </row>
    <row r="5420" spans="1:2" ht="15">
      <c r="A5420" s="77" t="s">
        <v>9310</v>
      </c>
      <c r="B5420" s="76" t="s">
        <v>11198</v>
      </c>
    </row>
    <row r="5421" spans="1:2" ht="15">
      <c r="A5421" s="77" t="s">
        <v>9311</v>
      </c>
      <c r="B5421" s="76" t="s">
        <v>11198</v>
      </c>
    </row>
    <row r="5422" spans="1:2" ht="15">
      <c r="A5422" s="77" t="s">
        <v>9312</v>
      </c>
      <c r="B5422" s="76" t="s">
        <v>11198</v>
      </c>
    </row>
    <row r="5423" spans="1:2" ht="15">
      <c r="A5423" s="77" t="s">
        <v>9313</v>
      </c>
      <c r="B5423" s="76" t="s">
        <v>11198</v>
      </c>
    </row>
    <row r="5424" spans="1:2" ht="15">
      <c r="A5424" s="77" t="s">
        <v>9314</v>
      </c>
      <c r="B5424" s="76" t="s">
        <v>11198</v>
      </c>
    </row>
    <row r="5425" spans="1:2" ht="15">
      <c r="A5425" s="77" t="s">
        <v>9315</v>
      </c>
      <c r="B5425" s="76" t="s">
        <v>11198</v>
      </c>
    </row>
    <row r="5426" spans="1:2" ht="15">
      <c r="A5426" s="77" t="s">
        <v>9316</v>
      </c>
      <c r="B5426" s="76" t="s">
        <v>11198</v>
      </c>
    </row>
    <row r="5427" spans="1:2" ht="15">
      <c r="A5427" s="77" t="s">
        <v>9317</v>
      </c>
      <c r="B5427" s="76" t="s">
        <v>11198</v>
      </c>
    </row>
    <row r="5428" spans="1:2" ht="15">
      <c r="A5428" s="77" t="s">
        <v>9318</v>
      </c>
      <c r="B5428" s="76" t="s">
        <v>11198</v>
      </c>
    </row>
    <row r="5429" spans="1:2" ht="15">
      <c r="A5429" s="77" t="s">
        <v>9319</v>
      </c>
      <c r="B5429" s="76" t="s">
        <v>11198</v>
      </c>
    </row>
    <row r="5430" spans="1:2" ht="15">
      <c r="A5430" s="77" t="s">
        <v>9320</v>
      </c>
      <c r="B5430" s="76" t="s">
        <v>11198</v>
      </c>
    </row>
    <row r="5431" spans="1:2" ht="15">
      <c r="A5431" s="77" t="s">
        <v>9321</v>
      </c>
      <c r="B5431" s="76" t="s">
        <v>11198</v>
      </c>
    </row>
    <row r="5432" spans="1:2" ht="15">
      <c r="A5432" s="77" t="s">
        <v>9322</v>
      </c>
      <c r="B5432" s="76" t="s">
        <v>11198</v>
      </c>
    </row>
    <row r="5433" spans="1:2" ht="15">
      <c r="A5433" s="77" t="s">
        <v>9323</v>
      </c>
      <c r="B5433" s="76" t="s">
        <v>11198</v>
      </c>
    </row>
    <row r="5434" spans="1:2" ht="15">
      <c r="A5434" s="77" t="s">
        <v>9324</v>
      </c>
      <c r="B5434" s="76" t="s">
        <v>11198</v>
      </c>
    </row>
    <row r="5435" spans="1:2" ht="15">
      <c r="A5435" s="77" t="s">
        <v>9325</v>
      </c>
      <c r="B5435" s="76" t="s">
        <v>11198</v>
      </c>
    </row>
    <row r="5436" spans="1:2" ht="15">
      <c r="A5436" s="77" t="s">
        <v>9326</v>
      </c>
      <c r="B5436" s="76" t="s">
        <v>11198</v>
      </c>
    </row>
    <row r="5437" spans="1:2" ht="15">
      <c r="A5437" s="77" t="s">
        <v>9327</v>
      </c>
      <c r="B5437" s="76" t="s">
        <v>11198</v>
      </c>
    </row>
    <row r="5438" spans="1:2" ht="15">
      <c r="A5438" s="77" t="s">
        <v>9328</v>
      </c>
      <c r="B5438" s="76" t="s">
        <v>11198</v>
      </c>
    </row>
    <row r="5439" spans="1:2" ht="15">
      <c r="A5439" s="77" t="s">
        <v>9329</v>
      </c>
      <c r="B5439" s="76" t="s">
        <v>11198</v>
      </c>
    </row>
    <row r="5440" spans="1:2" ht="15">
      <c r="A5440" s="77" t="s">
        <v>9330</v>
      </c>
      <c r="B5440" s="76" t="s">
        <v>11198</v>
      </c>
    </row>
    <row r="5441" spans="1:2" ht="15">
      <c r="A5441" s="77" t="s">
        <v>9331</v>
      </c>
      <c r="B5441" s="76" t="s">
        <v>11198</v>
      </c>
    </row>
    <row r="5442" spans="1:2" ht="15">
      <c r="A5442" s="77" t="s">
        <v>9332</v>
      </c>
      <c r="B5442" s="76" t="s">
        <v>11198</v>
      </c>
    </row>
    <row r="5443" spans="1:2" ht="15">
      <c r="A5443" s="77" t="s">
        <v>9333</v>
      </c>
      <c r="B5443" s="76" t="s">
        <v>11198</v>
      </c>
    </row>
    <row r="5444" spans="1:2" ht="15">
      <c r="A5444" s="77" t="s">
        <v>9334</v>
      </c>
      <c r="B5444" s="76" t="s">
        <v>11198</v>
      </c>
    </row>
    <row r="5445" spans="1:2" ht="15">
      <c r="A5445" s="77" t="s">
        <v>9335</v>
      </c>
      <c r="B5445" s="76" t="s">
        <v>11198</v>
      </c>
    </row>
    <row r="5446" spans="1:2" ht="15">
      <c r="A5446" s="77" t="s">
        <v>9336</v>
      </c>
      <c r="B5446" s="76" t="s">
        <v>11198</v>
      </c>
    </row>
    <row r="5447" spans="1:2" ht="15">
      <c r="A5447" s="77" t="s">
        <v>9337</v>
      </c>
      <c r="B5447" s="76" t="s">
        <v>11198</v>
      </c>
    </row>
    <row r="5448" spans="1:2" ht="15">
      <c r="A5448" s="77" t="s">
        <v>9338</v>
      </c>
      <c r="B5448" s="76" t="s">
        <v>11198</v>
      </c>
    </row>
    <row r="5449" spans="1:2" ht="15">
      <c r="A5449" s="77" t="s">
        <v>9339</v>
      </c>
      <c r="B5449" s="76" t="s">
        <v>11198</v>
      </c>
    </row>
    <row r="5450" spans="1:2" ht="15">
      <c r="A5450" s="77" t="s">
        <v>9340</v>
      </c>
      <c r="B5450" s="76" t="s">
        <v>11198</v>
      </c>
    </row>
    <row r="5451" spans="1:2" ht="15">
      <c r="A5451" s="77" t="s">
        <v>9341</v>
      </c>
      <c r="B5451" s="76" t="s">
        <v>11198</v>
      </c>
    </row>
    <row r="5452" spans="1:2" ht="15">
      <c r="A5452" s="77" t="s">
        <v>9342</v>
      </c>
      <c r="B5452" s="76" t="s">
        <v>11198</v>
      </c>
    </row>
    <row r="5453" spans="1:2" ht="15">
      <c r="A5453" s="77" t="s">
        <v>9343</v>
      </c>
      <c r="B5453" s="76" t="s">
        <v>11198</v>
      </c>
    </row>
    <row r="5454" spans="1:2" ht="15">
      <c r="A5454" s="77" t="s">
        <v>9344</v>
      </c>
      <c r="B5454" s="76" t="s">
        <v>11198</v>
      </c>
    </row>
    <row r="5455" spans="1:2" ht="15">
      <c r="A5455" s="77" t="s">
        <v>9345</v>
      </c>
      <c r="B5455" s="76" t="s">
        <v>11198</v>
      </c>
    </row>
    <row r="5456" spans="1:2" ht="15">
      <c r="A5456" s="77" t="s">
        <v>9346</v>
      </c>
      <c r="B5456" s="76" t="s">
        <v>11198</v>
      </c>
    </row>
    <row r="5457" spans="1:2" ht="15">
      <c r="A5457" s="77" t="s">
        <v>9347</v>
      </c>
      <c r="B5457" s="76" t="s">
        <v>11198</v>
      </c>
    </row>
    <row r="5458" spans="1:2" ht="15">
      <c r="A5458" s="77" t="s">
        <v>9348</v>
      </c>
      <c r="B5458" s="76" t="s">
        <v>11198</v>
      </c>
    </row>
    <row r="5459" spans="1:2" ht="15">
      <c r="A5459" s="77" t="s">
        <v>9349</v>
      </c>
      <c r="B5459" s="76" t="s">
        <v>11198</v>
      </c>
    </row>
    <row r="5460" spans="1:2" ht="15">
      <c r="A5460" s="77" t="s">
        <v>9350</v>
      </c>
      <c r="B5460" s="76" t="s">
        <v>11198</v>
      </c>
    </row>
    <row r="5461" spans="1:2" ht="15">
      <c r="A5461" s="77" t="s">
        <v>9351</v>
      </c>
      <c r="B5461" s="76" t="s">
        <v>11198</v>
      </c>
    </row>
    <row r="5462" spans="1:2" ht="15">
      <c r="A5462" s="77" t="s">
        <v>9352</v>
      </c>
      <c r="B5462" s="76" t="s">
        <v>11198</v>
      </c>
    </row>
    <row r="5463" spans="1:2" ht="15">
      <c r="A5463" s="77" t="s">
        <v>9353</v>
      </c>
      <c r="B5463" s="76" t="s">
        <v>11198</v>
      </c>
    </row>
    <row r="5464" spans="1:2" ht="15">
      <c r="A5464" s="77" t="s">
        <v>9354</v>
      </c>
      <c r="B5464" s="76" t="s">
        <v>11198</v>
      </c>
    </row>
    <row r="5465" spans="1:2" ht="15">
      <c r="A5465" s="77" t="s">
        <v>9355</v>
      </c>
      <c r="B5465" s="76" t="s">
        <v>11198</v>
      </c>
    </row>
    <row r="5466" spans="1:2" ht="15">
      <c r="A5466" s="77" t="s">
        <v>9356</v>
      </c>
      <c r="B5466" s="76" t="s">
        <v>11198</v>
      </c>
    </row>
    <row r="5467" spans="1:2" ht="15">
      <c r="A5467" s="77" t="s">
        <v>9357</v>
      </c>
      <c r="B5467" s="76" t="s">
        <v>11198</v>
      </c>
    </row>
    <row r="5468" spans="1:2" ht="15">
      <c r="A5468" s="77" t="s">
        <v>9358</v>
      </c>
      <c r="B5468" s="76" t="s">
        <v>11198</v>
      </c>
    </row>
    <row r="5469" spans="1:2" ht="15">
      <c r="A5469" s="77" t="s">
        <v>9359</v>
      </c>
      <c r="B5469" s="76" t="s">
        <v>11198</v>
      </c>
    </row>
    <row r="5470" spans="1:2" ht="15">
      <c r="A5470" s="77" t="s">
        <v>9360</v>
      </c>
      <c r="B5470" s="76" t="s">
        <v>11198</v>
      </c>
    </row>
    <row r="5471" spans="1:2" ht="15">
      <c r="A5471" s="77" t="s">
        <v>9361</v>
      </c>
      <c r="B5471" s="76" t="s">
        <v>11198</v>
      </c>
    </row>
    <row r="5472" spans="1:2" ht="15">
      <c r="A5472" s="77" t="s">
        <v>9362</v>
      </c>
      <c r="B5472" s="76" t="s">
        <v>11198</v>
      </c>
    </row>
    <row r="5473" spans="1:2" ht="15">
      <c r="A5473" s="77" t="s">
        <v>9363</v>
      </c>
      <c r="B5473" s="76" t="s">
        <v>11198</v>
      </c>
    </row>
    <row r="5474" spans="1:2" ht="15">
      <c r="A5474" s="77" t="s">
        <v>9364</v>
      </c>
      <c r="B5474" s="76" t="s">
        <v>11198</v>
      </c>
    </row>
    <row r="5475" spans="1:2" ht="15">
      <c r="A5475" s="77" t="s">
        <v>9365</v>
      </c>
      <c r="B5475" s="76" t="s">
        <v>11198</v>
      </c>
    </row>
    <row r="5476" spans="1:2" ht="15">
      <c r="A5476" s="77" t="s">
        <v>9366</v>
      </c>
      <c r="B5476" s="76" t="s">
        <v>11198</v>
      </c>
    </row>
    <row r="5477" spans="1:2" ht="15">
      <c r="A5477" s="77" t="s">
        <v>9367</v>
      </c>
      <c r="B5477" s="76" t="s">
        <v>11198</v>
      </c>
    </row>
    <row r="5478" spans="1:2" ht="15">
      <c r="A5478" s="77" t="s">
        <v>9368</v>
      </c>
      <c r="B5478" s="76" t="s">
        <v>11198</v>
      </c>
    </row>
    <row r="5479" spans="1:2" ht="15">
      <c r="A5479" s="77" t="s">
        <v>9369</v>
      </c>
      <c r="B5479" s="76" t="s">
        <v>11198</v>
      </c>
    </row>
    <row r="5480" spans="1:2" ht="15">
      <c r="A5480" s="77" t="s">
        <v>9370</v>
      </c>
      <c r="B5480" s="76" t="s">
        <v>11198</v>
      </c>
    </row>
    <row r="5481" spans="1:2" ht="15">
      <c r="A5481" s="77" t="s">
        <v>9371</v>
      </c>
      <c r="B5481" s="76" t="s">
        <v>11198</v>
      </c>
    </row>
    <row r="5482" spans="1:2" ht="15">
      <c r="A5482" s="77" t="s">
        <v>9372</v>
      </c>
      <c r="B5482" s="76" t="s">
        <v>11198</v>
      </c>
    </row>
    <row r="5483" spans="1:2" ht="15">
      <c r="A5483" s="77" t="s">
        <v>9373</v>
      </c>
      <c r="B5483" s="76" t="s">
        <v>11198</v>
      </c>
    </row>
    <row r="5484" spans="1:2" ht="15">
      <c r="A5484" s="77" t="s">
        <v>9374</v>
      </c>
      <c r="B5484" s="76" t="s">
        <v>11198</v>
      </c>
    </row>
    <row r="5485" spans="1:2" ht="15">
      <c r="A5485" s="77" t="s">
        <v>9375</v>
      </c>
      <c r="B5485" s="76" t="s">
        <v>11198</v>
      </c>
    </row>
    <row r="5486" spans="1:2" ht="15">
      <c r="A5486" s="77" t="s">
        <v>9376</v>
      </c>
      <c r="B5486" s="76" t="s">
        <v>11198</v>
      </c>
    </row>
    <row r="5487" spans="1:2" ht="15">
      <c r="A5487" s="77" t="s">
        <v>9377</v>
      </c>
      <c r="B5487" s="76" t="s">
        <v>11198</v>
      </c>
    </row>
    <row r="5488" spans="1:2" ht="15">
      <c r="A5488" s="77" t="s">
        <v>9378</v>
      </c>
      <c r="B5488" s="76" t="s">
        <v>11198</v>
      </c>
    </row>
    <row r="5489" spans="1:2" ht="15">
      <c r="A5489" s="77" t="s">
        <v>9379</v>
      </c>
      <c r="B5489" s="76" t="s">
        <v>11198</v>
      </c>
    </row>
    <row r="5490" spans="1:2" ht="15">
      <c r="A5490" s="77" t="s">
        <v>9380</v>
      </c>
      <c r="B5490" s="76" t="s">
        <v>11198</v>
      </c>
    </row>
    <row r="5491" spans="1:2" ht="15">
      <c r="A5491" s="77" t="s">
        <v>9381</v>
      </c>
      <c r="B5491" s="76" t="s">
        <v>11198</v>
      </c>
    </row>
    <row r="5492" spans="1:2" ht="15">
      <c r="A5492" s="77" t="s">
        <v>9382</v>
      </c>
      <c r="B5492" s="76" t="s">
        <v>11198</v>
      </c>
    </row>
    <row r="5493" spans="1:2" ht="15">
      <c r="A5493" s="77" t="s">
        <v>9383</v>
      </c>
      <c r="B5493" s="76" t="s">
        <v>11198</v>
      </c>
    </row>
    <row r="5494" spans="1:2" ht="15">
      <c r="A5494" s="77" t="s">
        <v>9384</v>
      </c>
      <c r="B5494" s="76" t="s">
        <v>11198</v>
      </c>
    </row>
    <row r="5495" spans="1:2" ht="15">
      <c r="A5495" s="77" t="s">
        <v>9385</v>
      </c>
      <c r="B5495" s="76" t="s">
        <v>11198</v>
      </c>
    </row>
    <row r="5496" spans="1:2" ht="15">
      <c r="A5496" s="77" t="s">
        <v>9386</v>
      </c>
      <c r="B5496" s="76" t="s">
        <v>11198</v>
      </c>
    </row>
    <row r="5497" spans="1:2" ht="15">
      <c r="A5497" s="77" t="s">
        <v>9387</v>
      </c>
      <c r="B5497" s="76" t="s">
        <v>11198</v>
      </c>
    </row>
    <row r="5498" spans="1:2" ht="15">
      <c r="A5498" s="77" t="s">
        <v>9388</v>
      </c>
      <c r="B5498" s="76" t="s">
        <v>11198</v>
      </c>
    </row>
    <row r="5499" spans="1:2" ht="15">
      <c r="A5499" s="77" t="s">
        <v>9389</v>
      </c>
      <c r="B5499" s="76" t="s">
        <v>11198</v>
      </c>
    </row>
    <row r="5500" spans="1:2" ht="15">
      <c r="A5500" s="77" t="s">
        <v>9390</v>
      </c>
      <c r="B5500" s="76" t="s">
        <v>11198</v>
      </c>
    </row>
    <row r="5501" spans="1:2" ht="15">
      <c r="A5501" s="77" t="s">
        <v>9391</v>
      </c>
      <c r="B5501" s="76" t="s">
        <v>11198</v>
      </c>
    </row>
    <row r="5502" spans="1:2" ht="15">
      <c r="A5502" s="77" t="s">
        <v>9392</v>
      </c>
      <c r="B5502" s="76" t="s">
        <v>11198</v>
      </c>
    </row>
    <row r="5503" spans="1:2" ht="15">
      <c r="A5503" s="77" t="s">
        <v>9393</v>
      </c>
      <c r="B5503" s="76" t="s">
        <v>11198</v>
      </c>
    </row>
    <row r="5504" spans="1:2" ht="15">
      <c r="A5504" s="77" t="s">
        <v>9394</v>
      </c>
      <c r="B5504" s="76" t="s">
        <v>11198</v>
      </c>
    </row>
    <row r="5505" spans="1:2" ht="15">
      <c r="A5505" s="77" t="s">
        <v>9395</v>
      </c>
      <c r="B5505" s="76" t="s">
        <v>11198</v>
      </c>
    </row>
    <row r="5506" spans="1:2" ht="15">
      <c r="A5506" s="77" t="s">
        <v>9396</v>
      </c>
      <c r="B5506" s="76" t="s">
        <v>11198</v>
      </c>
    </row>
    <row r="5507" spans="1:2" ht="15">
      <c r="A5507" s="77" t="s">
        <v>9397</v>
      </c>
      <c r="B5507" s="76" t="s">
        <v>11198</v>
      </c>
    </row>
    <row r="5508" spans="1:2" ht="15">
      <c r="A5508" s="77" t="s">
        <v>9398</v>
      </c>
      <c r="B5508" s="76" t="s">
        <v>11198</v>
      </c>
    </row>
    <row r="5509" spans="1:2" ht="15">
      <c r="A5509" s="77" t="s">
        <v>9399</v>
      </c>
      <c r="B5509" s="76" t="s">
        <v>11198</v>
      </c>
    </row>
    <row r="5510" spans="1:2" ht="15">
      <c r="A5510" s="77" t="s">
        <v>9400</v>
      </c>
      <c r="B5510" s="76" t="s">
        <v>11198</v>
      </c>
    </row>
    <row r="5511" spans="1:2" ht="15">
      <c r="A5511" s="77" t="s">
        <v>9401</v>
      </c>
      <c r="B5511" s="76" t="s">
        <v>11198</v>
      </c>
    </row>
    <row r="5512" spans="1:2" ht="15">
      <c r="A5512" s="77" t="s">
        <v>9402</v>
      </c>
      <c r="B5512" s="76" t="s">
        <v>11198</v>
      </c>
    </row>
    <row r="5513" spans="1:2" ht="15">
      <c r="A5513" s="77" t="s">
        <v>9403</v>
      </c>
      <c r="B5513" s="76" t="s">
        <v>11198</v>
      </c>
    </row>
    <row r="5514" spans="1:2" ht="15">
      <c r="A5514" s="77" t="s">
        <v>9404</v>
      </c>
      <c r="B5514" s="76" t="s">
        <v>11198</v>
      </c>
    </row>
    <row r="5515" spans="1:2" ht="15">
      <c r="A5515" s="77" t="s">
        <v>9405</v>
      </c>
      <c r="B5515" s="76" t="s">
        <v>11198</v>
      </c>
    </row>
    <row r="5516" spans="1:2" ht="15">
      <c r="A5516" s="77" t="s">
        <v>9406</v>
      </c>
      <c r="B5516" s="76" t="s">
        <v>11198</v>
      </c>
    </row>
    <row r="5517" spans="1:2" ht="15">
      <c r="A5517" s="77" t="s">
        <v>9407</v>
      </c>
      <c r="B5517" s="76" t="s">
        <v>11198</v>
      </c>
    </row>
    <row r="5518" spans="1:2" ht="15">
      <c r="A5518" s="77" t="s">
        <v>9408</v>
      </c>
      <c r="B5518" s="76" t="s">
        <v>11198</v>
      </c>
    </row>
    <row r="5519" spans="1:2" ht="15">
      <c r="A5519" s="77" t="s">
        <v>9409</v>
      </c>
      <c r="B5519" s="76" t="s">
        <v>11198</v>
      </c>
    </row>
    <row r="5520" spans="1:2" ht="15">
      <c r="A5520" s="77" t="s">
        <v>9410</v>
      </c>
      <c r="B5520" s="76" t="s">
        <v>11198</v>
      </c>
    </row>
    <row r="5521" spans="1:2" ht="15">
      <c r="A5521" s="77" t="s">
        <v>9411</v>
      </c>
      <c r="B5521" s="76" t="s">
        <v>11198</v>
      </c>
    </row>
    <row r="5522" spans="1:2" ht="15">
      <c r="A5522" s="77" t="s">
        <v>9412</v>
      </c>
      <c r="B5522" s="76" t="s">
        <v>11198</v>
      </c>
    </row>
    <row r="5523" spans="1:2" ht="15">
      <c r="A5523" s="77" t="s">
        <v>9413</v>
      </c>
      <c r="B5523" s="76" t="s">
        <v>11198</v>
      </c>
    </row>
    <row r="5524" spans="1:2" ht="15">
      <c r="A5524" s="77" t="s">
        <v>9414</v>
      </c>
      <c r="B5524" s="76" t="s">
        <v>11198</v>
      </c>
    </row>
    <row r="5525" spans="1:2" ht="15">
      <c r="A5525" s="77" t="s">
        <v>9415</v>
      </c>
      <c r="B5525" s="76" t="s">
        <v>11198</v>
      </c>
    </row>
    <row r="5526" spans="1:2" ht="15">
      <c r="A5526" s="77" t="s">
        <v>9416</v>
      </c>
      <c r="B5526" s="76" t="s">
        <v>11198</v>
      </c>
    </row>
    <row r="5527" spans="1:2" ht="15">
      <c r="A5527" s="77" t="s">
        <v>9417</v>
      </c>
      <c r="B5527" s="76" t="s">
        <v>11198</v>
      </c>
    </row>
    <row r="5528" spans="1:2" ht="15">
      <c r="A5528" s="77" t="s">
        <v>9418</v>
      </c>
      <c r="B5528" s="76" t="s">
        <v>11198</v>
      </c>
    </row>
    <row r="5529" spans="1:2" ht="15">
      <c r="A5529" s="77" t="s">
        <v>9419</v>
      </c>
      <c r="B5529" s="76" t="s">
        <v>11198</v>
      </c>
    </row>
    <row r="5530" spans="1:2" ht="15">
      <c r="A5530" s="77" t="s">
        <v>9420</v>
      </c>
      <c r="B5530" s="76" t="s">
        <v>11198</v>
      </c>
    </row>
    <row r="5531" spans="1:2" ht="15">
      <c r="A5531" s="77" t="s">
        <v>9421</v>
      </c>
      <c r="B5531" s="76" t="s">
        <v>11198</v>
      </c>
    </row>
    <row r="5532" spans="1:2" ht="15">
      <c r="A5532" s="77" t="s">
        <v>9422</v>
      </c>
      <c r="B5532" s="76" t="s">
        <v>11198</v>
      </c>
    </row>
    <row r="5533" spans="1:2" ht="15">
      <c r="A5533" s="77" t="s">
        <v>9423</v>
      </c>
      <c r="B5533" s="76" t="s">
        <v>11198</v>
      </c>
    </row>
    <row r="5534" spans="1:2" ht="15">
      <c r="A5534" s="77" t="s">
        <v>9424</v>
      </c>
      <c r="B5534" s="76" t="s">
        <v>11198</v>
      </c>
    </row>
    <row r="5535" spans="1:2" ht="15">
      <c r="A5535" s="77" t="s">
        <v>9425</v>
      </c>
      <c r="B5535" s="76" t="s">
        <v>11198</v>
      </c>
    </row>
    <row r="5536" spans="1:2" ht="15">
      <c r="A5536" s="77" t="s">
        <v>9426</v>
      </c>
      <c r="B5536" s="76" t="s">
        <v>11198</v>
      </c>
    </row>
    <row r="5537" spans="1:2" ht="15">
      <c r="A5537" s="77" t="s">
        <v>9427</v>
      </c>
      <c r="B5537" s="76" t="s">
        <v>11198</v>
      </c>
    </row>
    <row r="5538" spans="1:2" ht="15">
      <c r="A5538" s="77" t="s">
        <v>9428</v>
      </c>
      <c r="B5538" s="76" t="s">
        <v>11198</v>
      </c>
    </row>
    <row r="5539" spans="1:2" ht="15">
      <c r="A5539" s="77" t="s">
        <v>9429</v>
      </c>
      <c r="B5539" s="76" t="s">
        <v>11198</v>
      </c>
    </row>
    <row r="5540" spans="1:2" ht="15">
      <c r="A5540" s="77" t="s">
        <v>9430</v>
      </c>
      <c r="B5540" s="76" t="s">
        <v>11198</v>
      </c>
    </row>
    <row r="5541" spans="1:2" ht="15">
      <c r="A5541" s="77" t="s">
        <v>9431</v>
      </c>
      <c r="B5541" s="76" t="s">
        <v>11198</v>
      </c>
    </row>
    <row r="5542" spans="1:2" ht="15">
      <c r="A5542" s="77" t="s">
        <v>9432</v>
      </c>
      <c r="B5542" s="76" t="s">
        <v>11198</v>
      </c>
    </row>
    <row r="5543" spans="1:2" ht="15">
      <c r="A5543" s="77" t="s">
        <v>9433</v>
      </c>
      <c r="B5543" s="76" t="s">
        <v>11198</v>
      </c>
    </row>
    <row r="5544" spans="1:2" ht="15">
      <c r="A5544" s="77" t="s">
        <v>9434</v>
      </c>
      <c r="B5544" s="76" t="s">
        <v>11198</v>
      </c>
    </row>
    <row r="5545" spans="1:2" ht="15">
      <c r="A5545" s="77" t="s">
        <v>9435</v>
      </c>
      <c r="B5545" s="76" t="s">
        <v>11198</v>
      </c>
    </row>
    <row r="5546" spans="1:2" ht="15">
      <c r="A5546" s="77" t="s">
        <v>9436</v>
      </c>
      <c r="B5546" s="76" t="s">
        <v>11198</v>
      </c>
    </row>
    <row r="5547" spans="1:2" ht="15">
      <c r="A5547" s="77" t="s">
        <v>9437</v>
      </c>
      <c r="B5547" s="76" t="s">
        <v>11198</v>
      </c>
    </row>
    <row r="5548" spans="1:2" ht="15">
      <c r="A5548" s="77" t="s">
        <v>9438</v>
      </c>
      <c r="B5548" s="76" t="s">
        <v>11198</v>
      </c>
    </row>
    <row r="5549" spans="1:2" ht="15">
      <c r="A5549" s="77" t="s">
        <v>9439</v>
      </c>
      <c r="B5549" s="76" t="s">
        <v>11198</v>
      </c>
    </row>
    <row r="5550" spans="1:2" ht="15">
      <c r="A5550" s="77" t="s">
        <v>9440</v>
      </c>
      <c r="B5550" s="76" t="s">
        <v>11198</v>
      </c>
    </row>
    <row r="5551" spans="1:2" ht="15">
      <c r="A5551" s="77" t="s">
        <v>9441</v>
      </c>
      <c r="B5551" s="76" t="s">
        <v>11198</v>
      </c>
    </row>
    <row r="5552" spans="1:2" ht="15">
      <c r="A5552" s="77" t="s">
        <v>9442</v>
      </c>
      <c r="B5552" s="76" t="s">
        <v>11198</v>
      </c>
    </row>
    <row r="5553" spans="1:2" ht="15">
      <c r="A5553" s="77" t="s">
        <v>9443</v>
      </c>
      <c r="B5553" s="76" t="s">
        <v>11198</v>
      </c>
    </row>
    <row r="5554" spans="1:2" ht="15">
      <c r="A5554" s="77" t="s">
        <v>9444</v>
      </c>
      <c r="B5554" s="76" t="s">
        <v>11198</v>
      </c>
    </row>
    <row r="5555" spans="1:2" ht="15">
      <c r="A5555" s="77" t="s">
        <v>9445</v>
      </c>
      <c r="B5555" s="76" t="s">
        <v>11198</v>
      </c>
    </row>
    <row r="5556" spans="1:2" ht="15">
      <c r="A5556" s="77" t="s">
        <v>9446</v>
      </c>
      <c r="B5556" s="76" t="s">
        <v>11198</v>
      </c>
    </row>
    <row r="5557" spans="1:2" ht="15">
      <c r="A5557" s="77" t="s">
        <v>9447</v>
      </c>
      <c r="B5557" s="76" t="s">
        <v>11198</v>
      </c>
    </row>
    <row r="5558" spans="1:2" ht="15">
      <c r="A5558" s="77" t="s">
        <v>9448</v>
      </c>
      <c r="B5558" s="76" t="s">
        <v>11198</v>
      </c>
    </row>
    <row r="5559" spans="1:2" ht="15">
      <c r="A5559" s="77" t="s">
        <v>9449</v>
      </c>
      <c r="B5559" s="76" t="s">
        <v>11198</v>
      </c>
    </row>
    <row r="5560" spans="1:2" ht="15">
      <c r="A5560" s="77" t="s">
        <v>9450</v>
      </c>
      <c r="B5560" s="76" t="s">
        <v>11198</v>
      </c>
    </row>
    <row r="5561" spans="1:2" ht="15">
      <c r="A5561" s="77" t="s">
        <v>9451</v>
      </c>
      <c r="B5561" s="76" t="s">
        <v>11198</v>
      </c>
    </row>
    <row r="5562" spans="1:2" ht="15">
      <c r="A5562" s="77" t="s">
        <v>9452</v>
      </c>
      <c r="B5562" s="76" t="s">
        <v>11198</v>
      </c>
    </row>
    <row r="5563" spans="1:2" ht="15">
      <c r="A5563" s="77" t="s">
        <v>9453</v>
      </c>
      <c r="B5563" s="76" t="s">
        <v>11198</v>
      </c>
    </row>
    <row r="5564" spans="1:2" ht="15">
      <c r="A5564" s="77" t="s">
        <v>9454</v>
      </c>
      <c r="B5564" s="76" t="s">
        <v>11198</v>
      </c>
    </row>
    <row r="5565" spans="1:2" ht="15">
      <c r="A5565" s="77" t="s">
        <v>9455</v>
      </c>
      <c r="B5565" s="76" t="s">
        <v>11198</v>
      </c>
    </row>
    <row r="5566" spans="1:2" ht="15">
      <c r="A5566" s="77" t="s">
        <v>9456</v>
      </c>
      <c r="B5566" s="76" t="s">
        <v>11198</v>
      </c>
    </row>
    <row r="5567" spans="1:2" ht="15">
      <c r="A5567" s="77" t="s">
        <v>9457</v>
      </c>
      <c r="B5567" s="76" t="s">
        <v>11198</v>
      </c>
    </row>
    <row r="5568" spans="1:2" ht="15">
      <c r="A5568" s="77" t="s">
        <v>9458</v>
      </c>
      <c r="B5568" s="76" t="s">
        <v>11198</v>
      </c>
    </row>
    <row r="5569" spans="1:2" ht="15">
      <c r="A5569" s="77" t="s">
        <v>9459</v>
      </c>
      <c r="B5569" s="76" t="s">
        <v>11198</v>
      </c>
    </row>
    <row r="5570" spans="1:2" ht="15">
      <c r="A5570" s="77" t="s">
        <v>9460</v>
      </c>
      <c r="B5570" s="76" t="s">
        <v>11198</v>
      </c>
    </row>
    <row r="5571" spans="1:2" ht="15">
      <c r="A5571" s="77" t="s">
        <v>9461</v>
      </c>
      <c r="B5571" s="76" t="s">
        <v>11198</v>
      </c>
    </row>
    <row r="5572" spans="1:2" ht="15">
      <c r="A5572" s="77" t="s">
        <v>9462</v>
      </c>
      <c r="B5572" s="76" t="s">
        <v>11198</v>
      </c>
    </row>
    <row r="5573" spans="1:2" ht="15">
      <c r="A5573" s="77" t="s">
        <v>9463</v>
      </c>
      <c r="B5573" s="76" t="s">
        <v>11198</v>
      </c>
    </row>
    <row r="5574" spans="1:2" ht="15">
      <c r="A5574" s="77" t="s">
        <v>9464</v>
      </c>
      <c r="B5574" s="76" t="s">
        <v>11198</v>
      </c>
    </row>
    <row r="5575" spans="1:2" ht="15">
      <c r="A5575" s="77" t="s">
        <v>9465</v>
      </c>
      <c r="B5575" s="76" t="s">
        <v>11198</v>
      </c>
    </row>
    <row r="5576" spans="1:2" ht="15">
      <c r="A5576" s="77" t="s">
        <v>9466</v>
      </c>
      <c r="B5576" s="76" t="s">
        <v>11198</v>
      </c>
    </row>
    <row r="5577" spans="1:2" ht="15">
      <c r="A5577" s="77" t="s">
        <v>9467</v>
      </c>
      <c r="B5577" s="76" t="s">
        <v>11198</v>
      </c>
    </row>
    <row r="5578" spans="1:2" ht="15">
      <c r="A5578" s="77" t="s">
        <v>9468</v>
      </c>
      <c r="B5578" s="76" t="s">
        <v>11198</v>
      </c>
    </row>
    <row r="5579" spans="1:2" ht="15">
      <c r="A5579" s="77" t="s">
        <v>9469</v>
      </c>
      <c r="B5579" s="76" t="s">
        <v>11198</v>
      </c>
    </row>
    <row r="5580" spans="1:2" ht="15">
      <c r="A5580" s="77" t="s">
        <v>9470</v>
      </c>
      <c r="B5580" s="76" t="s">
        <v>11198</v>
      </c>
    </row>
    <row r="5581" spans="1:2" ht="15">
      <c r="A5581" s="77" t="s">
        <v>9471</v>
      </c>
      <c r="B5581" s="76" t="s">
        <v>11198</v>
      </c>
    </row>
    <row r="5582" spans="1:2" ht="15">
      <c r="A5582" s="77" t="s">
        <v>9472</v>
      </c>
      <c r="B5582" s="76" t="s">
        <v>11198</v>
      </c>
    </row>
    <row r="5583" spans="1:2" ht="15">
      <c r="A5583" s="77" t="s">
        <v>9473</v>
      </c>
      <c r="B5583" s="76" t="s">
        <v>11198</v>
      </c>
    </row>
    <row r="5584" spans="1:2" ht="15">
      <c r="A5584" s="77" t="s">
        <v>9474</v>
      </c>
      <c r="B5584" s="76" t="s">
        <v>11198</v>
      </c>
    </row>
    <row r="5585" spans="1:2" ht="15">
      <c r="A5585" s="77" t="s">
        <v>9475</v>
      </c>
      <c r="B5585" s="76" t="s">
        <v>11198</v>
      </c>
    </row>
    <row r="5586" spans="1:2" ht="15">
      <c r="A5586" s="77" t="s">
        <v>9476</v>
      </c>
      <c r="B5586" s="76" t="s">
        <v>11198</v>
      </c>
    </row>
    <row r="5587" spans="1:2" ht="15">
      <c r="A5587" s="77" t="s">
        <v>9477</v>
      </c>
      <c r="B5587" s="76" t="s">
        <v>11198</v>
      </c>
    </row>
    <row r="5588" spans="1:2" ht="15">
      <c r="A5588" s="77" t="s">
        <v>9478</v>
      </c>
      <c r="B5588" s="76" t="s">
        <v>11198</v>
      </c>
    </row>
    <row r="5589" spans="1:2" ht="15">
      <c r="A5589" s="77" t="s">
        <v>9479</v>
      </c>
      <c r="B5589" s="76" t="s">
        <v>11198</v>
      </c>
    </row>
    <row r="5590" spans="1:2" ht="15">
      <c r="A5590" s="77" t="s">
        <v>9480</v>
      </c>
      <c r="B5590" s="76" t="s">
        <v>11198</v>
      </c>
    </row>
    <row r="5591" spans="1:2" ht="15">
      <c r="A5591" s="77" t="s">
        <v>9481</v>
      </c>
      <c r="B5591" s="76" t="s">
        <v>11198</v>
      </c>
    </row>
    <row r="5592" spans="1:2" ht="15">
      <c r="A5592" s="77" t="s">
        <v>9482</v>
      </c>
      <c r="B5592" s="76" t="s">
        <v>11198</v>
      </c>
    </row>
    <row r="5593" spans="1:2" ht="15">
      <c r="A5593" s="77" t="s">
        <v>9483</v>
      </c>
      <c r="B5593" s="76" t="s">
        <v>11198</v>
      </c>
    </row>
    <row r="5594" spans="1:2" ht="15">
      <c r="A5594" s="77" t="s">
        <v>9484</v>
      </c>
      <c r="B5594" s="76" t="s">
        <v>11198</v>
      </c>
    </row>
    <row r="5595" spans="1:2" ht="15">
      <c r="A5595" s="77" t="s">
        <v>9485</v>
      </c>
      <c r="B5595" s="76" t="s">
        <v>11198</v>
      </c>
    </row>
    <row r="5596" spans="1:2" ht="15">
      <c r="A5596" s="77" t="s">
        <v>9486</v>
      </c>
      <c r="B5596" s="76" t="s">
        <v>11198</v>
      </c>
    </row>
    <row r="5597" spans="1:2" ht="15">
      <c r="A5597" s="77" t="s">
        <v>9487</v>
      </c>
      <c r="B5597" s="76" t="s">
        <v>11198</v>
      </c>
    </row>
    <row r="5598" spans="1:2" ht="15">
      <c r="A5598" s="77" t="s">
        <v>9488</v>
      </c>
      <c r="B5598" s="76" t="s">
        <v>11198</v>
      </c>
    </row>
    <row r="5599" spans="1:2" ht="15">
      <c r="A5599" s="77" t="s">
        <v>9489</v>
      </c>
      <c r="B5599" s="76" t="s">
        <v>11198</v>
      </c>
    </row>
    <row r="5600" spans="1:2" ht="15">
      <c r="A5600" s="77" t="s">
        <v>9490</v>
      </c>
      <c r="B5600" s="76" t="s">
        <v>11198</v>
      </c>
    </row>
    <row r="5601" spans="1:2" ht="15">
      <c r="A5601" s="77" t="s">
        <v>9491</v>
      </c>
      <c r="B5601" s="76" t="s">
        <v>11198</v>
      </c>
    </row>
    <row r="5602" spans="1:2" ht="15">
      <c r="A5602" s="77" t="s">
        <v>9492</v>
      </c>
      <c r="B5602" s="76" t="s">
        <v>11198</v>
      </c>
    </row>
    <row r="5603" spans="1:2" ht="15">
      <c r="A5603" s="77" t="s">
        <v>9493</v>
      </c>
      <c r="B5603" s="76" t="s">
        <v>11198</v>
      </c>
    </row>
    <row r="5604" spans="1:2" ht="15">
      <c r="A5604" s="77" t="s">
        <v>9494</v>
      </c>
      <c r="B5604" s="76" t="s">
        <v>11198</v>
      </c>
    </row>
    <row r="5605" spans="1:2" ht="15">
      <c r="A5605" s="77" t="s">
        <v>9495</v>
      </c>
      <c r="B5605" s="76" t="s">
        <v>11198</v>
      </c>
    </row>
    <row r="5606" spans="1:2" ht="15">
      <c r="A5606" s="77" t="s">
        <v>9496</v>
      </c>
      <c r="B5606" s="76" t="s">
        <v>11198</v>
      </c>
    </row>
    <row r="5607" spans="1:2" ht="15">
      <c r="A5607" s="77" t="s">
        <v>9497</v>
      </c>
      <c r="B5607" s="76" t="s">
        <v>11198</v>
      </c>
    </row>
    <row r="5608" spans="1:2" ht="15">
      <c r="A5608" s="77" t="s">
        <v>9498</v>
      </c>
      <c r="B5608" s="76" t="s">
        <v>11198</v>
      </c>
    </row>
    <row r="5609" spans="1:2" ht="15">
      <c r="A5609" s="77" t="s">
        <v>9499</v>
      </c>
      <c r="B5609" s="76" t="s">
        <v>11198</v>
      </c>
    </row>
    <row r="5610" spans="1:2" ht="15">
      <c r="A5610" s="77" t="s">
        <v>9500</v>
      </c>
      <c r="B5610" s="76" t="s">
        <v>11198</v>
      </c>
    </row>
    <row r="5611" spans="1:2" ht="15">
      <c r="A5611" s="77" t="s">
        <v>9501</v>
      </c>
      <c r="B5611" s="76" t="s">
        <v>11198</v>
      </c>
    </row>
    <row r="5612" spans="1:2" ht="15">
      <c r="A5612" s="77" t="s">
        <v>9502</v>
      </c>
      <c r="B5612" s="76" t="s">
        <v>11198</v>
      </c>
    </row>
    <row r="5613" spans="1:2" ht="15">
      <c r="A5613" s="77" t="s">
        <v>9503</v>
      </c>
      <c r="B5613" s="76" t="s">
        <v>11198</v>
      </c>
    </row>
    <row r="5614" spans="1:2" ht="15">
      <c r="A5614" s="77" t="s">
        <v>9504</v>
      </c>
      <c r="B5614" s="76" t="s">
        <v>11198</v>
      </c>
    </row>
    <row r="5615" spans="1:2" ht="15">
      <c r="A5615" s="77" t="s">
        <v>9505</v>
      </c>
      <c r="B5615" s="76" t="s">
        <v>11198</v>
      </c>
    </row>
    <row r="5616" spans="1:2" ht="15">
      <c r="A5616" s="77" t="s">
        <v>9506</v>
      </c>
      <c r="B5616" s="76" t="s">
        <v>11198</v>
      </c>
    </row>
    <row r="5617" spans="1:2" ht="15">
      <c r="A5617" s="77" t="s">
        <v>9507</v>
      </c>
      <c r="B5617" s="76" t="s">
        <v>11198</v>
      </c>
    </row>
    <row r="5618" spans="1:2" ht="15">
      <c r="A5618" s="77" t="s">
        <v>9508</v>
      </c>
      <c r="B5618" s="76" t="s">
        <v>11198</v>
      </c>
    </row>
    <row r="5619" spans="1:2" ht="15">
      <c r="A5619" s="77" t="s">
        <v>9509</v>
      </c>
      <c r="B5619" s="76" t="s">
        <v>11198</v>
      </c>
    </row>
    <row r="5620" spans="1:2" ht="15">
      <c r="A5620" s="77" t="s">
        <v>9510</v>
      </c>
      <c r="B5620" s="76" t="s">
        <v>11198</v>
      </c>
    </row>
    <row r="5621" spans="1:2" ht="15">
      <c r="A5621" s="77" t="s">
        <v>9511</v>
      </c>
      <c r="B5621" s="76" t="s">
        <v>11198</v>
      </c>
    </row>
    <row r="5622" spans="1:2" ht="15">
      <c r="A5622" s="77" t="s">
        <v>9512</v>
      </c>
      <c r="B5622" s="76" t="s">
        <v>11198</v>
      </c>
    </row>
    <row r="5623" spans="1:2" ht="15">
      <c r="A5623" s="77" t="s">
        <v>9513</v>
      </c>
      <c r="B5623" s="76" t="s">
        <v>11198</v>
      </c>
    </row>
    <row r="5624" spans="1:2" ht="15">
      <c r="A5624" s="77" t="s">
        <v>9514</v>
      </c>
      <c r="B5624" s="76" t="s">
        <v>11198</v>
      </c>
    </row>
    <row r="5625" spans="1:2" ht="15">
      <c r="A5625" s="77" t="s">
        <v>9515</v>
      </c>
      <c r="B5625" s="76" t="s">
        <v>11198</v>
      </c>
    </row>
    <row r="5626" spans="1:2" ht="15">
      <c r="A5626" s="77" t="s">
        <v>9516</v>
      </c>
      <c r="B5626" s="76" t="s">
        <v>11198</v>
      </c>
    </row>
    <row r="5627" spans="1:2" ht="15">
      <c r="A5627" s="77" t="s">
        <v>9517</v>
      </c>
      <c r="B5627" s="76" t="s">
        <v>11198</v>
      </c>
    </row>
    <row r="5628" spans="1:2" ht="15">
      <c r="A5628" s="77" t="s">
        <v>9518</v>
      </c>
      <c r="B5628" s="76" t="s">
        <v>11198</v>
      </c>
    </row>
    <row r="5629" spans="1:2" ht="15">
      <c r="A5629" s="77" t="s">
        <v>9519</v>
      </c>
      <c r="B5629" s="76" t="s">
        <v>11198</v>
      </c>
    </row>
    <row r="5630" spans="1:2" ht="15">
      <c r="A5630" s="77" t="s">
        <v>9520</v>
      </c>
      <c r="B5630" s="76" t="s">
        <v>11198</v>
      </c>
    </row>
    <row r="5631" spans="1:2" ht="15">
      <c r="A5631" s="77" t="s">
        <v>9521</v>
      </c>
      <c r="B5631" s="76" t="s">
        <v>11198</v>
      </c>
    </row>
    <row r="5632" spans="1:2" ht="15">
      <c r="A5632" s="77" t="s">
        <v>9522</v>
      </c>
      <c r="B5632" s="76" t="s">
        <v>11198</v>
      </c>
    </row>
    <row r="5633" spans="1:2" ht="15">
      <c r="A5633" s="77" t="s">
        <v>9523</v>
      </c>
      <c r="B5633" s="76" t="s">
        <v>11198</v>
      </c>
    </row>
    <row r="5634" spans="1:2" ht="15">
      <c r="A5634" s="77" t="s">
        <v>9524</v>
      </c>
      <c r="B5634" s="76" t="s">
        <v>11198</v>
      </c>
    </row>
    <row r="5635" spans="1:2" ht="15">
      <c r="A5635" s="77" t="s">
        <v>9525</v>
      </c>
      <c r="B5635" s="76" t="s">
        <v>11198</v>
      </c>
    </row>
    <row r="5636" spans="1:2" ht="15">
      <c r="A5636" s="77" t="s">
        <v>9526</v>
      </c>
      <c r="B5636" s="76" t="s">
        <v>11198</v>
      </c>
    </row>
    <row r="5637" spans="1:2" ht="15">
      <c r="A5637" s="77" t="s">
        <v>9527</v>
      </c>
      <c r="B5637" s="76" t="s">
        <v>11198</v>
      </c>
    </row>
    <row r="5638" spans="1:2" ht="15">
      <c r="A5638" s="77" t="s">
        <v>9528</v>
      </c>
      <c r="B5638" s="76" t="s">
        <v>11198</v>
      </c>
    </row>
    <row r="5639" spans="1:2" ht="15">
      <c r="A5639" s="77" t="s">
        <v>9529</v>
      </c>
      <c r="B5639" s="76" t="s">
        <v>11198</v>
      </c>
    </row>
    <row r="5640" spans="1:2" ht="15">
      <c r="A5640" s="77" t="s">
        <v>9530</v>
      </c>
      <c r="B5640" s="76" t="s">
        <v>11198</v>
      </c>
    </row>
    <row r="5641" spans="1:2" ht="15">
      <c r="A5641" s="77" t="s">
        <v>9531</v>
      </c>
      <c r="B5641" s="76" t="s">
        <v>11198</v>
      </c>
    </row>
    <row r="5642" spans="1:2" ht="15">
      <c r="A5642" s="77" t="s">
        <v>9532</v>
      </c>
      <c r="B5642" s="76" t="s">
        <v>11198</v>
      </c>
    </row>
    <row r="5643" spans="1:2" ht="15">
      <c r="A5643" s="77" t="s">
        <v>9533</v>
      </c>
      <c r="B5643" s="76" t="s">
        <v>11198</v>
      </c>
    </row>
    <row r="5644" spans="1:2" ht="15">
      <c r="A5644" s="77" t="s">
        <v>9534</v>
      </c>
      <c r="B5644" s="76" t="s">
        <v>11198</v>
      </c>
    </row>
    <row r="5645" spans="1:2" ht="15">
      <c r="A5645" s="77" t="s">
        <v>9535</v>
      </c>
      <c r="B5645" s="76" t="s">
        <v>11198</v>
      </c>
    </row>
    <row r="5646" spans="1:2" ht="15">
      <c r="A5646" s="77" t="s">
        <v>9536</v>
      </c>
      <c r="B5646" s="76" t="s">
        <v>11198</v>
      </c>
    </row>
    <row r="5647" spans="1:2" ht="15">
      <c r="A5647" s="77" t="s">
        <v>9537</v>
      </c>
      <c r="B5647" s="76" t="s">
        <v>11198</v>
      </c>
    </row>
    <row r="5648" spans="1:2" ht="15">
      <c r="A5648" s="77" t="s">
        <v>9538</v>
      </c>
      <c r="B5648" s="76" t="s">
        <v>11198</v>
      </c>
    </row>
    <row r="5649" spans="1:2" ht="15">
      <c r="A5649" s="77" t="s">
        <v>9539</v>
      </c>
      <c r="B5649" s="76" t="s">
        <v>11198</v>
      </c>
    </row>
    <row r="5650" spans="1:2" ht="15">
      <c r="A5650" s="77" t="s">
        <v>9540</v>
      </c>
      <c r="B5650" s="76" t="s">
        <v>11198</v>
      </c>
    </row>
    <row r="5651" spans="1:2" ht="15">
      <c r="A5651" s="77" t="s">
        <v>9541</v>
      </c>
      <c r="B5651" s="76" t="s">
        <v>11198</v>
      </c>
    </row>
    <row r="5652" spans="1:2" ht="15">
      <c r="A5652" s="77" t="s">
        <v>9542</v>
      </c>
      <c r="B5652" s="76" t="s">
        <v>11198</v>
      </c>
    </row>
    <row r="5653" spans="1:2" ht="15">
      <c r="A5653" s="77" t="s">
        <v>9543</v>
      </c>
      <c r="B5653" s="76" t="s">
        <v>11198</v>
      </c>
    </row>
    <row r="5654" spans="1:2" ht="15">
      <c r="A5654" s="77" t="s">
        <v>9544</v>
      </c>
      <c r="B5654" s="76" t="s">
        <v>11198</v>
      </c>
    </row>
    <row r="5655" spans="1:2" ht="15">
      <c r="A5655" s="77" t="s">
        <v>9545</v>
      </c>
      <c r="B5655" s="76" t="s">
        <v>11198</v>
      </c>
    </row>
    <row r="5656" spans="1:2" ht="15">
      <c r="A5656" s="77" t="s">
        <v>9546</v>
      </c>
      <c r="B5656" s="76" t="s">
        <v>11198</v>
      </c>
    </row>
    <row r="5657" spans="1:2" ht="15">
      <c r="A5657" s="77" t="s">
        <v>9547</v>
      </c>
      <c r="B5657" s="76" t="s">
        <v>11198</v>
      </c>
    </row>
    <row r="5658" spans="1:2" ht="15">
      <c r="A5658" s="77" t="s">
        <v>9548</v>
      </c>
      <c r="B5658" s="76" t="s">
        <v>11198</v>
      </c>
    </row>
    <row r="5659" spans="1:2" ht="15">
      <c r="A5659" s="77" t="s">
        <v>9549</v>
      </c>
      <c r="B5659" s="76" t="s">
        <v>11198</v>
      </c>
    </row>
    <row r="5660" spans="1:2" ht="15">
      <c r="A5660" s="77" t="s">
        <v>9550</v>
      </c>
      <c r="B5660" s="76" t="s">
        <v>11198</v>
      </c>
    </row>
    <row r="5661" spans="1:2" ht="15">
      <c r="A5661" s="77" t="s">
        <v>9551</v>
      </c>
      <c r="B5661" s="76" t="s">
        <v>11198</v>
      </c>
    </row>
    <row r="5662" spans="1:2" ht="15">
      <c r="A5662" s="77" t="s">
        <v>9552</v>
      </c>
      <c r="B5662" s="76" t="s">
        <v>11198</v>
      </c>
    </row>
    <row r="5663" spans="1:2" ht="15">
      <c r="A5663" s="77" t="s">
        <v>9553</v>
      </c>
      <c r="B5663" s="76" t="s">
        <v>11198</v>
      </c>
    </row>
    <row r="5664" spans="1:2" ht="15">
      <c r="A5664" s="77" t="s">
        <v>9554</v>
      </c>
      <c r="B5664" s="76" t="s">
        <v>11198</v>
      </c>
    </row>
    <row r="5665" spans="1:2" ht="15">
      <c r="A5665" s="77" t="s">
        <v>9555</v>
      </c>
      <c r="B5665" s="76" t="s">
        <v>11198</v>
      </c>
    </row>
    <row r="5666" spans="1:2" ht="15">
      <c r="A5666" s="77" t="s">
        <v>9556</v>
      </c>
      <c r="B5666" s="76" t="s">
        <v>11198</v>
      </c>
    </row>
    <row r="5667" spans="1:2" ht="15">
      <c r="A5667" s="77" t="s">
        <v>9557</v>
      </c>
      <c r="B5667" s="76" t="s">
        <v>11198</v>
      </c>
    </row>
    <row r="5668" spans="1:2" ht="15">
      <c r="A5668" s="77" t="s">
        <v>9558</v>
      </c>
      <c r="B5668" s="76" t="s">
        <v>11198</v>
      </c>
    </row>
    <row r="5669" spans="1:2" ht="15">
      <c r="A5669" s="77" t="s">
        <v>9559</v>
      </c>
      <c r="B5669" s="76" t="s">
        <v>11198</v>
      </c>
    </row>
    <row r="5670" spans="1:2" ht="15">
      <c r="A5670" s="77" t="s">
        <v>9560</v>
      </c>
      <c r="B5670" s="76" t="s">
        <v>11198</v>
      </c>
    </row>
    <row r="5671" spans="1:2" ht="15">
      <c r="A5671" s="77" t="s">
        <v>9561</v>
      </c>
      <c r="B5671" s="76" t="s">
        <v>11198</v>
      </c>
    </row>
    <row r="5672" spans="1:2" ht="15">
      <c r="A5672" s="77" t="s">
        <v>9562</v>
      </c>
      <c r="B5672" s="76" t="s">
        <v>11198</v>
      </c>
    </row>
    <row r="5673" spans="1:2" ht="15">
      <c r="A5673" s="77" t="s">
        <v>9563</v>
      </c>
      <c r="B5673" s="76" t="s">
        <v>11198</v>
      </c>
    </row>
    <row r="5674" spans="1:2" ht="15">
      <c r="A5674" s="77" t="s">
        <v>9564</v>
      </c>
      <c r="B5674" s="76" t="s">
        <v>11198</v>
      </c>
    </row>
    <row r="5675" spans="1:2" ht="15">
      <c r="A5675" s="77" t="s">
        <v>9565</v>
      </c>
      <c r="B5675" s="76" t="s">
        <v>11198</v>
      </c>
    </row>
    <row r="5676" spans="1:2" ht="15">
      <c r="A5676" s="77" t="s">
        <v>9566</v>
      </c>
      <c r="B5676" s="76" t="s">
        <v>11198</v>
      </c>
    </row>
    <row r="5677" spans="1:2" ht="15">
      <c r="A5677" s="77" t="s">
        <v>9567</v>
      </c>
      <c r="B5677" s="76" t="s">
        <v>11198</v>
      </c>
    </row>
    <row r="5678" spans="1:2" ht="15">
      <c r="A5678" s="77" t="s">
        <v>9568</v>
      </c>
      <c r="B5678" s="76" t="s">
        <v>11198</v>
      </c>
    </row>
    <row r="5679" spans="1:2" ht="15">
      <c r="A5679" s="77" t="s">
        <v>9569</v>
      </c>
      <c r="B5679" s="76" t="s">
        <v>11198</v>
      </c>
    </row>
    <row r="5680" spans="1:2" ht="15">
      <c r="A5680" s="77" t="s">
        <v>9570</v>
      </c>
      <c r="B5680" s="76" t="s">
        <v>11198</v>
      </c>
    </row>
    <row r="5681" spans="1:2" ht="15">
      <c r="A5681" s="77" t="s">
        <v>9571</v>
      </c>
      <c r="B5681" s="76" t="s">
        <v>11198</v>
      </c>
    </row>
    <row r="5682" spans="1:2" ht="15">
      <c r="A5682" s="77" t="s">
        <v>9572</v>
      </c>
      <c r="B5682" s="76" t="s">
        <v>11198</v>
      </c>
    </row>
    <row r="5683" spans="1:2" ht="15">
      <c r="A5683" s="77" t="s">
        <v>9573</v>
      </c>
      <c r="B5683" s="76" t="s">
        <v>11198</v>
      </c>
    </row>
    <row r="5684" spans="1:2" ht="15">
      <c r="A5684" s="77" t="s">
        <v>9574</v>
      </c>
      <c r="B5684" s="76" t="s">
        <v>11198</v>
      </c>
    </row>
    <row r="5685" spans="1:2" ht="15">
      <c r="A5685" s="77" t="s">
        <v>9575</v>
      </c>
      <c r="B5685" s="76" t="s">
        <v>11198</v>
      </c>
    </row>
    <row r="5686" spans="1:2" ht="15">
      <c r="A5686" s="77" t="s">
        <v>9576</v>
      </c>
      <c r="B5686" s="76" t="s">
        <v>11198</v>
      </c>
    </row>
    <row r="5687" spans="1:2" ht="15">
      <c r="A5687" s="77" t="s">
        <v>9577</v>
      </c>
      <c r="B5687" s="76" t="s">
        <v>11198</v>
      </c>
    </row>
    <row r="5688" spans="1:2" ht="15">
      <c r="A5688" s="77" t="s">
        <v>9578</v>
      </c>
      <c r="B5688" s="76" t="s">
        <v>11198</v>
      </c>
    </row>
    <row r="5689" spans="1:2" ht="15">
      <c r="A5689" s="77" t="s">
        <v>9579</v>
      </c>
      <c r="B5689" s="76" t="s">
        <v>11198</v>
      </c>
    </row>
    <row r="5690" spans="1:2" ht="15">
      <c r="A5690" s="77" t="s">
        <v>9580</v>
      </c>
      <c r="B5690" s="76" t="s">
        <v>11198</v>
      </c>
    </row>
    <row r="5691" spans="1:2" ht="15">
      <c r="A5691" s="77" t="s">
        <v>9581</v>
      </c>
      <c r="B5691" s="76" t="s">
        <v>11198</v>
      </c>
    </row>
    <row r="5692" spans="1:2" ht="15">
      <c r="A5692" s="77" t="s">
        <v>9582</v>
      </c>
      <c r="B5692" s="76" t="s">
        <v>11198</v>
      </c>
    </row>
    <row r="5693" spans="1:2" ht="15">
      <c r="A5693" s="77" t="s">
        <v>9583</v>
      </c>
      <c r="B5693" s="76" t="s">
        <v>11198</v>
      </c>
    </row>
    <row r="5694" spans="1:2" ht="15">
      <c r="A5694" s="77" t="s">
        <v>9584</v>
      </c>
      <c r="B5694" s="76" t="s">
        <v>11198</v>
      </c>
    </row>
    <row r="5695" spans="1:2" ht="15">
      <c r="A5695" s="77" t="s">
        <v>9585</v>
      </c>
      <c r="B5695" s="76" t="s">
        <v>11198</v>
      </c>
    </row>
    <row r="5696" spans="1:2" ht="15">
      <c r="A5696" s="77" t="s">
        <v>9586</v>
      </c>
      <c r="B5696" s="76" t="s">
        <v>11198</v>
      </c>
    </row>
    <row r="5697" spans="1:2" ht="15">
      <c r="A5697" s="77" t="s">
        <v>9587</v>
      </c>
      <c r="B5697" s="76" t="s">
        <v>11198</v>
      </c>
    </row>
    <row r="5698" spans="1:2" ht="15">
      <c r="A5698" s="77" t="s">
        <v>9588</v>
      </c>
      <c r="B5698" s="76" t="s">
        <v>11198</v>
      </c>
    </row>
    <row r="5699" spans="1:2" ht="15">
      <c r="A5699" s="77" t="s">
        <v>9589</v>
      </c>
      <c r="B5699" s="76" t="s">
        <v>11198</v>
      </c>
    </row>
    <row r="5700" spans="1:2" ht="15">
      <c r="A5700" s="77" t="s">
        <v>9590</v>
      </c>
      <c r="B5700" s="76" t="s">
        <v>11198</v>
      </c>
    </row>
    <row r="5701" spans="1:2" ht="15">
      <c r="A5701" s="77" t="s">
        <v>9591</v>
      </c>
      <c r="B5701" s="76" t="s">
        <v>11198</v>
      </c>
    </row>
    <row r="5702" spans="1:2" ht="15">
      <c r="A5702" s="77" t="s">
        <v>9592</v>
      </c>
      <c r="B5702" s="76" t="s">
        <v>11198</v>
      </c>
    </row>
    <row r="5703" spans="1:2" ht="15">
      <c r="A5703" s="77" t="s">
        <v>9593</v>
      </c>
      <c r="B5703" s="76" t="s">
        <v>11198</v>
      </c>
    </row>
    <row r="5704" spans="1:2" ht="15">
      <c r="A5704" s="77" t="s">
        <v>9594</v>
      </c>
      <c r="B5704" s="76" t="s">
        <v>11198</v>
      </c>
    </row>
    <row r="5705" spans="1:2" ht="15">
      <c r="A5705" s="77" t="s">
        <v>9595</v>
      </c>
      <c r="B5705" s="76" t="s">
        <v>11198</v>
      </c>
    </row>
    <row r="5706" spans="1:2" ht="15">
      <c r="A5706" s="77" t="s">
        <v>9596</v>
      </c>
      <c r="B5706" s="76" t="s">
        <v>11198</v>
      </c>
    </row>
    <row r="5707" spans="1:2" ht="15">
      <c r="A5707" s="77" t="s">
        <v>9597</v>
      </c>
      <c r="B5707" s="76" t="s">
        <v>11198</v>
      </c>
    </row>
    <row r="5708" spans="1:2" ht="15">
      <c r="A5708" s="77" t="s">
        <v>9598</v>
      </c>
      <c r="B5708" s="76" t="s">
        <v>11198</v>
      </c>
    </row>
    <row r="5709" spans="1:2" ht="15">
      <c r="A5709" s="77" t="s">
        <v>9599</v>
      </c>
      <c r="B5709" s="76" t="s">
        <v>11198</v>
      </c>
    </row>
    <row r="5710" spans="1:2" ht="15">
      <c r="A5710" s="77" t="s">
        <v>9600</v>
      </c>
      <c r="B5710" s="76" t="s">
        <v>11198</v>
      </c>
    </row>
    <row r="5711" spans="1:2" ht="15">
      <c r="A5711" s="77" t="s">
        <v>9601</v>
      </c>
      <c r="B5711" s="76" t="s">
        <v>11198</v>
      </c>
    </row>
    <row r="5712" spans="1:2" ht="15">
      <c r="A5712" s="77" t="s">
        <v>9602</v>
      </c>
      <c r="B5712" s="76" t="s">
        <v>11198</v>
      </c>
    </row>
    <row r="5713" spans="1:2" ht="15">
      <c r="A5713" s="77" t="s">
        <v>9603</v>
      </c>
      <c r="B5713" s="76" t="s">
        <v>11198</v>
      </c>
    </row>
    <row r="5714" spans="1:2" ht="15">
      <c r="A5714" s="77" t="s">
        <v>9604</v>
      </c>
      <c r="B5714" s="76" t="s">
        <v>11198</v>
      </c>
    </row>
    <row r="5715" spans="1:2" ht="15">
      <c r="A5715" s="77" t="s">
        <v>9605</v>
      </c>
      <c r="B5715" s="76" t="s">
        <v>11198</v>
      </c>
    </row>
    <row r="5716" spans="1:2" ht="15">
      <c r="A5716" s="77" t="s">
        <v>9606</v>
      </c>
      <c r="B5716" s="76" t="s">
        <v>11198</v>
      </c>
    </row>
    <row r="5717" spans="1:2" ht="15">
      <c r="A5717" s="77" t="s">
        <v>9607</v>
      </c>
      <c r="B5717" s="76" t="s">
        <v>11198</v>
      </c>
    </row>
    <row r="5718" spans="1:2" ht="15">
      <c r="A5718" s="77" t="s">
        <v>9608</v>
      </c>
      <c r="B5718" s="76" t="s">
        <v>11198</v>
      </c>
    </row>
    <row r="5719" spans="1:2" ht="15">
      <c r="A5719" s="77" t="s">
        <v>9609</v>
      </c>
      <c r="B5719" s="76" t="s">
        <v>11198</v>
      </c>
    </row>
    <row r="5720" spans="1:2" ht="15">
      <c r="A5720" s="77" t="s">
        <v>9610</v>
      </c>
      <c r="B5720" s="76" t="s">
        <v>11198</v>
      </c>
    </row>
    <row r="5721" spans="1:2" ht="15">
      <c r="A5721" s="77" t="s">
        <v>9611</v>
      </c>
      <c r="B5721" s="76" t="s">
        <v>11198</v>
      </c>
    </row>
    <row r="5722" spans="1:2" ht="15">
      <c r="A5722" s="77" t="s">
        <v>9612</v>
      </c>
      <c r="B5722" s="76" t="s">
        <v>11198</v>
      </c>
    </row>
    <row r="5723" spans="1:2" ht="15">
      <c r="A5723" s="77" t="s">
        <v>9613</v>
      </c>
      <c r="B5723" s="76" t="s">
        <v>11198</v>
      </c>
    </row>
    <row r="5724" spans="1:2" ht="15">
      <c r="A5724" s="77" t="s">
        <v>9614</v>
      </c>
      <c r="B5724" s="76" t="s">
        <v>11198</v>
      </c>
    </row>
    <row r="5725" spans="1:2" ht="15">
      <c r="A5725" s="77" t="s">
        <v>9615</v>
      </c>
      <c r="B5725" s="76" t="s">
        <v>11198</v>
      </c>
    </row>
    <row r="5726" spans="1:2" ht="15">
      <c r="A5726" s="77" t="s">
        <v>9616</v>
      </c>
      <c r="B5726" s="76" t="s">
        <v>11198</v>
      </c>
    </row>
    <row r="5727" spans="1:2" ht="15">
      <c r="A5727" s="77" t="s">
        <v>9617</v>
      </c>
      <c r="B5727" s="76" t="s">
        <v>11198</v>
      </c>
    </row>
    <row r="5728" spans="1:2" ht="15">
      <c r="A5728" s="77" t="s">
        <v>9618</v>
      </c>
      <c r="B5728" s="76" t="s">
        <v>11198</v>
      </c>
    </row>
    <row r="5729" spans="1:2" ht="15">
      <c r="A5729" s="77" t="s">
        <v>9619</v>
      </c>
      <c r="B5729" s="76" t="s">
        <v>11198</v>
      </c>
    </row>
    <row r="5730" spans="1:2" ht="15">
      <c r="A5730" s="77" t="s">
        <v>9620</v>
      </c>
      <c r="B5730" s="76" t="s">
        <v>11198</v>
      </c>
    </row>
    <row r="5731" spans="1:2" ht="15">
      <c r="A5731" s="77" t="s">
        <v>9621</v>
      </c>
      <c r="B5731" s="76" t="s">
        <v>11198</v>
      </c>
    </row>
    <row r="5732" spans="1:2" ht="15">
      <c r="A5732" s="77" t="s">
        <v>9622</v>
      </c>
      <c r="B5732" s="76" t="s">
        <v>11198</v>
      </c>
    </row>
    <row r="5733" spans="1:2" ht="15">
      <c r="A5733" s="77" t="s">
        <v>9623</v>
      </c>
      <c r="B5733" s="76" t="s">
        <v>11198</v>
      </c>
    </row>
    <row r="5734" spans="1:2" ht="15">
      <c r="A5734" s="77" t="s">
        <v>9624</v>
      </c>
      <c r="B5734" s="76" t="s">
        <v>11198</v>
      </c>
    </row>
    <row r="5735" spans="1:2" ht="15">
      <c r="A5735" s="77" t="s">
        <v>9625</v>
      </c>
      <c r="B5735" s="76" t="s">
        <v>11198</v>
      </c>
    </row>
    <row r="5736" spans="1:2" ht="15">
      <c r="A5736" s="77" t="s">
        <v>9626</v>
      </c>
      <c r="B5736" s="76" t="s">
        <v>11198</v>
      </c>
    </row>
    <row r="5737" spans="1:2" ht="15">
      <c r="A5737" s="77" t="s">
        <v>9627</v>
      </c>
      <c r="B5737" s="76" t="s">
        <v>11198</v>
      </c>
    </row>
    <row r="5738" spans="1:2" ht="15">
      <c r="A5738" s="77" t="s">
        <v>9628</v>
      </c>
      <c r="B5738" s="76" t="s">
        <v>11198</v>
      </c>
    </row>
    <row r="5739" spans="1:2" ht="15">
      <c r="A5739" s="77" t="s">
        <v>9629</v>
      </c>
      <c r="B5739" s="76" t="s">
        <v>11198</v>
      </c>
    </row>
    <row r="5740" spans="1:2" ht="15">
      <c r="A5740" s="77" t="s">
        <v>9630</v>
      </c>
      <c r="B5740" s="76" t="s">
        <v>11198</v>
      </c>
    </row>
    <row r="5741" spans="1:2" ht="15">
      <c r="A5741" s="77" t="s">
        <v>9631</v>
      </c>
      <c r="B5741" s="76" t="s">
        <v>11198</v>
      </c>
    </row>
    <row r="5742" spans="1:2" ht="15">
      <c r="A5742" s="77" t="s">
        <v>9632</v>
      </c>
      <c r="B5742" s="76" t="s">
        <v>11198</v>
      </c>
    </row>
    <row r="5743" spans="1:2" ht="15">
      <c r="A5743" s="77" t="s">
        <v>9633</v>
      </c>
      <c r="B5743" s="76" t="s">
        <v>11198</v>
      </c>
    </row>
    <row r="5744" spans="1:2" ht="15">
      <c r="A5744" s="77" t="s">
        <v>9634</v>
      </c>
      <c r="B5744" s="76" t="s">
        <v>11198</v>
      </c>
    </row>
    <row r="5745" spans="1:2" ht="15">
      <c r="A5745" s="77" t="s">
        <v>9635</v>
      </c>
      <c r="B5745" s="76" t="s">
        <v>11198</v>
      </c>
    </row>
    <row r="5746" spans="1:2" ht="15">
      <c r="A5746" s="77" t="s">
        <v>9636</v>
      </c>
      <c r="B5746" s="76" t="s">
        <v>11198</v>
      </c>
    </row>
    <row r="5747" spans="1:2" ht="15">
      <c r="A5747" s="77" t="s">
        <v>9637</v>
      </c>
      <c r="B5747" s="76" t="s">
        <v>11198</v>
      </c>
    </row>
    <row r="5748" spans="1:2" ht="15">
      <c r="A5748" s="77" t="s">
        <v>9638</v>
      </c>
      <c r="B5748" s="76" t="s">
        <v>11198</v>
      </c>
    </row>
    <row r="5749" spans="1:2" ht="15">
      <c r="A5749" s="77" t="s">
        <v>9639</v>
      </c>
      <c r="B5749" s="76" t="s">
        <v>11198</v>
      </c>
    </row>
    <row r="5750" spans="1:2" ht="15">
      <c r="A5750" s="77" t="s">
        <v>9640</v>
      </c>
      <c r="B5750" s="76" t="s">
        <v>11198</v>
      </c>
    </row>
    <row r="5751" spans="1:2" ht="15">
      <c r="A5751" s="77" t="s">
        <v>9641</v>
      </c>
      <c r="B5751" s="76" t="s">
        <v>11198</v>
      </c>
    </row>
    <row r="5752" spans="1:2" ht="15">
      <c r="A5752" s="77" t="s">
        <v>9642</v>
      </c>
      <c r="B5752" s="76" t="s">
        <v>11198</v>
      </c>
    </row>
    <row r="5753" spans="1:2" ht="15">
      <c r="A5753" s="77" t="s">
        <v>9643</v>
      </c>
      <c r="B5753" s="76" t="s">
        <v>11198</v>
      </c>
    </row>
    <row r="5754" spans="1:2" ht="15">
      <c r="A5754" s="77" t="s">
        <v>9644</v>
      </c>
      <c r="B5754" s="76" t="s">
        <v>11198</v>
      </c>
    </row>
    <row r="5755" spans="1:2" ht="15">
      <c r="A5755" s="77" t="s">
        <v>9645</v>
      </c>
      <c r="B5755" s="76" t="s">
        <v>11198</v>
      </c>
    </row>
    <row r="5756" spans="1:2" ht="15">
      <c r="A5756" s="77" t="s">
        <v>9646</v>
      </c>
      <c r="B5756" s="76" t="s">
        <v>11198</v>
      </c>
    </row>
    <row r="5757" spans="1:2" ht="15">
      <c r="A5757" s="77" t="s">
        <v>9647</v>
      </c>
      <c r="B5757" s="76" t="s">
        <v>11198</v>
      </c>
    </row>
    <row r="5758" spans="1:2" ht="15">
      <c r="A5758" s="77" t="s">
        <v>9648</v>
      </c>
      <c r="B5758" s="76" t="s">
        <v>11198</v>
      </c>
    </row>
    <row r="5759" spans="1:2" ht="15">
      <c r="A5759" s="77" t="s">
        <v>9649</v>
      </c>
      <c r="B5759" s="76" t="s">
        <v>11198</v>
      </c>
    </row>
    <row r="5760" spans="1:2" ht="15">
      <c r="A5760" s="77" t="s">
        <v>9650</v>
      </c>
      <c r="B5760" s="76" t="s">
        <v>11198</v>
      </c>
    </row>
    <row r="5761" spans="1:2" ht="15">
      <c r="A5761" s="77" t="s">
        <v>9651</v>
      </c>
      <c r="B5761" s="76" t="s">
        <v>11198</v>
      </c>
    </row>
    <row r="5762" spans="1:2" ht="15">
      <c r="A5762" s="77" t="s">
        <v>9652</v>
      </c>
      <c r="B5762" s="76" t="s">
        <v>11198</v>
      </c>
    </row>
    <row r="5763" spans="1:2" ht="15">
      <c r="A5763" s="77" t="s">
        <v>9653</v>
      </c>
      <c r="B5763" s="76" t="s">
        <v>11198</v>
      </c>
    </row>
    <row r="5764" spans="1:2" ht="15">
      <c r="A5764" s="77" t="s">
        <v>9654</v>
      </c>
      <c r="B5764" s="76" t="s">
        <v>11198</v>
      </c>
    </row>
    <row r="5765" spans="1:2" ht="15">
      <c r="A5765" s="77" t="s">
        <v>9655</v>
      </c>
      <c r="B5765" s="76" t="s">
        <v>11198</v>
      </c>
    </row>
    <row r="5766" spans="1:2" ht="15">
      <c r="A5766" s="77" t="s">
        <v>9656</v>
      </c>
      <c r="B5766" s="76" t="s">
        <v>11198</v>
      </c>
    </row>
    <row r="5767" spans="1:2" ht="15">
      <c r="A5767" s="77" t="s">
        <v>9657</v>
      </c>
      <c r="B5767" s="76" t="s">
        <v>11198</v>
      </c>
    </row>
    <row r="5768" spans="1:2" ht="15">
      <c r="A5768" s="77" t="s">
        <v>9658</v>
      </c>
      <c r="B5768" s="76" t="s">
        <v>11198</v>
      </c>
    </row>
    <row r="5769" spans="1:2" ht="15">
      <c r="A5769" s="77" t="s">
        <v>9659</v>
      </c>
      <c r="B5769" s="76" t="s">
        <v>11198</v>
      </c>
    </row>
    <row r="5770" spans="1:2" ht="15">
      <c r="A5770" s="77" t="s">
        <v>9660</v>
      </c>
      <c r="B5770" s="76" t="s">
        <v>11198</v>
      </c>
    </row>
    <row r="5771" spans="1:2" ht="15">
      <c r="A5771" s="77" t="s">
        <v>9661</v>
      </c>
      <c r="B5771" s="76" t="s">
        <v>11198</v>
      </c>
    </row>
    <row r="5772" spans="1:2" ht="15">
      <c r="A5772" s="77" t="s">
        <v>9662</v>
      </c>
      <c r="B5772" s="76" t="s">
        <v>11198</v>
      </c>
    </row>
    <row r="5773" spans="1:2" ht="15">
      <c r="A5773" s="77" t="s">
        <v>9663</v>
      </c>
      <c r="B5773" s="76" t="s">
        <v>11198</v>
      </c>
    </row>
    <row r="5774" spans="1:2" ht="15">
      <c r="A5774" s="77" t="s">
        <v>9664</v>
      </c>
      <c r="B5774" s="76" t="s">
        <v>11198</v>
      </c>
    </row>
    <row r="5775" spans="1:2" ht="15">
      <c r="A5775" s="77" t="s">
        <v>9665</v>
      </c>
      <c r="B5775" s="76" t="s">
        <v>11198</v>
      </c>
    </row>
    <row r="5776" spans="1:2" ht="15">
      <c r="A5776" s="77" t="s">
        <v>9666</v>
      </c>
      <c r="B5776" s="76" t="s">
        <v>11198</v>
      </c>
    </row>
    <row r="5777" spans="1:2" ht="15">
      <c r="A5777" s="77" t="s">
        <v>9667</v>
      </c>
      <c r="B5777" s="76" t="s">
        <v>11198</v>
      </c>
    </row>
    <row r="5778" spans="1:2" ht="15">
      <c r="A5778" s="77" t="s">
        <v>9668</v>
      </c>
      <c r="B5778" s="76" t="s">
        <v>11198</v>
      </c>
    </row>
    <row r="5779" spans="1:2" ht="15">
      <c r="A5779" s="77" t="s">
        <v>9669</v>
      </c>
      <c r="B5779" s="76" t="s">
        <v>11198</v>
      </c>
    </row>
    <row r="5780" spans="1:2" ht="15">
      <c r="A5780" s="77" t="s">
        <v>9670</v>
      </c>
      <c r="B5780" s="76" t="s">
        <v>11198</v>
      </c>
    </row>
    <row r="5781" spans="1:2" ht="15">
      <c r="A5781" s="77" t="s">
        <v>9671</v>
      </c>
      <c r="B5781" s="76" t="s">
        <v>11198</v>
      </c>
    </row>
    <row r="5782" spans="1:2" ht="15">
      <c r="A5782" s="77" t="s">
        <v>9672</v>
      </c>
      <c r="B5782" s="76" t="s">
        <v>11198</v>
      </c>
    </row>
    <row r="5783" spans="1:2" ht="15">
      <c r="A5783" s="77" t="s">
        <v>9673</v>
      </c>
      <c r="B5783" s="76" t="s">
        <v>11198</v>
      </c>
    </row>
    <row r="5784" spans="1:2" ht="15">
      <c r="A5784" s="77" t="s">
        <v>9674</v>
      </c>
      <c r="B5784" s="76" t="s">
        <v>11198</v>
      </c>
    </row>
    <row r="5785" spans="1:2" ht="15">
      <c r="A5785" s="77" t="s">
        <v>9675</v>
      </c>
      <c r="B5785" s="76" t="s">
        <v>11198</v>
      </c>
    </row>
    <row r="5786" spans="1:2" ht="15">
      <c r="A5786" s="77" t="s">
        <v>9676</v>
      </c>
      <c r="B5786" s="76" t="s">
        <v>11198</v>
      </c>
    </row>
    <row r="5787" spans="1:2" ht="15">
      <c r="A5787" s="77" t="s">
        <v>9677</v>
      </c>
      <c r="B5787" s="76" t="s">
        <v>11198</v>
      </c>
    </row>
    <row r="5788" spans="1:2" ht="15">
      <c r="A5788" s="77" t="s">
        <v>9678</v>
      </c>
      <c r="B5788" s="76" t="s">
        <v>11198</v>
      </c>
    </row>
    <row r="5789" spans="1:2" ht="15">
      <c r="A5789" s="77" t="s">
        <v>9679</v>
      </c>
      <c r="B5789" s="76" t="s">
        <v>11198</v>
      </c>
    </row>
    <row r="5790" spans="1:2" ht="15">
      <c r="A5790" s="77" t="s">
        <v>9680</v>
      </c>
      <c r="B5790" s="76" t="s">
        <v>11198</v>
      </c>
    </row>
    <row r="5791" spans="1:2" ht="15">
      <c r="A5791" s="77" t="s">
        <v>9681</v>
      </c>
      <c r="B5791" s="76" t="s">
        <v>11198</v>
      </c>
    </row>
    <row r="5792" spans="1:2" ht="15">
      <c r="A5792" s="77" t="s">
        <v>9682</v>
      </c>
      <c r="B5792" s="76" t="s">
        <v>11198</v>
      </c>
    </row>
    <row r="5793" spans="1:2" ht="15">
      <c r="A5793" s="77" t="s">
        <v>9683</v>
      </c>
      <c r="B5793" s="76" t="s">
        <v>11198</v>
      </c>
    </row>
    <row r="5794" spans="1:2" ht="15">
      <c r="A5794" s="77" t="s">
        <v>9684</v>
      </c>
      <c r="B5794" s="76" t="s">
        <v>11198</v>
      </c>
    </row>
    <row r="5795" spans="1:2" ht="15">
      <c r="A5795" s="77" t="s">
        <v>9685</v>
      </c>
      <c r="B5795" s="76" t="s">
        <v>11198</v>
      </c>
    </row>
    <row r="5796" spans="1:2" ht="15">
      <c r="A5796" s="77" t="s">
        <v>9686</v>
      </c>
      <c r="B5796" s="76" t="s">
        <v>11198</v>
      </c>
    </row>
    <row r="5797" spans="1:2" ht="15">
      <c r="A5797" s="77" t="s">
        <v>9687</v>
      </c>
      <c r="B5797" s="76" t="s">
        <v>11198</v>
      </c>
    </row>
    <row r="5798" spans="1:2" ht="15">
      <c r="A5798" s="77" t="s">
        <v>9688</v>
      </c>
      <c r="B5798" s="76" t="s">
        <v>11198</v>
      </c>
    </row>
    <row r="5799" spans="1:2" ht="15">
      <c r="A5799" s="77" t="s">
        <v>9689</v>
      </c>
      <c r="B5799" s="76" t="s">
        <v>11198</v>
      </c>
    </row>
    <row r="5800" spans="1:2" ht="15">
      <c r="A5800" s="77" t="s">
        <v>9690</v>
      </c>
      <c r="B5800" s="76" t="s">
        <v>11198</v>
      </c>
    </row>
    <row r="5801" spans="1:2" ht="15">
      <c r="A5801" s="77" t="s">
        <v>9691</v>
      </c>
      <c r="B5801" s="76" t="s">
        <v>11198</v>
      </c>
    </row>
    <row r="5802" spans="1:2" ht="15">
      <c r="A5802" s="77" t="s">
        <v>9692</v>
      </c>
      <c r="B5802" s="76" t="s">
        <v>11198</v>
      </c>
    </row>
    <row r="5803" spans="1:2" ht="15">
      <c r="A5803" s="77" t="s">
        <v>9693</v>
      </c>
      <c r="B5803" s="76" t="s">
        <v>11198</v>
      </c>
    </row>
    <row r="5804" spans="1:2" ht="15">
      <c r="A5804" s="77" t="s">
        <v>9694</v>
      </c>
      <c r="B5804" s="76" t="s">
        <v>11198</v>
      </c>
    </row>
    <row r="5805" spans="1:2" ht="15">
      <c r="A5805" s="77" t="s">
        <v>9695</v>
      </c>
      <c r="B5805" s="76" t="s">
        <v>11198</v>
      </c>
    </row>
    <row r="5806" spans="1:2" ht="15">
      <c r="A5806" s="77" t="s">
        <v>9696</v>
      </c>
      <c r="B5806" s="76" t="s">
        <v>11198</v>
      </c>
    </row>
    <row r="5807" spans="1:2" ht="15">
      <c r="A5807" s="77" t="s">
        <v>9697</v>
      </c>
      <c r="B5807" s="76" t="s">
        <v>11198</v>
      </c>
    </row>
    <row r="5808" spans="1:2" ht="15">
      <c r="A5808" s="77" t="s">
        <v>9698</v>
      </c>
      <c r="B5808" s="76" t="s">
        <v>11198</v>
      </c>
    </row>
    <row r="5809" spans="1:2" ht="15">
      <c r="A5809" s="77" t="s">
        <v>9699</v>
      </c>
      <c r="B5809" s="76" t="s">
        <v>11198</v>
      </c>
    </row>
    <row r="5810" spans="1:2" ht="15">
      <c r="A5810" s="77" t="s">
        <v>9700</v>
      </c>
      <c r="B5810" s="76" t="s">
        <v>11198</v>
      </c>
    </row>
    <row r="5811" spans="1:2" ht="15">
      <c r="A5811" s="77" t="s">
        <v>9701</v>
      </c>
      <c r="B5811" s="76" t="s">
        <v>11198</v>
      </c>
    </row>
    <row r="5812" spans="1:2" ht="15">
      <c r="A5812" s="77" t="s">
        <v>9702</v>
      </c>
      <c r="B5812" s="76" t="s">
        <v>11198</v>
      </c>
    </row>
    <row r="5813" spans="1:2" ht="15">
      <c r="A5813" s="77" t="s">
        <v>9703</v>
      </c>
      <c r="B5813" s="76" t="s">
        <v>11198</v>
      </c>
    </row>
    <row r="5814" spans="1:2" ht="15">
      <c r="A5814" s="77" t="s">
        <v>9704</v>
      </c>
      <c r="B5814" s="76" t="s">
        <v>11198</v>
      </c>
    </row>
    <row r="5815" spans="1:2" ht="15">
      <c r="A5815" s="77" t="s">
        <v>9705</v>
      </c>
      <c r="B5815" s="76" t="s">
        <v>11198</v>
      </c>
    </row>
    <row r="5816" spans="1:2" ht="15">
      <c r="A5816" s="77" t="s">
        <v>9706</v>
      </c>
      <c r="B5816" s="76" t="s">
        <v>11198</v>
      </c>
    </row>
    <row r="5817" spans="1:2" ht="15">
      <c r="A5817" s="77" t="s">
        <v>9707</v>
      </c>
      <c r="B5817" s="76" t="s">
        <v>11198</v>
      </c>
    </row>
    <row r="5818" spans="1:2" ht="15">
      <c r="A5818" s="77" t="s">
        <v>9708</v>
      </c>
      <c r="B5818" s="76" t="s">
        <v>11198</v>
      </c>
    </row>
    <row r="5819" spans="1:2" ht="15">
      <c r="A5819" s="77" t="s">
        <v>9709</v>
      </c>
      <c r="B5819" s="76" t="s">
        <v>11198</v>
      </c>
    </row>
    <row r="5820" spans="1:2" ht="15">
      <c r="A5820" s="77" t="s">
        <v>9710</v>
      </c>
      <c r="B5820" s="76" t="s">
        <v>11198</v>
      </c>
    </row>
    <row r="5821" spans="1:2" ht="15">
      <c r="A5821" s="77" t="s">
        <v>9711</v>
      </c>
      <c r="B5821" s="76" t="s">
        <v>11198</v>
      </c>
    </row>
    <row r="5822" spans="1:2" ht="15">
      <c r="A5822" s="77" t="s">
        <v>9712</v>
      </c>
      <c r="B5822" s="76" t="s">
        <v>11198</v>
      </c>
    </row>
    <row r="5823" spans="1:2" ht="15">
      <c r="A5823" s="77" t="s">
        <v>9713</v>
      </c>
      <c r="B5823" s="76" t="s">
        <v>11198</v>
      </c>
    </row>
    <row r="5824" spans="1:2" ht="15">
      <c r="A5824" s="77" t="s">
        <v>9714</v>
      </c>
      <c r="B5824" s="76" t="s">
        <v>11198</v>
      </c>
    </row>
    <row r="5825" spans="1:2" ht="15">
      <c r="A5825" s="77" t="s">
        <v>9715</v>
      </c>
      <c r="B5825" s="76" t="s">
        <v>11198</v>
      </c>
    </row>
    <row r="5826" spans="1:2" ht="15">
      <c r="A5826" s="77" t="s">
        <v>9716</v>
      </c>
      <c r="B5826" s="76" t="s">
        <v>11198</v>
      </c>
    </row>
    <row r="5827" spans="1:2" ht="15">
      <c r="A5827" s="77" t="s">
        <v>9717</v>
      </c>
      <c r="B5827" s="76" t="s">
        <v>11198</v>
      </c>
    </row>
    <row r="5828" spans="1:2" ht="15">
      <c r="A5828" s="77" t="s">
        <v>9718</v>
      </c>
      <c r="B5828" s="76" t="s">
        <v>11198</v>
      </c>
    </row>
    <row r="5829" spans="1:2" ht="15">
      <c r="A5829" s="77" t="s">
        <v>9719</v>
      </c>
      <c r="B5829" s="76" t="s">
        <v>11198</v>
      </c>
    </row>
    <row r="5830" spans="1:2" ht="15">
      <c r="A5830" s="77" t="s">
        <v>9720</v>
      </c>
      <c r="B5830" s="76" t="s">
        <v>11198</v>
      </c>
    </row>
    <row r="5831" spans="1:2" ht="15">
      <c r="A5831" s="77" t="s">
        <v>9721</v>
      </c>
      <c r="B5831" s="76" t="s">
        <v>11198</v>
      </c>
    </row>
    <row r="5832" spans="1:2" ht="15">
      <c r="A5832" s="77" t="s">
        <v>9722</v>
      </c>
      <c r="B5832" s="76" t="s">
        <v>11198</v>
      </c>
    </row>
    <row r="5833" spans="1:2" ht="15">
      <c r="A5833" s="77" t="s">
        <v>9723</v>
      </c>
      <c r="B5833" s="76" t="s">
        <v>11198</v>
      </c>
    </row>
    <row r="5834" spans="1:2" ht="15">
      <c r="A5834" s="77" t="s">
        <v>9724</v>
      </c>
      <c r="B5834" s="76" t="s">
        <v>11198</v>
      </c>
    </row>
    <row r="5835" spans="1:2" ht="15">
      <c r="A5835" s="77" t="s">
        <v>9725</v>
      </c>
      <c r="B5835" s="76" t="s">
        <v>11198</v>
      </c>
    </row>
    <row r="5836" spans="1:2" ht="15">
      <c r="A5836" s="77" t="s">
        <v>9726</v>
      </c>
      <c r="B5836" s="76" t="s">
        <v>11198</v>
      </c>
    </row>
    <row r="5837" spans="1:2" ht="15">
      <c r="A5837" s="77" t="s">
        <v>9727</v>
      </c>
      <c r="B5837" s="76" t="s">
        <v>11198</v>
      </c>
    </row>
    <row r="5838" spans="1:2" ht="15">
      <c r="A5838" s="77" t="s">
        <v>9728</v>
      </c>
      <c r="B5838" s="76" t="s">
        <v>11198</v>
      </c>
    </row>
    <row r="5839" spans="1:2" ht="15">
      <c r="A5839" s="77" t="s">
        <v>9729</v>
      </c>
      <c r="B5839" s="76" t="s">
        <v>11198</v>
      </c>
    </row>
    <row r="5840" spans="1:2" ht="15">
      <c r="A5840" s="77" t="s">
        <v>9730</v>
      </c>
      <c r="B5840" s="76" t="s">
        <v>11198</v>
      </c>
    </row>
    <row r="5841" spans="1:2" ht="15">
      <c r="A5841" s="77" t="s">
        <v>9731</v>
      </c>
      <c r="B5841" s="76" t="s">
        <v>11198</v>
      </c>
    </row>
    <row r="5842" spans="1:2" ht="15">
      <c r="A5842" s="77" t="s">
        <v>9732</v>
      </c>
      <c r="B5842" s="76" t="s">
        <v>11198</v>
      </c>
    </row>
    <row r="5843" spans="1:2" ht="15">
      <c r="A5843" s="77" t="s">
        <v>9733</v>
      </c>
      <c r="B5843" s="76" t="s">
        <v>11198</v>
      </c>
    </row>
    <row r="5844" spans="1:2" ht="15">
      <c r="A5844" s="77" t="s">
        <v>9734</v>
      </c>
      <c r="B5844" s="76" t="s">
        <v>11198</v>
      </c>
    </row>
    <row r="5845" spans="1:2" ht="15">
      <c r="A5845" s="77" t="s">
        <v>9735</v>
      </c>
      <c r="B5845" s="76" t="s">
        <v>11198</v>
      </c>
    </row>
    <row r="5846" spans="1:2" ht="15">
      <c r="A5846" s="77" t="s">
        <v>9736</v>
      </c>
      <c r="B5846" s="76" t="s">
        <v>11198</v>
      </c>
    </row>
    <row r="5847" spans="1:2" ht="15">
      <c r="A5847" s="77" t="s">
        <v>9737</v>
      </c>
      <c r="B5847" s="76" t="s">
        <v>11198</v>
      </c>
    </row>
    <row r="5848" spans="1:2" ht="15">
      <c r="A5848" s="77" t="s">
        <v>9738</v>
      </c>
      <c r="B5848" s="76" t="s">
        <v>11198</v>
      </c>
    </row>
    <row r="5849" spans="1:2" ht="15">
      <c r="A5849" s="77" t="s">
        <v>9739</v>
      </c>
      <c r="B5849" s="76" t="s">
        <v>11198</v>
      </c>
    </row>
    <row r="5850" spans="1:2" ht="15">
      <c r="A5850" s="77" t="s">
        <v>9740</v>
      </c>
      <c r="B5850" s="76" t="s">
        <v>11198</v>
      </c>
    </row>
    <row r="5851" spans="1:2" ht="15">
      <c r="A5851" s="77" t="s">
        <v>9741</v>
      </c>
      <c r="B5851" s="76" t="s">
        <v>11198</v>
      </c>
    </row>
    <row r="5852" spans="1:2" ht="15">
      <c r="A5852" s="77" t="s">
        <v>9742</v>
      </c>
      <c r="B5852" s="76" t="s">
        <v>11198</v>
      </c>
    </row>
    <row r="5853" spans="1:2" ht="15">
      <c r="A5853" s="77" t="s">
        <v>9743</v>
      </c>
      <c r="B5853" s="76" t="s">
        <v>11198</v>
      </c>
    </row>
    <row r="5854" spans="1:2" ht="15">
      <c r="A5854" s="77" t="s">
        <v>9744</v>
      </c>
      <c r="B5854" s="76" t="s">
        <v>11198</v>
      </c>
    </row>
    <row r="5855" spans="1:2" ht="15">
      <c r="A5855" s="77" t="s">
        <v>9745</v>
      </c>
      <c r="B5855" s="76" t="s">
        <v>11198</v>
      </c>
    </row>
    <row r="5856" spans="1:2" ht="15">
      <c r="A5856" s="77" t="s">
        <v>9746</v>
      </c>
      <c r="B5856" s="76" t="s">
        <v>11198</v>
      </c>
    </row>
    <row r="5857" spans="1:2" ht="15">
      <c r="A5857" s="77" t="s">
        <v>9747</v>
      </c>
      <c r="B5857" s="76" t="s">
        <v>11198</v>
      </c>
    </row>
    <row r="5858" spans="1:2" ht="15">
      <c r="A5858" s="77" t="s">
        <v>9748</v>
      </c>
      <c r="B5858" s="76" t="s">
        <v>11198</v>
      </c>
    </row>
    <row r="5859" spans="1:2" ht="15">
      <c r="A5859" s="77" t="s">
        <v>9749</v>
      </c>
      <c r="B5859" s="76" t="s">
        <v>11198</v>
      </c>
    </row>
    <row r="5860" spans="1:2" ht="15">
      <c r="A5860" s="77" t="s">
        <v>9750</v>
      </c>
      <c r="B5860" s="76" t="s">
        <v>11198</v>
      </c>
    </row>
    <row r="5861" spans="1:2" ht="15">
      <c r="A5861" s="77" t="s">
        <v>9751</v>
      </c>
      <c r="B5861" s="76" t="s">
        <v>11198</v>
      </c>
    </row>
    <row r="5862" spans="1:2" ht="15">
      <c r="A5862" s="77" t="s">
        <v>9752</v>
      </c>
      <c r="B5862" s="76" t="s">
        <v>11198</v>
      </c>
    </row>
    <row r="5863" spans="1:2" ht="15">
      <c r="A5863" s="77" t="s">
        <v>9753</v>
      </c>
      <c r="B5863" s="76" t="s">
        <v>11198</v>
      </c>
    </row>
    <row r="5864" spans="1:2" ht="15">
      <c r="A5864" s="77" t="s">
        <v>9754</v>
      </c>
      <c r="B5864" s="76" t="s">
        <v>11198</v>
      </c>
    </row>
    <row r="5865" spans="1:2" ht="15">
      <c r="A5865" s="77" t="s">
        <v>9755</v>
      </c>
      <c r="B5865" s="76" t="s">
        <v>11198</v>
      </c>
    </row>
    <row r="5866" spans="1:2" ht="15">
      <c r="A5866" s="77" t="s">
        <v>9756</v>
      </c>
      <c r="B5866" s="76" t="s">
        <v>11198</v>
      </c>
    </row>
    <row r="5867" spans="1:2" ht="15">
      <c r="A5867" s="77" t="s">
        <v>9757</v>
      </c>
      <c r="B5867" s="76" t="s">
        <v>11198</v>
      </c>
    </row>
    <row r="5868" spans="1:2" ht="15">
      <c r="A5868" s="77" t="s">
        <v>9758</v>
      </c>
      <c r="B5868" s="76" t="s">
        <v>11198</v>
      </c>
    </row>
    <row r="5869" spans="1:2" ht="15">
      <c r="A5869" s="77" t="s">
        <v>9759</v>
      </c>
      <c r="B5869" s="76" t="s">
        <v>11198</v>
      </c>
    </row>
    <row r="5870" spans="1:2" ht="15">
      <c r="A5870" s="77" t="s">
        <v>9760</v>
      </c>
      <c r="B5870" s="76" t="s">
        <v>11198</v>
      </c>
    </row>
    <row r="5871" spans="1:2" ht="15">
      <c r="A5871" s="77" t="s">
        <v>9761</v>
      </c>
      <c r="B5871" s="76" t="s">
        <v>11198</v>
      </c>
    </row>
    <row r="5872" spans="1:2" ht="15">
      <c r="A5872" s="77" t="s">
        <v>9762</v>
      </c>
      <c r="B5872" s="76" t="s">
        <v>11198</v>
      </c>
    </row>
    <row r="5873" spans="1:2" ht="15">
      <c r="A5873" s="77" t="s">
        <v>9763</v>
      </c>
      <c r="B5873" s="76" t="s">
        <v>11198</v>
      </c>
    </row>
    <row r="5874" spans="1:2" ht="15">
      <c r="A5874" s="77" t="s">
        <v>9764</v>
      </c>
      <c r="B5874" s="76" t="s">
        <v>11198</v>
      </c>
    </row>
    <row r="5875" spans="1:2" ht="15">
      <c r="A5875" s="77" t="s">
        <v>9765</v>
      </c>
      <c r="B5875" s="76" t="s">
        <v>11198</v>
      </c>
    </row>
    <row r="5876" spans="1:2" ht="15">
      <c r="A5876" s="77" t="s">
        <v>9766</v>
      </c>
      <c r="B5876" s="76" t="s">
        <v>11198</v>
      </c>
    </row>
    <row r="5877" spans="1:2" ht="15">
      <c r="A5877" s="77" t="s">
        <v>9767</v>
      </c>
      <c r="B5877" s="76" t="s">
        <v>11198</v>
      </c>
    </row>
    <row r="5878" spans="1:2" ht="15">
      <c r="A5878" s="77" t="s">
        <v>9768</v>
      </c>
      <c r="B5878" s="76" t="s">
        <v>11198</v>
      </c>
    </row>
    <row r="5879" spans="1:2" ht="15">
      <c r="A5879" s="77" t="s">
        <v>9769</v>
      </c>
      <c r="B5879" s="76" t="s">
        <v>11198</v>
      </c>
    </row>
    <row r="5880" spans="1:2" ht="15">
      <c r="A5880" s="77" t="s">
        <v>9770</v>
      </c>
      <c r="B5880" s="76" t="s">
        <v>11198</v>
      </c>
    </row>
    <row r="5881" spans="1:2" ht="15">
      <c r="A5881" s="77" t="s">
        <v>9771</v>
      </c>
      <c r="B5881" s="76" t="s">
        <v>11198</v>
      </c>
    </row>
    <row r="5882" spans="1:2" ht="15">
      <c r="A5882" s="77" t="s">
        <v>9772</v>
      </c>
      <c r="B5882" s="76" t="s">
        <v>11198</v>
      </c>
    </row>
    <row r="5883" spans="1:2" ht="15">
      <c r="A5883" s="77" t="s">
        <v>9773</v>
      </c>
      <c r="B5883" s="76" t="s">
        <v>11198</v>
      </c>
    </row>
    <row r="5884" spans="1:2" ht="15">
      <c r="A5884" s="77" t="s">
        <v>9774</v>
      </c>
      <c r="B5884" s="76" t="s">
        <v>11198</v>
      </c>
    </row>
    <row r="5885" spans="1:2" ht="15">
      <c r="A5885" s="77" t="s">
        <v>9775</v>
      </c>
      <c r="B5885" s="76" t="s">
        <v>11198</v>
      </c>
    </row>
    <row r="5886" spans="1:2" ht="15">
      <c r="A5886" s="77" t="s">
        <v>9776</v>
      </c>
      <c r="B5886" s="76" t="s">
        <v>11198</v>
      </c>
    </row>
    <row r="5887" spans="1:2" ht="15">
      <c r="A5887" s="77" t="s">
        <v>9777</v>
      </c>
      <c r="B5887" s="76" t="s">
        <v>11198</v>
      </c>
    </row>
    <row r="5888" spans="1:2" ht="15">
      <c r="A5888" s="77" t="s">
        <v>9778</v>
      </c>
      <c r="B5888" s="76" t="s">
        <v>11198</v>
      </c>
    </row>
    <row r="5889" spans="1:2" ht="15">
      <c r="A5889" s="77" t="s">
        <v>9779</v>
      </c>
      <c r="B5889" s="76" t="s">
        <v>11198</v>
      </c>
    </row>
    <row r="5890" spans="1:2" ht="15">
      <c r="A5890" s="77" t="s">
        <v>9780</v>
      </c>
      <c r="B5890" s="76" t="s">
        <v>11198</v>
      </c>
    </row>
    <row r="5891" spans="1:2" ht="15">
      <c r="A5891" s="77" t="s">
        <v>9781</v>
      </c>
      <c r="B5891" s="76" t="s">
        <v>11198</v>
      </c>
    </row>
    <row r="5892" spans="1:2" ht="15">
      <c r="A5892" s="77" t="s">
        <v>9782</v>
      </c>
      <c r="B5892" s="76" t="s">
        <v>11198</v>
      </c>
    </row>
    <row r="5893" spans="1:2" ht="15">
      <c r="A5893" s="77" t="s">
        <v>9783</v>
      </c>
      <c r="B5893" s="76" t="s">
        <v>11198</v>
      </c>
    </row>
    <row r="5894" spans="1:2" ht="15">
      <c r="A5894" s="77" t="s">
        <v>9784</v>
      </c>
      <c r="B5894" s="76" t="s">
        <v>11198</v>
      </c>
    </row>
    <row r="5895" spans="1:2" ht="15">
      <c r="A5895" s="77" t="s">
        <v>9785</v>
      </c>
      <c r="B5895" s="76" t="s">
        <v>11198</v>
      </c>
    </row>
    <row r="5896" spans="1:2" ht="15">
      <c r="A5896" s="77" t="s">
        <v>9786</v>
      </c>
      <c r="B5896" s="76" t="s">
        <v>11198</v>
      </c>
    </row>
    <row r="5897" spans="1:2" ht="15">
      <c r="A5897" s="77" t="s">
        <v>9787</v>
      </c>
      <c r="B5897" s="76" t="s">
        <v>11198</v>
      </c>
    </row>
    <row r="5898" spans="1:2" ht="15">
      <c r="A5898" s="77" t="s">
        <v>9788</v>
      </c>
      <c r="B5898" s="76" t="s">
        <v>11198</v>
      </c>
    </row>
    <row r="5899" spans="1:2" ht="15">
      <c r="A5899" s="77" t="s">
        <v>9789</v>
      </c>
      <c r="B5899" s="76" t="s">
        <v>11198</v>
      </c>
    </row>
    <row r="5900" spans="1:2" ht="15">
      <c r="A5900" s="77" t="s">
        <v>9790</v>
      </c>
      <c r="B5900" s="76" t="s">
        <v>11198</v>
      </c>
    </row>
    <row r="5901" spans="1:2" ht="15">
      <c r="A5901" s="77" t="s">
        <v>9791</v>
      </c>
      <c r="B5901" s="76" t="s">
        <v>11198</v>
      </c>
    </row>
    <row r="5902" spans="1:2" ht="15">
      <c r="A5902" s="77" t="s">
        <v>9792</v>
      </c>
      <c r="B5902" s="76" t="s">
        <v>11198</v>
      </c>
    </row>
    <row r="5903" spans="1:2" ht="15">
      <c r="A5903" s="77" t="s">
        <v>9793</v>
      </c>
      <c r="B5903" s="76" t="s">
        <v>11198</v>
      </c>
    </row>
    <row r="5904" spans="1:2" ht="15">
      <c r="A5904" s="77" t="s">
        <v>9794</v>
      </c>
      <c r="B5904" s="76" t="s">
        <v>11198</v>
      </c>
    </row>
    <row r="5905" spans="1:2" ht="15">
      <c r="A5905" s="77" t="s">
        <v>9795</v>
      </c>
      <c r="B5905" s="76" t="s">
        <v>11198</v>
      </c>
    </row>
    <row r="5906" spans="1:2" ht="15">
      <c r="A5906" s="77" t="s">
        <v>9796</v>
      </c>
      <c r="B5906" s="76" t="s">
        <v>11198</v>
      </c>
    </row>
    <row r="5907" spans="1:2" ht="15">
      <c r="A5907" s="77" t="s">
        <v>9797</v>
      </c>
      <c r="B5907" s="76" t="s">
        <v>11198</v>
      </c>
    </row>
    <row r="5908" spans="1:2" ht="15">
      <c r="A5908" s="77" t="s">
        <v>9798</v>
      </c>
      <c r="B5908" s="76" t="s">
        <v>11198</v>
      </c>
    </row>
    <row r="5909" spans="1:2" ht="15">
      <c r="A5909" s="77" t="s">
        <v>9799</v>
      </c>
      <c r="B5909" s="76" t="s">
        <v>11198</v>
      </c>
    </row>
    <row r="5910" spans="1:2" ht="15">
      <c r="A5910" s="77" t="s">
        <v>9800</v>
      </c>
      <c r="B5910" s="76" t="s">
        <v>11198</v>
      </c>
    </row>
    <row r="5911" spans="1:2" ht="15">
      <c r="A5911" s="77" t="s">
        <v>9801</v>
      </c>
      <c r="B5911" s="76" t="s">
        <v>11198</v>
      </c>
    </row>
    <row r="5912" spans="1:2" ht="15">
      <c r="A5912" s="77" t="s">
        <v>9802</v>
      </c>
      <c r="B5912" s="76" t="s">
        <v>11198</v>
      </c>
    </row>
    <row r="5913" spans="1:2" ht="15">
      <c r="A5913" s="77" t="s">
        <v>9803</v>
      </c>
      <c r="B5913" s="76" t="s">
        <v>11198</v>
      </c>
    </row>
    <row r="5914" spans="1:2" ht="15">
      <c r="A5914" s="77" t="s">
        <v>9804</v>
      </c>
      <c r="B5914" s="76" t="s">
        <v>11198</v>
      </c>
    </row>
    <row r="5915" spans="1:2" ht="15">
      <c r="A5915" s="77" t="s">
        <v>9805</v>
      </c>
      <c r="B5915" s="76" t="s">
        <v>11198</v>
      </c>
    </row>
    <row r="5916" spans="1:2" ht="15">
      <c r="A5916" s="77" t="s">
        <v>9806</v>
      </c>
      <c r="B5916" s="76" t="s">
        <v>11198</v>
      </c>
    </row>
    <row r="5917" spans="1:2" ht="15">
      <c r="A5917" s="77" t="s">
        <v>9807</v>
      </c>
      <c r="B5917" s="76" t="s">
        <v>11198</v>
      </c>
    </row>
    <row r="5918" spans="1:2" ht="15">
      <c r="A5918" s="77" t="s">
        <v>9808</v>
      </c>
      <c r="B5918" s="76" t="s">
        <v>11198</v>
      </c>
    </row>
    <row r="5919" spans="1:2" ht="15">
      <c r="A5919" s="77" t="s">
        <v>9809</v>
      </c>
      <c r="B5919" s="76" t="s">
        <v>11198</v>
      </c>
    </row>
    <row r="5920" spans="1:2" ht="15">
      <c r="A5920" s="77" t="s">
        <v>9810</v>
      </c>
      <c r="B5920" s="76" t="s">
        <v>11198</v>
      </c>
    </row>
    <row r="5921" spans="1:2" ht="15">
      <c r="A5921" s="77" t="s">
        <v>9811</v>
      </c>
      <c r="B5921" s="76" t="s">
        <v>11198</v>
      </c>
    </row>
    <row r="5922" spans="1:2" ht="15">
      <c r="A5922" s="77" t="s">
        <v>9812</v>
      </c>
      <c r="B5922" s="76" t="s">
        <v>11198</v>
      </c>
    </row>
    <row r="5923" spans="1:2" ht="15">
      <c r="A5923" s="77" t="s">
        <v>9813</v>
      </c>
      <c r="B5923" s="76" t="s">
        <v>11198</v>
      </c>
    </row>
    <row r="5924" spans="1:2" ht="15">
      <c r="A5924" s="77" t="s">
        <v>9814</v>
      </c>
      <c r="B5924" s="76" t="s">
        <v>11198</v>
      </c>
    </row>
    <row r="5925" spans="1:2" ht="15">
      <c r="A5925" s="77" t="s">
        <v>9815</v>
      </c>
      <c r="B5925" s="76" t="s">
        <v>11198</v>
      </c>
    </row>
    <row r="5926" spans="1:2" ht="15">
      <c r="A5926" s="77" t="s">
        <v>9816</v>
      </c>
      <c r="B5926" s="76" t="s">
        <v>11198</v>
      </c>
    </row>
    <row r="5927" spans="1:2" ht="15">
      <c r="A5927" s="77" t="s">
        <v>9817</v>
      </c>
      <c r="B5927" s="76" t="s">
        <v>11198</v>
      </c>
    </row>
    <row r="5928" spans="1:2" ht="15">
      <c r="A5928" s="77" t="s">
        <v>9818</v>
      </c>
      <c r="B5928" s="76" t="s">
        <v>11198</v>
      </c>
    </row>
    <row r="5929" spans="1:2" ht="15">
      <c r="A5929" s="77" t="s">
        <v>9819</v>
      </c>
      <c r="B5929" s="76" t="s">
        <v>11198</v>
      </c>
    </row>
    <row r="5930" spans="1:2" ht="15">
      <c r="A5930" s="77" t="s">
        <v>9820</v>
      </c>
      <c r="B5930" s="76" t="s">
        <v>11198</v>
      </c>
    </row>
    <row r="5931" spans="1:2" ht="15">
      <c r="A5931" s="77" t="s">
        <v>9821</v>
      </c>
      <c r="B5931" s="76" t="s">
        <v>11198</v>
      </c>
    </row>
    <row r="5932" spans="1:2" ht="15">
      <c r="A5932" s="77" t="s">
        <v>9822</v>
      </c>
      <c r="B5932" s="76" t="s">
        <v>11198</v>
      </c>
    </row>
    <row r="5933" spans="1:2" ht="15">
      <c r="A5933" s="77" t="s">
        <v>9823</v>
      </c>
      <c r="B5933" s="76" t="s">
        <v>11198</v>
      </c>
    </row>
    <row r="5934" spans="1:2" ht="15">
      <c r="A5934" s="77" t="s">
        <v>9824</v>
      </c>
      <c r="B5934" s="76" t="s">
        <v>11198</v>
      </c>
    </row>
    <row r="5935" spans="1:2" ht="15">
      <c r="A5935" s="77" t="s">
        <v>9825</v>
      </c>
      <c r="B5935" s="76" t="s">
        <v>11198</v>
      </c>
    </row>
    <row r="5936" spans="1:2" ht="15">
      <c r="A5936" s="77" t="s">
        <v>9826</v>
      </c>
      <c r="B5936" s="76" t="s">
        <v>11198</v>
      </c>
    </row>
    <row r="5937" spans="1:2" ht="15">
      <c r="A5937" s="77" t="s">
        <v>9827</v>
      </c>
      <c r="B5937" s="76" t="s">
        <v>11198</v>
      </c>
    </row>
    <row r="5938" spans="1:2" ht="15">
      <c r="A5938" s="77" t="s">
        <v>9828</v>
      </c>
      <c r="B5938" s="76" t="s">
        <v>11198</v>
      </c>
    </row>
    <row r="5939" spans="1:2" ht="15">
      <c r="A5939" s="77" t="s">
        <v>9829</v>
      </c>
      <c r="B5939" s="76" t="s">
        <v>11198</v>
      </c>
    </row>
    <row r="5940" spans="1:2" ht="15">
      <c r="A5940" s="77" t="s">
        <v>9830</v>
      </c>
      <c r="B5940" s="76" t="s">
        <v>11198</v>
      </c>
    </row>
    <row r="5941" spans="1:2" ht="15">
      <c r="A5941" s="77" t="s">
        <v>9831</v>
      </c>
      <c r="B5941" s="76" t="s">
        <v>11198</v>
      </c>
    </row>
    <row r="5942" spans="1:2" ht="15">
      <c r="A5942" s="77" t="s">
        <v>9832</v>
      </c>
      <c r="B5942" s="76" t="s">
        <v>11198</v>
      </c>
    </row>
    <row r="5943" spans="1:2" ht="15">
      <c r="A5943" s="77" t="s">
        <v>9833</v>
      </c>
      <c r="B5943" s="76" t="s">
        <v>11198</v>
      </c>
    </row>
    <row r="5944" spans="1:2" ht="15">
      <c r="A5944" s="77" t="s">
        <v>9834</v>
      </c>
      <c r="B5944" s="76" t="s">
        <v>11198</v>
      </c>
    </row>
    <row r="5945" spans="1:2" ht="15">
      <c r="A5945" s="77" t="s">
        <v>9835</v>
      </c>
      <c r="B5945" s="76" t="s">
        <v>11198</v>
      </c>
    </row>
    <row r="5946" spans="1:2" ht="15">
      <c r="A5946" s="77" t="s">
        <v>9836</v>
      </c>
      <c r="B5946" s="76" t="s">
        <v>11198</v>
      </c>
    </row>
    <row r="5947" spans="1:2" ht="15">
      <c r="A5947" s="77" t="s">
        <v>9837</v>
      </c>
      <c r="B5947" s="76" t="s">
        <v>11198</v>
      </c>
    </row>
    <row r="5948" spans="1:2" ht="15">
      <c r="A5948" s="77" t="s">
        <v>9838</v>
      </c>
      <c r="B5948" s="76" t="s">
        <v>11198</v>
      </c>
    </row>
    <row r="5949" spans="1:2" ht="15">
      <c r="A5949" s="77" t="s">
        <v>9839</v>
      </c>
      <c r="B5949" s="76" t="s">
        <v>11198</v>
      </c>
    </row>
    <row r="5950" spans="1:2" ht="15">
      <c r="A5950" s="77" t="s">
        <v>9840</v>
      </c>
      <c r="B5950" s="76" t="s">
        <v>11198</v>
      </c>
    </row>
    <row r="5951" spans="1:2" ht="15">
      <c r="A5951" s="77" t="s">
        <v>9841</v>
      </c>
      <c r="B5951" s="76" t="s">
        <v>11198</v>
      </c>
    </row>
    <row r="5952" spans="1:2" ht="15">
      <c r="A5952" s="77" t="s">
        <v>9842</v>
      </c>
      <c r="B5952" s="76" t="s">
        <v>11198</v>
      </c>
    </row>
    <row r="5953" spans="1:2" ht="15">
      <c r="A5953" s="77" t="s">
        <v>9843</v>
      </c>
      <c r="B5953" s="76" t="s">
        <v>11198</v>
      </c>
    </row>
    <row r="5954" spans="1:2" ht="15">
      <c r="A5954" s="77" t="s">
        <v>9844</v>
      </c>
      <c r="B5954" s="76" t="s">
        <v>11198</v>
      </c>
    </row>
    <row r="5955" spans="1:2" ht="15">
      <c r="A5955" s="77" t="s">
        <v>9845</v>
      </c>
      <c r="B5955" s="76" t="s">
        <v>11198</v>
      </c>
    </row>
    <row r="5956" spans="1:2" ht="15">
      <c r="A5956" s="77" t="s">
        <v>9846</v>
      </c>
      <c r="B5956" s="76" t="s">
        <v>11198</v>
      </c>
    </row>
    <row r="5957" spans="1:2" ht="15">
      <c r="A5957" s="77" t="s">
        <v>9847</v>
      </c>
      <c r="B5957" s="76" t="s">
        <v>11198</v>
      </c>
    </row>
    <row r="5958" spans="1:2" ht="15">
      <c r="A5958" s="77" t="s">
        <v>9848</v>
      </c>
      <c r="B5958" s="76" t="s">
        <v>11198</v>
      </c>
    </row>
    <row r="5959" spans="1:2" ht="15">
      <c r="A5959" s="77" t="s">
        <v>9849</v>
      </c>
      <c r="B5959" s="76" t="s">
        <v>11198</v>
      </c>
    </row>
    <row r="5960" spans="1:2" ht="15">
      <c r="A5960" s="77" t="s">
        <v>9850</v>
      </c>
      <c r="B5960" s="76" t="s">
        <v>11198</v>
      </c>
    </row>
    <row r="5961" spans="1:2" ht="15">
      <c r="A5961" s="77" t="s">
        <v>9851</v>
      </c>
      <c r="B5961" s="76" t="s">
        <v>11198</v>
      </c>
    </row>
    <row r="5962" spans="1:2" ht="15">
      <c r="A5962" s="77" t="s">
        <v>9852</v>
      </c>
      <c r="B5962" s="76" t="s">
        <v>11198</v>
      </c>
    </row>
    <row r="5963" spans="1:2" ht="15">
      <c r="A5963" s="77" t="s">
        <v>9853</v>
      </c>
      <c r="B5963" s="76" t="s">
        <v>11198</v>
      </c>
    </row>
    <row r="5964" spans="1:2" ht="15">
      <c r="A5964" s="77" t="s">
        <v>9854</v>
      </c>
      <c r="B5964" s="76" t="s">
        <v>11198</v>
      </c>
    </row>
    <row r="5965" spans="1:2" ht="15">
      <c r="A5965" s="77" t="s">
        <v>9855</v>
      </c>
      <c r="B5965" s="76" t="s">
        <v>11198</v>
      </c>
    </row>
    <row r="5966" spans="1:2" ht="15">
      <c r="A5966" s="77" t="s">
        <v>9856</v>
      </c>
      <c r="B5966" s="76" t="s">
        <v>11198</v>
      </c>
    </row>
    <row r="5967" spans="1:2" ht="15">
      <c r="A5967" s="77" t="s">
        <v>9857</v>
      </c>
      <c r="B5967" s="76" t="s">
        <v>11198</v>
      </c>
    </row>
    <row r="5968" spans="1:2" ht="15">
      <c r="A5968" s="77" t="s">
        <v>9858</v>
      </c>
      <c r="B5968" s="76" t="s">
        <v>11198</v>
      </c>
    </row>
    <row r="5969" spans="1:2" ht="15">
      <c r="A5969" s="77" t="s">
        <v>9859</v>
      </c>
      <c r="B5969" s="76" t="s">
        <v>11198</v>
      </c>
    </row>
    <row r="5970" spans="1:2" ht="15">
      <c r="A5970" s="77" t="s">
        <v>9860</v>
      </c>
      <c r="B5970" s="76" t="s">
        <v>11198</v>
      </c>
    </row>
    <row r="5971" spans="1:2" ht="15">
      <c r="A5971" s="77" t="s">
        <v>9861</v>
      </c>
      <c r="B5971" s="76" t="s">
        <v>11198</v>
      </c>
    </row>
    <row r="5972" spans="1:2" ht="15">
      <c r="A5972" s="77" t="s">
        <v>9862</v>
      </c>
      <c r="B5972" s="76" t="s">
        <v>11198</v>
      </c>
    </row>
    <row r="5973" spans="1:2" ht="15">
      <c r="A5973" s="77" t="s">
        <v>9863</v>
      </c>
      <c r="B5973" s="76" t="s">
        <v>11198</v>
      </c>
    </row>
    <row r="5974" spans="1:2" ht="15">
      <c r="A5974" s="77" t="s">
        <v>9864</v>
      </c>
      <c r="B5974" s="76" t="s">
        <v>11198</v>
      </c>
    </row>
    <row r="5975" spans="1:2" ht="15">
      <c r="A5975" s="77" t="s">
        <v>9865</v>
      </c>
      <c r="B5975" s="76" t="s">
        <v>11198</v>
      </c>
    </row>
    <row r="5976" spans="1:2" ht="15">
      <c r="A5976" s="77" t="s">
        <v>9866</v>
      </c>
      <c r="B5976" s="76" t="s">
        <v>11198</v>
      </c>
    </row>
    <row r="5977" spans="1:2" ht="15">
      <c r="A5977" s="77" t="s">
        <v>9867</v>
      </c>
      <c r="B5977" s="76" t="s">
        <v>11198</v>
      </c>
    </row>
    <row r="5978" spans="1:2" ht="15">
      <c r="A5978" s="77" t="s">
        <v>9868</v>
      </c>
      <c r="B5978" s="76" t="s">
        <v>11198</v>
      </c>
    </row>
    <row r="5979" spans="1:2" ht="15">
      <c r="A5979" s="77" t="s">
        <v>9869</v>
      </c>
      <c r="B5979" s="76" t="s">
        <v>11198</v>
      </c>
    </row>
    <row r="5980" spans="1:2" ht="15">
      <c r="A5980" s="77" t="s">
        <v>9870</v>
      </c>
      <c r="B5980" s="76" t="s">
        <v>11198</v>
      </c>
    </row>
    <row r="5981" spans="1:2" ht="15">
      <c r="A5981" s="77" t="s">
        <v>9871</v>
      </c>
      <c r="B5981" s="76" t="s">
        <v>11198</v>
      </c>
    </row>
    <row r="5982" spans="1:2" ht="15">
      <c r="A5982" s="77" t="s">
        <v>9872</v>
      </c>
      <c r="B5982" s="76" t="s">
        <v>11198</v>
      </c>
    </row>
    <row r="5983" spans="1:2" ht="15">
      <c r="A5983" s="77" t="s">
        <v>9873</v>
      </c>
      <c r="B5983" s="76" t="s">
        <v>11198</v>
      </c>
    </row>
    <row r="5984" spans="1:2" ht="15">
      <c r="A5984" s="77" t="s">
        <v>9874</v>
      </c>
      <c r="B5984" s="76" t="s">
        <v>11198</v>
      </c>
    </row>
    <row r="5985" spans="1:2" ht="15">
      <c r="A5985" s="77" t="s">
        <v>9875</v>
      </c>
      <c r="B5985" s="76" t="s">
        <v>11198</v>
      </c>
    </row>
    <row r="5986" spans="1:2" ht="15">
      <c r="A5986" s="77" t="s">
        <v>9876</v>
      </c>
      <c r="B5986" s="76" t="s">
        <v>11198</v>
      </c>
    </row>
    <row r="5987" spans="1:2" ht="15">
      <c r="A5987" s="77" t="s">
        <v>9877</v>
      </c>
      <c r="B5987" s="76" t="s">
        <v>11198</v>
      </c>
    </row>
    <row r="5988" spans="1:2" ht="15">
      <c r="A5988" s="77" t="s">
        <v>9878</v>
      </c>
      <c r="B5988" s="76" t="s">
        <v>11198</v>
      </c>
    </row>
    <row r="5989" spans="1:2" ht="15">
      <c r="A5989" s="77" t="s">
        <v>9879</v>
      </c>
      <c r="B5989" s="76" t="s">
        <v>11198</v>
      </c>
    </row>
    <row r="5990" spans="1:2" ht="15">
      <c r="A5990" s="77" t="s">
        <v>9880</v>
      </c>
      <c r="B5990" s="76" t="s">
        <v>11198</v>
      </c>
    </row>
    <row r="5991" spans="1:2" ht="15">
      <c r="A5991" s="77" t="s">
        <v>9881</v>
      </c>
      <c r="B5991" s="76" t="s">
        <v>11198</v>
      </c>
    </row>
    <row r="5992" spans="1:2" ht="15">
      <c r="A5992" s="77" t="s">
        <v>9882</v>
      </c>
      <c r="B5992" s="76" t="s">
        <v>11198</v>
      </c>
    </row>
    <row r="5993" spans="1:2" ht="15">
      <c r="A5993" s="77" t="s">
        <v>9883</v>
      </c>
      <c r="B5993" s="76" t="s">
        <v>11198</v>
      </c>
    </row>
    <row r="5994" spans="1:2" ht="15">
      <c r="A5994" s="77" t="s">
        <v>9884</v>
      </c>
      <c r="B5994" s="76" t="s">
        <v>11198</v>
      </c>
    </row>
    <row r="5995" spans="1:2" ht="15">
      <c r="A5995" s="77" t="s">
        <v>9885</v>
      </c>
      <c r="B5995" s="76" t="s">
        <v>11198</v>
      </c>
    </row>
    <row r="5996" spans="1:2" ht="15">
      <c r="A5996" s="77" t="s">
        <v>9886</v>
      </c>
      <c r="B5996" s="76" t="s">
        <v>11198</v>
      </c>
    </row>
    <row r="5997" spans="1:2" ht="15">
      <c r="A5997" s="77" t="s">
        <v>9887</v>
      </c>
      <c r="B5997" s="76" t="s">
        <v>11198</v>
      </c>
    </row>
    <row r="5998" spans="1:2" ht="15">
      <c r="A5998" s="77" t="s">
        <v>9888</v>
      </c>
      <c r="B5998" s="76" t="s">
        <v>11198</v>
      </c>
    </row>
    <row r="5999" spans="1:2" ht="15">
      <c r="A5999" s="77" t="s">
        <v>9889</v>
      </c>
      <c r="B5999" s="76" t="s">
        <v>11198</v>
      </c>
    </row>
    <row r="6000" spans="1:2" ht="15">
      <c r="A6000" s="77" t="s">
        <v>9890</v>
      </c>
      <c r="B6000" s="76" t="s">
        <v>11198</v>
      </c>
    </row>
    <row r="6001" spans="1:2" ht="15">
      <c r="A6001" s="77" t="s">
        <v>9891</v>
      </c>
      <c r="B6001" s="76" t="s">
        <v>11198</v>
      </c>
    </row>
    <row r="6002" spans="1:2" ht="15">
      <c r="A6002" s="77" t="s">
        <v>9892</v>
      </c>
      <c r="B6002" s="76" t="s">
        <v>11198</v>
      </c>
    </row>
    <row r="6003" spans="1:2" ht="15">
      <c r="A6003" s="77" t="s">
        <v>9893</v>
      </c>
      <c r="B6003" s="76" t="s">
        <v>11198</v>
      </c>
    </row>
    <row r="6004" spans="1:2" ht="15">
      <c r="A6004" s="77" t="s">
        <v>9894</v>
      </c>
      <c r="B6004" s="76" t="s">
        <v>11198</v>
      </c>
    </row>
    <row r="6005" spans="1:2" ht="15">
      <c r="A6005" s="77" t="s">
        <v>9895</v>
      </c>
      <c r="B6005" s="76" t="s">
        <v>11198</v>
      </c>
    </row>
    <row r="6006" spans="1:2" ht="15">
      <c r="A6006" s="77" t="s">
        <v>9896</v>
      </c>
      <c r="B6006" s="76" t="s">
        <v>11198</v>
      </c>
    </row>
    <row r="6007" spans="1:2" ht="15">
      <c r="A6007" s="77" t="s">
        <v>9897</v>
      </c>
      <c r="B6007" s="76" t="s">
        <v>11198</v>
      </c>
    </row>
    <row r="6008" spans="1:2" ht="15">
      <c r="A6008" s="77" t="s">
        <v>9898</v>
      </c>
      <c r="B6008" s="76" t="s">
        <v>11198</v>
      </c>
    </row>
    <row r="6009" spans="1:2" ht="15">
      <c r="A6009" s="77" t="s">
        <v>9899</v>
      </c>
      <c r="B6009" s="76" t="s">
        <v>11198</v>
      </c>
    </row>
    <row r="6010" spans="1:2" ht="15">
      <c r="A6010" s="77" t="s">
        <v>9900</v>
      </c>
      <c r="B6010" s="76" t="s">
        <v>11198</v>
      </c>
    </row>
    <row r="6011" spans="1:2" ht="15">
      <c r="A6011" s="77" t="s">
        <v>9901</v>
      </c>
      <c r="B6011" s="76" t="s">
        <v>11198</v>
      </c>
    </row>
    <row r="6012" spans="1:2" ht="15">
      <c r="A6012" s="77" t="s">
        <v>9902</v>
      </c>
      <c r="B6012" s="76" t="s">
        <v>11198</v>
      </c>
    </row>
    <row r="6013" spans="1:2" ht="15">
      <c r="A6013" s="77" t="s">
        <v>9903</v>
      </c>
      <c r="B6013" s="76" t="s">
        <v>11198</v>
      </c>
    </row>
    <row r="6014" spans="1:2" ht="15">
      <c r="A6014" s="77" t="s">
        <v>9904</v>
      </c>
      <c r="B6014" s="76" t="s">
        <v>11198</v>
      </c>
    </row>
    <row r="6015" spans="1:2" ht="15">
      <c r="A6015" s="77" t="s">
        <v>9905</v>
      </c>
      <c r="B6015" s="76" t="s">
        <v>11198</v>
      </c>
    </row>
    <row r="6016" spans="1:2" ht="15">
      <c r="A6016" s="77" t="s">
        <v>9906</v>
      </c>
      <c r="B6016" s="76" t="s">
        <v>11198</v>
      </c>
    </row>
    <row r="6017" spans="1:2" ht="15">
      <c r="A6017" s="77" t="s">
        <v>9907</v>
      </c>
      <c r="B6017" s="76" t="s">
        <v>11198</v>
      </c>
    </row>
    <row r="6018" spans="1:2" ht="15">
      <c r="A6018" s="77" t="s">
        <v>9908</v>
      </c>
      <c r="B6018" s="76" t="s">
        <v>11198</v>
      </c>
    </row>
    <row r="6019" spans="1:2" ht="15">
      <c r="A6019" s="77" t="s">
        <v>9909</v>
      </c>
      <c r="B6019" s="76" t="s">
        <v>11198</v>
      </c>
    </row>
    <row r="6020" spans="1:2" ht="15">
      <c r="A6020" s="77" t="s">
        <v>9910</v>
      </c>
      <c r="B6020" s="76" t="s">
        <v>11198</v>
      </c>
    </row>
    <row r="6021" spans="1:2" ht="15">
      <c r="A6021" s="77" t="s">
        <v>9911</v>
      </c>
      <c r="B6021" s="76" t="s">
        <v>11198</v>
      </c>
    </row>
    <row r="6022" spans="1:2" ht="15">
      <c r="A6022" s="77" t="s">
        <v>9912</v>
      </c>
      <c r="B6022" s="76" t="s">
        <v>11198</v>
      </c>
    </row>
    <row r="6023" spans="1:2" ht="15">
      <c r="A6023" s="77" t="s">
        <v>9913</v>
      </c>
      <c r="B6023" s="76" t="s">
        <v>11198</v>
      </c>
    </row>
    <row r="6024" spans="1:2" ht="15">
      <c r="A6024" s="77" t="s">
        <v>9914</v>
      </c>
      <c r="B6024" s="76" t="s">
        <v>11198</v>
      </c>
    </row>
    <row r="6025" spans="1:2" ht="15">
      <c r="A6025" s="77" t="s">
        <v>9915</v>
      </c>
      <c r="B6025" s="76" t="s">
        <v>11198</v>
      </c>
    </row>
    <row r="6026" spans="1:2" ht="15">
      <c r="A6026" s="77" t="s">
        <v>3488</v>
      </c>
      <c r="B6026" s="76" t="s">
        <v>11198</v>
      </c>
    </row>
    <row r="6027" spans="1:2" ht="15">
      <c r="A6027" s="77" t="s">
        <v>9916</v>
      </c>
      <c r="B6027" s="76" t="s">
        <v>11198</v>
      </c>
    </row>
    <row r="6028" spans="1:2" ht="15">
      <c r="A6028" s="77" t="s">
        <v>9917</v>
      </c>
      <c r="B6028" s="76" t="s">
        <v>11198</v>
      </c>
    </row>
    <row r="6029" spans="1:2" ht="15">
      <c r="A6029" s="77" t="s">
        <v>9918</v>
      </c>
      <c r="B6029" s="76" t="s">
        <v>11198</v>
      </c>
    </row>
    <row r="6030" spans="1:2" ht="15">
      <c r="A6030" s="77" t="s">
        <v>9919</v>
      </c>
      <c r="B6030" s="76" t="s">
        <v>11198</v>
      </c>
    </row>
    <row r="6031" spans="1:2" ht="15">
      <c r="A6031" s="77" t="s">
        <v>9920</v>
      </c>
      <c r="B6031" s="76" t="s">
        <v>11198</v>
      </c>
    </row>
    <row r="6032" spans="1:2" ht="15">
      <c r="A6032" s="77" t="s">
        <v>9921</v>
      </c>
      <c r="B6032" s="76" t="s">
        <v>11198</v>
      </c>
    </row>
    <row r="6033" spans="1:2" ht="15">
      <c r="A6033" s="77" t="s">
        <v>9922</v>
      </c>
      <c r="B6033" s="76" t="s">
        <v>11198</v>
      </c>
    </row>
    <row r="6034" spans="1:2" ht="15">
      <c r="A6034" s="77" t="s">
        <v>9923</v>
      </c>
      <c r="B6034" s="76" t="s">
        <v>11198</v>
      </c>
    </row>
    <row r="6035" spans="1:2" ht="15">
      <c r="A6035" s="77" t="s">
        <v>9924</v>
      </c>
      <c r="B6035" s="76" t="s">
        <v>11198</v>
      </c>
    </row>
    <row r="6036" spans="1:2" ht="15">
      <c r="A6036" s="77" t="s">
        <v>9925</v>
      </c>
      <c r="B6036" s="76" t="s">
        <v>11198</v>
      </c>
    </row>
    <row r="6037" spans="1:2" ht="15">
      <c r="A6037" s="77" t="s">
        <v>9926</v>
      </c>
      <c r="B6037" s="76" t="s">
        <v>11198</v>
      </c>
    </row>
    <row r="6038" spans="1:2" ht="15">
      <c r="A6038" s="77" t="s">
        <v>9927</v>
      </c>
      <c r="B6038" s="76" t="s">
        <v>11198</v>
      </c>
    </row>
    <row r="6039" spans="1:2" ht="15">
      <c r="A6039" s="77" t="s">
        <v>9928</v>
      </c>
      <c r="B6039" s="76" t="s">
        <v>11198</v>
      </c>
    </row>
    <row r="6040" spans="1:2" ht="15">
      <c r="A6040" s="77" t="s">
        <v>9929</v>
      </c>
      <c r="B6040" s="76" t="s">
        <v>11198</v>
      </c>
    </row>
    <row r="6041" spans="1:2" ht="15">
      <c r="A6041" s="77" t="s">
        <v>9930</v>
      </c>
      <c r="B6041" s="76" t="s">
        <v>11198</v>
      </c>
    </row>
    <row r="6042" spans="1:2" ht="15">
      <c r="A6042" s="77" t="s">
        <v>9931</v>
      </c>
      <c r="B6042" s="76" t="s">
        <v>11198</v>
      </c>
    </row>
    <row r="6043" spans="1:2" ht="15">
      <c r="A6043" s="77" t="s">
        <v>9932</v>
      </c>
      <c r="B6043" s="76" t="s">
        <v>11198</v>
      </c>
    </row>
    <row r="6044" spans="1:2" ht="15">
      <c r="A6044" s="77" t="s">
        <v>9933</v>
      </c>
      <c r="B6044" s="76" t="s">
        <v>11198</v>
      </c>
    </row>
    <row r="6045" spans="1:2" ht="15">
      <c r="A6045" s="77" t="s">
        <v>9934</v>
      </c>
      <c r="B6045" s="76" t="s">
        <v>11198</v>
      </c>
    </row>
    <row r="6046" spans="1:2" ht="15">
      <c r="A6046" s="77" t="s">
        <v>9935</v>
      </c>
      <c r="B6046" s="76" t="s">
        <v>11198</v>
      </c>
    </row>
    <row r="6047" spans="1:2" ht="15">
      <c r="A6047" s="77" t="s">
        <v>9936</v>
      </c>
      <c r="B6047" s="76" t="s">
        <v>11198</v>
      </c>
    </row>
    <row r="6048" spans="1:2" ht="15">
      <c r="A6048" s="77" t="s">
        <v>9937</v>
      </c>
      <c r="B6048" s="76" t="s">
        <v>11198</v>
      </c>
    </row>
    <row r="6049" spans="1:2" ht="15">
      <c r="A6049" s="77" t="s">
        <v>9938</v>
      </c>
      <c r="B6049" s="76" t="s">
        <v>11198</v>
      </c>
    </row>
    <row r="6050" spans="1:2" ht="15">
      <c r="A6050" s="77" t="s">
        <v>9939</v>
      </c>
      <c r="B6050" s="76" t="s">
        <v>11198</v>
      </c>
    </row>
    <row r="6051" spans="1:2" ht="15">
      <c r="A6051" s="77" t="s">
        <v>9940</v>
      </c>
      <c r="B6051" s="76" t="s">
        <v>11198</v>
      </c>
    </row>
    <row r="6052" spans="1:2" ht="15">
      <c r="A6052" s="77" t="s">
        <v>9941</v>
      </c>
      <c r="B6052" s="76" t="s">
        <v>11198</v>
      </c>
    </row>
    <row r="6053" spans="1:2" ht="15">
      <c r="A6053" s="77" t="s">
        <v>9942</v>
      </c>
      <c r="B6053" s="76" t="s">
        <v>11198</v>
      </c>
    </row>
    <row r="6054" spans="1:2" ht="15">
      <c r="A6054" s="77" t="s">
        <v>9943</v>
      </c>
      <c r="B6054" s="76" t="s">
        <v>11198</v>
      </c>
    </row>
    <row r="6055" spans="1:2" ht="15">
      <c r="A6055" s="77" t="s">
        <v>9944</v>
      </c>
      <c r="B6055" s="76" t="s">
        <v>11198</v>
      </c>
    </row>
    <row r="6056" spans="1:2" ht="15">
      <c r="A6056" s="77" t="s">
        <v>9945</v>
      </c>
      <c r="B6056" s="76" t="s">
        <v>11198</v>
      </c>
    </row>
    <row r="6057" spans="1:2" ht="15">
      <c r="A6057" s="77" t="s">
        <v>9946</v>
      </c>
      <c r="B6057" s="76" t="s">
        <v>11198</v>
      </c>
    </row>
    <row r="6058" spans="1:2" ht="15">
      <c r="A6058" s="77" t="s">
        <v>9947</v>
      </c>
      <c r="B6058" s="76" t="s">
        <v>11198</v>
      </c>
    </row>
    <row r="6059" spans="1:2" ht="15">
      <c r="A6059" s="77" t="s">
        <v>9948</v>
      </c>
      <c r="B6059" s="76" t="s">
        <v>11198</v>
      </c>
    </row>
    <row r="6060" spans="1:2" ht="15">
      <c r="A6060" s="77" t="s">
        <v>9949</v>
      </c>
      <c r="B6060" s="76" t="s">
        <v>11198</v>
      </c>
    </row>
    <row r="6061" spans="1:2" ht="15">
      <c r="A6061" s="77" t="s">
        <v>9950</v>
      </c>
      <c r="B6061" s="76" t="s">
        <v>11198</v>
      </c>
    </row>
    <row r="6062" spans="1:2" ht="15">
      <c r="A6062" s="77" t="s">
        <v>9951</v>
      </c>
      <c r="B6062" s="76" t="s">
        <v>11198</v>
      </c>
    </row>
    <row r="6063" spans="1:2" ht="15">
      <c r="A6063" s="77" t="s">
        <v>9952</v>
      </c>
      <c r="B6063" s="76" t="s">
        <v>11198</v>
      </c>
    </row>
    <row r="6064" spans="1:2" ht="15">
      <c r="A6064" s="77" t="s">
        <v>9953</v>
      </c>
      <c r="B6064" s="76" t="s">
        <v>11198</v>
      </c>
    </row>
    <row r="6065" spans="1:2" ht="15">
      <c r="A6065" s="77" t="s">
        <v>9954</v>
      </c>
      <c r="B6065" s="76" t="s">
        <v>11198</v>
      </c>
    </row>
    <row r="6066" spans="1:2" ht="15">
      <c r="A6066" s="77" t="s">
        <v>9955</v>
      </c>
      <c r="B6066" s="76" t="s">
        <v>11198</v>
      </c>
    </row>
    <row r="6067" spans="1:2" ht="15">
      <c r="A6067" s="77" t="s">
        <v>9956</v>
      </c>
      <c r="B6067" s="76" t="s">
        <v>11198</v>
      </c>
    </row>
    <row r="6068" spans="1:2" ht="15">
      <c r="A6068" s="77" t="s">
        <v>9957</v>
      </c>
      <c r="B6068" s="76" t="s">
        <v>11198</v>
      </c>
    </row>
    <row r="6069" spans="1:2" ht="15">
      <c r="A6069" s="77" t="s">
        <v>9958</v>
      </c>
      <c r="B6069" s="76" t="s">
        <v>11198</v>
      </c>
    </row>
    <row r="6070" spans="1:2" ht="15">
      <c r="A6070" s="77" t="s">
        <v>9959</v>
      </c>
      <c r="B6070" s="76" t="s">
        <v>11198</v>
      </c>
    </row>
    <row r="6071" spans="1:2" ht="15">
      <c r="A6071" s="77" t="s">
        <v>9960</v>
      </c>
      <c r="B6071" s="76" t="s">
        <v>11198</v>
      </c>
    </row>
    <row r="6072" spans="1:2" ht="15">
      <c r="A6072" s="77" t="s">
        <v>9961</v>
      </c>
      <c r="B6072" s="76" t="s">
        <v>11198</v>
      </c>
    </row>
    <row r="6073" spans="1:2" ht="15">
      <c r="A6073" s="77" t="s">
        <v>9962</v>
      </c>
      <c r="B6073" s="76" t="s">
        <v>11198</v>
      </c>
    </row>
    <row r="6074" spans="1:2" ht="15">
      <c r="A6074" s="77" t="s">
        <v>9963</v>
      </c>
      <c r="B6074" s="76" t="s">
        <v>11198</v>
      </c>
    </row>
    <row r="6075" spans="1:2" ht="15">
      <c r="A6075" s="77" t="s">
        <v>9964</v>
      </c>
      <c r="B6075" s="76" t="s">
        <v>11198</v>
      </c>
    </row>
    <row r="6076" spans="1:2" ht="15">
      <c r="A6076" s="77" t="s">
        <v>9965</v>
      </c>
      <c r="B6076" s="76" t="s">
        <v>11198</v>
      </c>
    </row>
    <row r="6077" spans="1:2" ht="15">
      <c r="A6077" s="77" t="s">
        <v>9966</v>
      </c>
      <c r="B6077" s="76" t="s">
        <v>11198</v>
      </c>
    </row>
    <row r="6078" spans="1:2" ht="15">
      <c r="A6078" s="77" t="s">
        <v>9967</v>
      </c>
      <c r="B6078" s="76" t="s">
        <v>11198</v>
      </c>
    </row>
    <row r="6079" spans="1:2" ht="15">
      <c r="A6079" s="77" t="s">
        <v>9968</v>
      </c>
      <c r="B6079" s="76" t="s">
        <v>11198</v>
      </c>
    </row>
    <row r="6080" spans="1:2" ht="15">
      <c r="A6080" s="77" t="s">
        <v>9969</v>
      </c>
      <c r="B6080" s="76" t="s">
        <v>11198</v>
      </c>
    </row>
    <row r="6081" spans="1:2" ht="15">
      <c r="A6081" s="77" t="s">
        <v>9970</v>
      </c>
      <c r="B6081" s="76" t="s">
        <v>11198</v>
      </c>
    </row>
    <row r="6082" spans="1:2" ht="15">
      <c r="A6082" s="77" t="s">
        <v>9971</v>
      </c>
      <c r="B6082" s="76" t="s">
        <v>11198</v>
      </c>
    </row>
    <row r="6083" spans="1:2" ht="15">
      <c r="A6083" s="77" t="s">
        <v>9972</v>
      </c>
      <c r="B6083" s="76" t="s">
        <v>11198</v>
      </c>
    </row>
    <row r="6084" spans="1:2" ht="15">
      <c r="A6084" s="77" t="s">
        <v>9973</v>
      </c>
      <c r="B6084" s="76" t="s">
        <v>11198</v>
      </c>
    </row>
    <row r="6085" spans="1:2" ht="15">
      <c r="A6085" s="77" t="s">
        <v>9974</v>
      </c>
      <c r="B6085" s="76" t="s">
        <v>11198</v>
      </c>
    </row>
    <row r="6086" spans="1:2" ht="15">
      <c r="A6086" s="77" t="s">
        <v>9975</v>
      </c>
      <c r="B6086" s="76" t="s">
        <v>11198</v>
      </c>
    </row>
    <row r="6087" spans="1:2" ht="15">
      <c r="A6087" s="77" t="s">
        <v>9976</v>
      </c>
      <c r="B6087" s="76" t="s">
        <v>11198</v>
      </c>
    </row>
    <row r="6088" spans="1:2" ht="15">
      <c r="A6088" s="77" t="s">
        <v>9977</v>
      </c>
      <c r="B6088" s="76" t="s">
        <v>11198</v>
      </c>
    </row>
    <row r="6089" spans="1:2" ht="15">
      <c r="A6089" s="77" t="s">
        <v>9978</v>
      </c>
      <c r="B6089" s="76" t="s">
        <v>11198</v>
      </c>
    </row>
    <row r="6090" spans="1:2" ht="15">
      <c r="A6090" s="77" t="s">
        <v>9979</v>
      </c>
      <c r="B6090" s="76" t="s">
        <v>11198</v>
      </c>
    </row>
    <row r="6091" spans="1:2" ht="15">
      <c r="A6091" s="77" t="s">
        <v>9980</v>
      </c>
      <c r="B6091" s="76" t="s">
        <v>11198</v>
      </c>
    </row>
    <row r="6092" spans="1:2" ht="15">
      <c r="A6092" s="77" t="s">
        <v>9981</v>
      </c>
      <c r="B6092" s="76" t="s">
        <v>11198</v>
      </c>
    </row>
    <row r="6093" spans="1:2" ht="15">
      <c r="A6093" s="77" t="s">
        <v>9982</v>
      </c>
      <c r="B6093" s="76" t="s">
        <v>11198</v>
      </c>
    </row>
    <row r="6094" spans="1:2" ht="15">
      <c r="A6094" s="77" t="s">
        <v>9983</v>
      </c>
      <c r="B6094" s="76" t="s">
        <v>11198</v>
      </c>
    </row>
    <row r="6095" spans="1:2" ht="15">
      <c r="A6095" s="77" t="s">
        <v>9984</v>
      </c>
      <c r="B6095" s="76" t="s">
        <v>11198</v>
      </c>
    </row>
    <row r="6096" spans="1:2" ht="15">
      <c r="A6096" s="77" t="s">
        <v>9985</v>
      </c>
      <c r="B6096" s="76" t="s">
        <v>11198</v>
      </c>
    </row>
    <row r="6097" spans="1:2" ht="15">
      <c r="A6097" s="77" t="s">
        <v>9986</v>
      </c>
      <c r="B6097" s="76" t="s">
        <v>11198</v>
      </c>
    </row>
    <row r="6098" spans="1:2" ht="15">
      <c r="A6098" s="77" t="s">
        <v>9987</v>
      </c>
      <c r="B6098" s="76" t="s">
        <v>11198</v>
      </c>
    </row>
    <row r="6099" spans="1:2" ht="15">
      <c r="A6099" s="77" t="s">
        <v>9988</v>
      </c>
      <c r="B6099" s="76" t="s">
        <v>11198</v>
      </c>
    </row>
    <row r="6100" spans="1:2" ht="15">
      <c r="A6100" s="77" t="s">
        <v>9989</v>
      </c>
      <c r="B6100" s="76" t="s">
        <v>11198</v>
      </c>
    </row>
    <row r="6101" spans="1:2" ht="15">
      <c r="A6101" s="77" t="s">
        <v>9990</v>
      </c>
      <c r="B6101" s="76" t="s">
        <v>11198</v>
      </c>
    </row>
    <row r="6102" spans="1:2" ht="15">
      <c r="A6102" s="77" t="s">
        <v>9991</v>
      </c>
      <c r="B6102" s="76" t="s">
        <v>11198</v>
      </c>
    </row>
    <row r="6103" spans="1:2" ht="15">
      <c r="A6103" s="77" t="s">
        <v>9992</v>
      </c>
      <c r="B6103" s="76" t="s">
        <v>11198</v>
      </c>
    </row>
    <row r="6104" spans="1:2" ht="15">
      <c r="A6104" s="77" t="s">
        <v>9993</v>
      </c>
      <c r="B6104" s="76" t="s">
        <v>11198</v>
      </c>
    </row>
    <row r="6105" spans="1:2" ht="15">
      <c r="A6105" s="77" t="s">
        <v>9994</v>
      </c>
      <c r="B6105" s="76" t="s">
        <v>11198</v>
      </c>
    </row>
    <row r="6106" spans="1:2" ht="15">
      <c r="A6106" s="77" t="s">
        <v>9995</v>
      </c>
      <c r="B6106" s="76" t="s">
        <v>11198</v>
      </c>
    </row>
    <row r="6107" spans="1:2" ht="15">
      <c r="A6107" s="77" t="s">
        <v>9996</v>
      </c>
      <c r="B6107" s="76" t="s">
        <v>11198</v>
      </c>
    </row>
    <row r="6108" spans="1:2" ht="15">
      <c r="A6108" s="77" t="s">
        <v>9997</v>
      </c>
      <c r="B6108" s="76" t="s">
        <v>11198</v>
      </c>
    </row>
    <row r="6109" spans="1:2" ht="15">
      <c r="A6109" s="77" t="s">
        <v>9998</v>
      </c>
      <c r="B6109" s="76" t="s">
        <v>11198</v>
      </c>
    </row>
    <row r="6110" spans="1:2" ht="15">
      <c r="A6110" s="77" t="s">
        <v>9999</v>
      </c>
      <c r="B6110" s="76" t="s">
        <v>11198</v>
      </c>
    </row>
    <row r="6111" spans="1:2" ht="15">
      <c r="A6111" s="77" t="s">
        <v>10000</v>
      </c>
      <c r="B6111" s="76" t="s">
        <v>11198</v>
      </c>
    </row>
    <row r="6112" spans="1:2" ht="15">
      <c r="A6112" s="77" t="s">
        <v>10001</v>
      </c>
      <c r="B6112" s="76" t="s">
        <v>11198</v>
      </c>
    </row>
    <row r="6113" spans="1:2" ht="15">
      <c r="A6113" s="77" t="s">
        <v>10002</v>
      </c>
      <c r="B6113" s="76" t="s">
        <v>11198</v>
      </c>
    </row>
    <row r="6114" spans="1:2" ht="15">
      <c r="A6114" s="77" t="s">
        <v>10003</v>
      </c>
      <c r="B6114" s="76" t="s">
        <v>11198</v>
      </c>
    </row>
    <row r="6115" spans="1:2" ht="15">
      <c r="A6115" s="77" t="s">
        <v>10004</v>
      </c>
      <c r="B6115" s="76" t="s">
        <v>11198</v>
      </c>
    </row>
    <row r="6116" spans="1:2" ht="15">
      <c r="A6116" s="77" t="s">
        <v>10005</v>
      </c>
      <c r="B6116" s="76" t="s">
        <v>11198</v>
      </c>
    </row>
    <row r="6117" spans="1:2" ht="15">
      <c r="A6117" s="77" t="s">
        <v>10006</v>
      </c>
      <c r="B6117" s="76" t="s">
        <v>11198</v>
      </c>
    </row>
    <row r="6118" spans="1:2" ht="15">
      <c r="A6118" s="77" t="s">
        <v>10007</v>
      </c>
      <c r="B6118" s="76" t="s">
        <v>11198</v>
      </c>
    </row>
    <row r="6119" spans="1:2" ht="15">
      <c r="A6119" s="77" t="s">
        <v>10008</v>
      </c>
      <c r="B6119" s="76" t="s">
        <v>11198</v>
      </c>
    </row>
    <row r="6120" spans="1:2" ht="15">
      <c r="A6120" s="77" t="s">
        <v>10009</v>
      </c>
      <c r="B6120" s="76" t="s">
        <v>11198</v>
      </c>
    </row>
    <row r="6121" spans="1:2" ht="15">
      <c r="A6121" s="77" t="s">
        <v>10010</v>
      </c>
      <c r="B6121" s="76" t="s">
        <v>11198</v>
      </c>
    </row>
    <row r="6122" spans="1:2" ht="15">
      <c r="A6122" s="77" t="s">
        <v>10011</v>
      </c>
      <c r="B6122" s="76" t="s">
        <v>11198</v>
      </c>
    </row>
    <row r="6123" spans="1:2" ht="15">
      <c r="A6123" s="77" t="s">
        <v>10012</v>
      </c>
      <c r="B6123" s="76" t="s">
        <v>11198</v>
      </c>
    </row>
    <row r="6124" spans="1:2" ht="15">
      <c r="A6124" s="77" t="s">
        <v>10013</v>
      </c>
      <c r="B6124" s="76" t="s">
        <v>11198</v>
      </c>
    </row>
    <row r="6125" spans="1:2" ht="15">
      <c r="A6125" s="77" t="s">
        <v>10014</v>
      </c>
      <c r="B6125" s="76" t="s">
        <v>11198</v>
      </c>
    </row>
    <row r="6126" spans="1:2" ht="15">
      <c r="A6126" s="77" t="s">
        <v>10015</v>
      </c>
      <c r="B6126" s="76" t="s">
        <v>11198</v>
      </c>
    </row>
    <row r="6127" spans="1:2" ht="15">
      <c r="A6127" s="77" t="s">
        <v>10016</v>
      </c>
      <c r="B6127" s="76" t="s">
        <v>11198</v>
      </c>
    </row>
    <row r="6128" spans="1:2" ht="15">
      <c r="A6128" s="77" t="s">
        <v>10017</v>
      </c>
      <c r="B6128" s="76" t="s">
        <v>11198</v>
      </c>
    </row>
    <row r="6129" spans="1:2" ht="15">
      <c r="A6129" s="77" t="s">
        <v>10018</v>
      </c>
      <c r="B6129" s="76" t="s">
        <v>11198</v>
      </c>
    </row>
    <row r="6130" spans="1:2" ht="15">
      <c r="A6130" s="77" t="s">
        <v>10019</v>
      </c>
      <c r="B6130" s="76" t="s">
        <v>11198</v>
      </c>
    </row>
    <row r="6131" spans="1:2" ht="15">
      <c r="A6131" s="77" t="s">
        <v>10020</v>
      </c>
      <c r="B6131" s="76" t="s">
        <v>11198</v>
      </c>
    </row>
    <row r="6132" spans="1:2" ht="15">
      <c r="A6132" s="77" t="s">
        <v>10021</v>
      </c>
      <c r="B6132" s="76" t="s">
        <v>11198</v>
      </c>
    </row>
    <row r="6133" spans="1:2" ht="15">
      <c r="A6133" s="77" t="s">
        <v>10022</v>
      </c>
      <c r="B6133" s="76" t="s">
        <v>11198</v>
      </c>
    </row>
    <row r="6134" spans="1:2" ht="15">
      <c r="A6134" s="77" t="s">
        <v>10023</v>
      </c>
      <c r="B6134" s="76" t="s">
        <v>11198</v>
      </c>
    </row>
    <row r="6135" spans="1:2" ht="15">
      <c r="A6135" s="77" t="s">
        <v>10024</v>
      </c>
      <c r="B6135" s="76" t="s">
        <v>11198</v>
      </c>
    </row>
    <row r="6136" spans="1:2" ht="15">
      <c r="A6136" s="77" t="s">
        <v>10025</v>
      </c>
      <c r="B6136" s="76" t="s">
        <v>11198</v>
      </c>
    </row>
    <row r="6137" spans="1:2" ht="15">
      <c r="A6137" s="77" t="s">
        <v>10026</v>
      </c>
      <c r="B6137" s="76" t="s">
        <v>11198</v>
      </c>
    </row>
    <row r="6138" spans="1:2" ht="15">
      <c r="A6138" s="77" t="s">
        <v>10027</v>
      </c>
      <c r="B6138" s="76" t="s">
        <v>11198</v>
      </c>
    </row>
    <row r="6139" spans="1:2" ht="15">
      <c r="A6139" s="77" t="s">
        <v>10028</v>
      </c>
      <c r="B6139" s="76" t="s">
        <v>11198</v>
      </c>
    </row>
    <row r="6140" spans="1:2" ht="15">
      <c r="A6140" s="77" t="s">
        <v>10029</v>
      </c>
      <c r="B6140" s="76" t="s">
        <v>11198</v>
      </c>
    </row>
    <row r="6141" spans="1:2" ht="15">
      <c r="A6141" s="77" t="s">
        <v>10030</v>
      </c>
      <c r="B6141" s="76" t="s">
        <v>11198</v>
      </c>
    </row>
    <row r="6142" spans="1:2" ht="15">
      <c r="A6142" s="77" t="s">
        <v>10031</v>
      </c>
      <c r="B6142" s="76" t="s">
        <v>11198</v>
      </c>
    </row>
    <row r="6143" spans="1:2" ht="15">
      <c r="A6143" s="77" t="s">
        <v>10032</v>
      </c>
      <c r="B6143" s="76" t="s">
        <v>11198</v>
      </c>
    </row>
    <row r="6144" spans="1:2" ht="15">
      <c r="A6144" s="77" t="s">
        <v>10033</v>
      </c>
      <c r="B6144" s="76" t="s">
        <v>11198</v>
      </c>
    </row>
    <row r="6145" spans="1:2" ht="15">
      <c r="A6145" s="77" t="s">
        <v>10034</v>
      </c>
      <c r="B6145" s="76" t="s">
        <v>11198</v>
      </c>
    </row>
    <row r="6146" spans="1:2" ht="15">
      <c r="A6146" s="77" t="s">
        <v>10035</v>
      </c>
      <c r="B6146" s="76" t="s">
        <v>11198</v>
      </c>
    </row>
    <row r="6147" spans="1:2" ht="15">
      <c r="A6147" s="77" t="s">
        <v>10036</v>
      </c>
      <c r="B6147" s="76" t="s">
        <v>11198</v>
      </c>
    </row>
    <row r="6148" spans="1:2" ht="15">
      <c r="A6148" s="77" t="s">
        <v>10037</v>
      </c>
      <c r="B6148" s="76" t="s">
        <v>11198</v>
      </c>
    </row>
    <row r="6149" spans="1:2" ht="15">
      <c r="A6149" s="77" t="s">
        <v>10038</v>
      </c>
      <c r="B6149" s="76" t="s">
        <v>11198</v>
      </c>
    </row>
    <row r="6150" spans="1:2" ht="15">
      <c r="A6150" s="77" t="s">
        <v>10039</v>
      </c>
      <c r="B6150" s="76" t="s">
        <v>11198</v>
      </c>
    </row>
    <row r="6151" spans="1:2" ht="15">
      <c r="A6151" s="77" t="s">
        <v>10040</v>
      </c>
      <c r="B6151" s="76" t="s">
        <v>11198</v>
      </c>
    </row>
    <row r="6152" spans="1:2" ht="15">
      <c r="A6152" s="77" t="s">
        <v>10041</v>
      </c>
      <c r="B6152" s="76" t="s">
        <v>11198</v>
      </c>
    </row>
    <row r="6153" spans="1:2" ht="15">
      <c r="A6153" s="77" t="s">
        <v>10042</v>
      </c>
      <c r="B6153" s="76" t="s">
        <v>11198</v>
      </c>
    </row>
    <row r="6154" spans="1:2" ht="15">
      <c r="A6154" s="77" t="s">
        <v>10043</v>
      </c>
      <c r="B6154" s="76" t="s">
        <v>11198</v>
      </c>
    </row>
    <row r="6155" spans="1:2" ht="15">
      <c r="A6155" s="77" t="s">
        <v>10044</v>
      </c>
      <c r="B6155" s="76" t="s">
        <v>11198</v>
      </c>
    </row>
    <row r="6156" spans="1:2" ht="15">
      <c r="A6156" s="77" t="s">
        <v>10045</v>
      </c>
      <c r="B6156" s="76" t="s">
        <v>11198</v>
      </c>
    </row>
    <row r="6157" spans="1:2" ht="15">
      <c r="A6157" s="77" t="s">
        <v>10046</v>
      </c>
      <c r="B6157" s="76" t="s">
        <v>11198</v>
      </c>
    </row>
    <row r="6158" spans="1:2" ht="15">
      <c r="A6158" s="77" t="s">
        <v>10047</v>
      </c>
      <c r="B6158" s="76" t="s">
        <v>11198</v>
      </c>
    </row>
    <row r="6159" spans="1:2" ht="15">
      <c r="A6159" s="77" t="s">
        <v>10048</v>
      </c>
      <c r="B6159" s="76" t="s">
        <v>11198</v>
      </c>
    </row>
    <row r="6160" spans="1:2" ht="15">
      <c r="A6160" s="77" t="s">
        <v>10049</v>
      </c>
      <c r="B6160" s="76" t="s">
        <v>11198</v>
      </c>
    </row>
    <row r="6161" spans="1:2" ht="15">
      <c r="A6161" s="77" t="s">
        <v>10050</v>
      </c>
      <c r="B6161" s="76" t="s">
        <v>11198</v>
      </c>
    </row>
    <row r="6162" spans="1:2" ht="15">
      <c r="A6162" s="77" t="s">
        <v>10051</v>
      </c>
      <c r="B6162" s="76" t="s">
        <v>11198</v>
      </c>
    </row>
    <row r="6163" spans="1:2" ht="15">
      <c r="A6163" s="77" t="s">
        <v>10052</v>
      </c>
      <c r="B6163" s="76" t="s">
        <v>11198</v>
      </c>
    </row>
    <row r="6164" spans="1:2" ht="15">
      <c r="A6164" s="77" t="s">
        <v>10053</v>
      </c>
      <c r="B6164" s="76" t="s">
        <v>11198</v>
      </c>
    </row>
    <row r="6165" spans="1:2" ht="15">
      <c r="A6165" s="77" t="s">
        <v>10054</v>
      </c>
      <c r="B6165" s="76" t="s">
        <v>11198</v>
      </c>
    </row>
    <row r="6166" spans="1:2" ht="15">
      <c r="A6166" s="77" t="s">
        <v>10055</v>
      </c>
      <c r="B6166" s="76" t="s">
        <v>11198</v>
      </c>
    </row>
    <row r="6167" spans="1:2" ht="15">
      <c r="A6167" s="77" t="s">
        <v>10056</v>
      </c>
      <c r="B6167" s="76" t="s">
        <v>11198</v>
      </c>
    </row>
    <row r="6168" spans="1:2" ht="15">
      <c r="A6168" s="77" t="s">
        <v>10057</v>
      </c>
      <c r="B6168" s="76" t="s">
        <v>11198</v>
      </c>
    </row>
    <row r="6169" spans="1:2" ht="15">
      <c r="A6169" s="77" t="s">
        <v>10058</v>
      </c>
      <c r="B6169" s="76" t="s">
        <v>11198</v>
      </c>
    </row>
    <row r="6170" spans="1:2" ht="15">
      <c r="A6170" s="77" t="s">
        <v>10059</v>
      </c>
      <c r="B6170" s="76" t="s">
        <v>11198</v>
      </c>
    </row>
    <row r="6171" spans="1:2" ht="15">
      <c r="A6171" s="77" t="s">
        <v>10060</v>
      </c>
      <c r="B6171" s="76" t="s">
        <v>11198</v>
      </c>
    </row>
    <row r="6172" spans="1:2" ht="15">
      <c r="A6172" s="77" t="s">
        <v>10061</v>
      </c>
      <c r="B6172" s="76" t="s">
        <v>11198</v>
      </c>
    </row>
    <row r="6173" spans="1:2" ht="15">
      <c r="A6173" s="77" t="s">
        <v>10062</v>
      </c>
      <c r="B6173" s="76" t="s">
        <v>11198</v>
      </c>
    </row>
    <row r="6174" spans="1:2" ht="15">
      <c r="A6174" s="77" t="s">
        <v>10063</v>
      </c>
      <c r="B6174" s="76" t="s">
        <v>11198</v>
      </c>
    </row>
    <row r="6175" spans="1:2" ht="15">
      <c r="A6175" s="77" t="s">
        <v>10064</v>
      </c>
      <c r="B6175" s="76" t="s">
        <v>11198</v>
      </c>
    </row>
    <row r="6176" spans="1:2" ht="15">
      <c r="A6176" s="77" t="s">
        <v>10065</v>
      </c>
      <c r="B6176" s="76" t="s">
        <v>11198</v>
      </c>
    </row>
    <row r="6177" spans="1:2" ht="15">
      <c r="A6177" s="77" t="s">
        <v>10066</v>
      </c>
      <c r="B6177" s="76" t="s">
        <v>11198</v>
      </c>
    </row>
    <row r="6178" spans="1:2" ht="15">
      <c r="A6178" s="77" t="s">
        <v>10067</v>
      </c>
      <c r="B6178" s="76" t="s">
        <v>11198</v>
      </c>
    </row>
    <row r="6179" spans="1:2" ht="15">
      <c r="A6179" s="77" t="s">
        <v>10068</v>
      </c>
      <c r="B6179" s="76" t="s">
        <v>11198</v>
      </c>
    </row>
    <row r="6180" spans="1:2" ht="15">
      <c r="A6180" s="77" t="s">
        <v>10069</v>
      </c>
      <c r="B6180" s="76" t="s">
        <v>11198</v>
      </c>
    </row>
    <row r="6181" spans="1:2" ht="15">
      <c r="A6181" s="77" t="s">
        <v>10070</v>
      </c>
      <c r="B6181" s="76" t="s">
        <v>11198</v>
      </c>
    </row>
    <row r="6182" spans="1:2" ht="15">
      <c r="A6182" s="77" t="s">
        <v>10071</v>
      </c>
      <c r="B6182" s="76" t="s">
        <v>11198</v>
      </c>
    </row>
    <row r="6183" spans="1:2" ht="15">
      <c r="A6183" s="77" t="s">
        <v>10072</v>
      </c>
      <c r="B6183" s="76" t="s">
        <v>11198</v>
      </c>
    </row>
    <row r="6184" spans="1:2" ht="15">
      <c r="A6184" s="77" t="s">
        <v>10073</v>
      </c>
      <c r="B6184" s="76" t="s">
        <v>11198</v>
      </c>
    </row>
    <row r="6185" spans="1:2" ht="15">
      <c r="A6185" s="77" t="s">
        <v>10074</v>
      </c>
      <c r="B6185" s="76" t="s">
        <v>11198</v>
      </c>
    </row>
    <row r="6186" spans="1:2" ht="15">
      <c r="A6186" s="77" t="s">
        <v>10075</v>
      </c>
      <c r="B6186" s="76" t="s">
        <v>11198</v>
      </c>
    </row>
    <row r="6187" spans="1:2" ht="15">
      <c r="A6187" s="77" t="s">
        <v>10076</v>
      </c>
      <c r="B6187" s="76" t="s">
        <v>11198</v>
      </c>
    </row>
    <row r="6188" spans="1:2" ht="15">
      <c r="A6188" s="77" t="s">
        <v>10077</v>
      </c>
      <c r="B6188" s="76" t="s">
        <v>11198</v>
      </c>
    </row>
    <row r="6189" spans="1:2" ht="15">
      <c r="A6189" s="77" t="s">
        <v>10078</v>
      </c>
      <c r="B6189" s="76" t="s">
        <v>11198</v>
      </c>
    </row>
    <row r="6190" spans="1:2" ht="15">
      <c r="A6190" s="77" t="s">
        <v>10079</v>
      </c>
      <c r="B6190" s="76" t="s">
        <v>11198</v>
      </c>
    </row>
    <row r="6191" spans="1:2" ht="15">
      <c r="A6191" s="77" t="s">
        <v>10080</v>
      </c>
      <c r="B6191" s="76" t="s">
        <v>11198</v>
      </c>
    </row>
    <row r="6192" spans="1:2" ht="15">
      <c r="A6192" s="77" t="s">
        <v>10081</v>
      </c>
      <c r="B6192" s="76" t="s">
        <v>11198</v>
      </c>
    </row>
    <row r="6193" spans="1:2" ht="15">
      <c r="A6193" s="77" t="s">
        <v>10082</v>
      </c>
      <c r="B6193" s="76" t="s">
        <v>11198</v>
      </c>
    </row>
    <row r="6194" spans="1:2" ht="15">
      <c r="A6194" s="77" t="s">
        <v>10083</v>
      </c>
      <c r="B6194" s="76" t="s">
        <v>11198</v>
      </c>
    </row>
    <row r="6195" spans="1:2" ht="15">
      <c r="A6195" s="77" t="s">
        <v>10084</v>
      </c>
      <c r="B6195" s="76" t="s">
        <v>11198</v>
      </c>
    </row>
    <row r="6196" spans="1:2" ht="15">
      <c r="A6196" s="77" t="s">
        <v>10085</v>
      </c>
      <c r="B6196" s="76" t="s">
        <v>11198</v>
      </c>
    </row>
    <row r="6197" spans="1:2" ht="15">
      <c r="A6197" s="77" t="s">
        <v>10086</v>
      </c>
      <c r="B6197" s="76" t="s">
        <v>11198</v>
      </c>
    </row>
    <row r="6198" spans="1:2" ht="15">
      <c r="A6198" s="77" t="s">
        <v>10087</v>
      </c>
      <c r="B6198" s="76" t="s">
        <v>11198</v>
      </c>
    </row>
    <row r="6199" spans="1:2" ht="15">
      <c r="A6199" s="77" t="s">
        <v>10088</v>
      </c>
      <c r="B6199" s="76" t="s">
        <v>11198</v>
      </c>
    </row>
    <row r="6200" spans="1:2" ht="15">
      <c r="A6200" s="77" t="s">
        <v>10089</v>
      </c>
      <c r="B6200" s="76" t="s">
        <v>11198</v>
      </c>
    </row>
    <row r="6201" spans="1:2" ht="15">
      <c r="A6201" s="77" t="s">
        <v>10090</v>
      </c>
      <c r="B6201" s="76" t="s">
        <v>11198</v>
      </c>
    </row>
    <row r="6202" spans="1:2" ht="15">
      <c r="A6202" s="77" t="s">
        <v>10091</v>
      </c>
      <c r="B6202" s="76" t="s">
        <v>11198</v>
      </c>
    </row>
    <row r="6203" spans="1:2" ht="15">
      <c r="A6203" s="77" t="s">
        <v>10092</v>
      </c>
      <c r="B6203" s="76" t="s">
        <v>11198</v>
      </c>
    </row>
    <row r="6204" spans="1:2" ht="15">
      <c r="A6204" s="77" t="s">
        <v>10093</v>
      </c>
      <c r="B6204" s="76" t="s">
        <v>11198</v>
      </c>
    </row>
    <row r="6205" spans="1:2" ht="15">
      <c r="A6205" s="77" t="s">
        <v>10094</v>
      </c>
      <c r="B6205" s="76" t="s">
        <v>11198</v>
      </c>
    </row>
    <row r="6206" spans="1:2" ht="15">
      <c r="A6206" s="77" t="s">
        <v>10095</v>
      </c>
      <c r="B6206" s="76" t="s">
        <v>11198</v>
      </c>
    </row>
    <row r="6207" spans="1:2" ht="15">
      <c r="A6207" s="77" t="s">
        <v>10096</v>
      </c>
      <c r="B6207" s="76" t="s">
        <v>11198</v>
      </c>
    </row>
    <row r="6208" spans="1:2" ht="15">
      <c r="A6208" s="77" t="s">
        <v>10097</v>
      </c>
      <c r="B6208" s="76" t="s">
        <v>11198</v>
      </c>
    </row>
    <row r="6209" spans="1:2" ht="15">
      <c r="A6209" s="77" t="s">
        <v>10098</v>
      </c>
      <c r="B6209" s="76" t="s">
        <v>11198</v>
      </c>
    </row>
    <row r="6210" spans="1:2" ht="15">
      <c r="A6210" s="77" t="s">
        <v>10099</v>
      </c>
      <c r="B6210" s="76" t="s">
        <v>11198</v>
      </c>
    </row>
    <row r="6211" spans="1:2" ht="15">
      <c r="A6211" s="77" t="s">
        <v>10100</v>
      </c>
      <c r="B6211" s="76" t="s">
        <v>11198</v>
      </c>
    </row>
    <row r="6212" spans="1:2" ht="15">
      <c r="A6212" s="77" t="s">
        <v>10101</v>
      </c>
      <c r="B6212" s="76" t="s">
        <v>11198</v>
      </c>
    </row>
    <row r="6213" spans="1:2" ht="15">
      <c r="A6213" s="77" t="s">
        <v>10102</v>
      </c>
      <c r="B6213" s="76" t="s">
        <v>11198</v>
      </c>
    </row>
    <row r="6214" spans="1:2" ht="15">
      <c r="A6214" s="77" t="s">
        <v>10103</v>
      </c>
      <c r="B6214" s="76" t="s">
        <v>11198</v>
      </c>
    </row>
    <row r="6215" spans="1:2" ht="15">
      <c r="A6215" s="77" t="s">
        <v>10104</v>
      </c>
      <c r="B6215" s="76" t="s">
        <v>11198</v>
      </c>
    </row>
    <row r="6216" spans="1:2" ht="15">
      <c r="A6216" s="77" t="s">
        <v>10105</v>
      </c>
      <c r="B6216" s="76" t="s">
        <v>11198</v>
      </c>
    </row>
    <row r="6217" spans="1:2" ht="15">
      <c r="A6217" s="77" t="s">
        <v>10106</v>
      </c>
      <c r="B6217" s="76" t="s">
        <v>11198</v>
      </c>
    </row>
    <row r="6218" spans="1:2" ht="15">
      <c r="A6218" s="77" t="s">
        <v>10107</v>
      </c>
      <c r="B6218" s="76" t="s">
        <v>11198</v>
      </c>
    </row>
    <row r="6219" spans="1:2" ht="15">
      <c r="A6219" s="77" t="s">
        <v>10108</v>
      </c>
      <c r="B6219" s="76" t="s">
        <v>11198</v>
      </c>
    </row>
    <row r="6220" spans="1:2" ht="15">
      <c r="A6220" s="77" t="s">
        <v>10109</v>
      </c>
      <c r="B6220" s="76" t="s">
        <v>11198</v>
      </c>
    </row>
    <row r="6221" spans="1:2" ht="15">
      <c r="A6221" s="77" t="s">
        <v>10110</v>
      </c>
      <c r="B6221" s="76" t="s">
        <v>11198</v>
      </c>
    </row>
    <row r="6222" spans="1:2" ht="15">
      <c r="A6222" s="77" t="s">
        <v>10111</v>
      </c>
      <c r="B6222" s="76" t="s">
        <v>11198</v>
      </c>
    </row>
    <row r="6223" spans="1:2" ht="15">
      <c r="A6223" s="77" t="s">
        <v>10112</v>
      </c>
      <c r="B6223" s="76" t="s">
        <v>11198</v>
      </c>
    </row>
    <row r="6224" spans="1:2" ht="15">
      <c r="A6224" s="77" t="s">
        <v>10113</v>
      </c>
      <c r="B6224" s="76" t="s">
        <v>11198</v>
      </c>
    </row>
    <row r="6225" spans="1:2" ht="15">
      <c r="A6225" s="77" t="s">
        <v>10114</v>
      </c>
      <c r="B6225" s="76" t="s">
        <v>11198</v>
      </c>
    </row>
    <row r="6226" spans="1:2" ht="15">
      <c r="A6226" s="77" t="s">
        <v>10115</v>
      </c>
      <c r="B6226" s="76" t="s">
        <v>11198</v>
      </c>
    </row>
    <row r="6227" spans="1:2" ht="15">
      <c r="A6227" s="77" t="s">
        <v>10116</v>
      </c>
      <c r="B6227" s="76" t="s">
        <v>11198</v>
      </c>
    </row>
    <row r="6228" spans="1:2" ht="15">
      <c r="A6228" s="77" t="s">
        <v>10117</v>
      </c>
      <c r="B6228" s="76" t="s">
        <v>11198</v>
      </c>
    </row>
    <row r="6229" spans="1:2" ht="15">
      <c r="A6229" s="77" t="s">
        <v>10118</v>
      </c>
      <c r="B6229" s="76" t="s">
        <v>11198</v>
      </c>
    </row>
    <row r="6230" spans="1:2" ht="15">
      <c r="A6230" s="77" t="s">
        <v>10119</v>
      </c>
      <c r="B6230" s="76" t="s">
        <v>11198</v>
      </c>
    </row>
    <row r="6231" spans="1:2" ht="15">
      <c r="A6231" s="77" t="s">
        <v>10120</v>
      </c>
      <c r="B6231" s="76" t="s">
        <v>11198</v>
      </c>
    </row>
    <row r="6232" spans="1:2" ht="15">
      <c r="A6232" s="77" t="s">
        <v>10121</v>
      </c>
      <c r="B6232" s="76" t="s">
        <v>11198</v>
      </c>
    </row>
    <row r="6233" spans="1:2" ht="15">
      <c r="A6233" s="77" t="s">
        <v>10122</v>
      </c>
      <c r="B6233" s="76" t="s">
        <v>11198</v>
      </c>
    </row>
    <row r="6234" spans="1:2" ht="15">
      <c r="A6234" s="77" t="s">
        <v>10123</v>
      </c>
      <c r="B6234" s="76" t="s">
        <v>11198</v>
      </c>
    </row>
    <row r="6235" spans="1:2" ht="15">
      <c r="A6235" s="77" t="s">
        <v>10124</v>
      </c>
      <c r="B6235" s="76" t="s">
        <v>11198</v>
      </c>
    </row>
    <row r="6236" spans="1:2" ht="15">
      <c r="A6236" s="77" t="s">
        <v>10125</v>
      </c>
      <c r="B6236" s="76" t="s">
        <v>11198</v>
      </c>
    </row>
    <row r="6237" spans="1:2" ht="15">
      <c r="A6237" s="77" t="s">
        <v>10126</v>
      </c>
      <c r="B6237" s="76" t="s">
        <v>11198</v>
      </c>
    </row>
    <row r="6238" spans="1:2" ht="15">
      <c r="A6238" s="77" t="s">
        <v>10127</v>
      </c>
      <c r="B6238" s="76" t="s">
        <v>11198</v>
      </c>
    </row>
    <row r="6239" spans="1:2" ht="15">
      <c r="A6239" s="77" t="s">
        <v>10128</v>
      </c>
      <c r="B6239" s="76" t="s">
        <v>11198</v>
      </c>
    </row>
    <row r="6240" spans="1:2" ht="15">
      <c r="A6240" s="77" t="s">
        <v>10129</v>
      </c>
      <c r="B6240" s="76" t="s">
        <v>11198</v>
      </c>
    </row>
    <row r="6241" spans="1:2" ht="15">
      <c r="A6241" s="77" t="s">
        <v>10130</v>
      </c>
      <c r="B6241" s="76" t="s">
        <v>11198</v>
      </c>
    </row>
    <row r="6242" spans="1:2" ht="15">
      <c r="A6242" s="77" t="s">
        <v>10131</v>
      </c>
      <c r="B6242" s="76" t="s">
        <v>11198</v>
      </c>
    </row>
    <row r="6243" spans="1:2" ht="15">
      <c r="A6243" s="77" t="s">
        <v>10132</v>
      </c>
      <c r="B6243" s="76" t="s">
        <v>11198</v>
      </c>
    </row>
    <row r="6244" spans="1:2" ht="15">
      <c r="A6244" s="77" t="s">
        <v>10133</v>
      </c>
      <c r="B6244" s="76" t="s">
        <v>11198</v>
      </c>
    </row>
    <row r="6245" spans="1:2" ht="15">
      <c r="A6245" s="77" t="s">
        <v>10134</v>
      </c>
      <c r="B6245" s="76" t="s">
        <v>11198</v>
      </c>
    </row>
    <row r="6246" spans="1:2" ht="15">
      <c r="A6246" s="77" t="s">
        <v>10135</v>
      </c>
      <c r="B6246" s="76" t="s">
        <v>11198</v>
      </c>
    </row>
    <row r="6247" spans="1:2" ht="15">
      <c r="A6247" s="77" t="s">
        <v>10136</v>
      </c>
      <c r="B6247" s="76" t="s">
        <v>11198</v>
      </c>
    </row>
    <row r="6248" spans="1:2" ht="15">
      <c r="A6248" s="77" t="s">
        <v>10137</v>
      </c>
      <c r="B6248" s="76" t="s">
        <v>11198</v>
      </c>
    </row>
    <row r="6249" spans="1:2" ht="15">
      <c r="A6249" s="77" t="s">
        <v>10138</v>
      </c>
      <c r="B6249" s="76" t="s">
        <v>11198</v>
      </c>
    </row>
    <row r="6250" spans="1:2" ht="15">
      <c r="A6250" s="77" t="s">
        <v>10139</v>
      </c>
      <c r="B6250" s="76" t="s">
        <v>11198</v>
      </c>
    </row>
    <row r="6251" spans="1:2" ht="15">
      <c r="A6251" s="77" t="s">
        <v>10140</v>
      </c>
      <c r="B6251" s="76" t="s">
        <v>11198</v>
      </c>
    </row>
    <row r="6252" spans="1:2" ht="15">
      <c r="A6252" s="77" t="s">
        <v>10141</v>
      </c>
      <c r="B6252" s="76" t="s">
        <v>11198</v>
      </c>
    </row>
    <row r="6253" spans="1:2" ht="15">
      <c r="A6253" s="77" t="s">
        <v>10142</v>
      </c>
      <c r="B6253" s="76" t="s">
        <v>11198</v>
      </c>
    </row>
    <row r="6254" spans="1:2" ht="15">
      <c r="A6254" s="77" t="s">
        <v>10143</v>
      </c>
      <c r="B6254" s="76" t="s">
        <v>11198</v>
      </c>
    </row>
    <row r="6255" spans="1:2" ht="15">
      <c r="A6255" s="77" t="s">
        <v>10144</v>
      </c>
      <c r="B6255" s="76" t="s">
        <v>11198</v>
      </c>
    </row>
    <row r="6256" spans="1:2" ht="15">
      <c r="A6256" s="77" t="s">
        <v>10145</v>
      </c>
      <c r="B6256" s="76" t="s">
        <v>11198</v>
      </c>
    </row>
    <row r="6257" spans="1:2" ht="15">
      <c r="A6257" s="77" t="s">
        <v>10146</v>
      </c>
      <c r="B6257" s="76" t="s">
        <v>11198</v>
      </c>
    </row>
    <row r="6258" spans="1:2" ht="15">
      <c r="A6258" s="77" t="s">
        <v>10147</v>
      </c>
      <c r="B6258" s="76" t="s">
        <v>11198</v>
      </c>
    </row>
    <row r="6259" spans="1:2" ht="15">
      <c r="A6259" s="77" t="s">
        <v>10148</v>
      </c>
      <c r="B6259" s="76" t="s">
        <v>11198</v>
      </c>
    </row>
    <row r="6260" spans="1:2" ht="15">
      <c r="A6260" s="77" t="s">
        <v>10149</v>
      </c>
      <c r="B6260" s="76" t="s">
        <v>11198</v>
      </c>
    </row>
    <row r="6261" spans="1:2" ht="15">
      <c r="A6261" s="77" t="s">
        <v>10150</v>
      </c>
      <c r="B6261" s="76" t="s">
        <v>11198</v>
      </c>
    </row>
    <row r="6262" spans="1:2" ht="15">
      <c r="A6262" s="77" t="s">
        <v>10151</v>
      </c>
      <c r="B6262" s="76" t="s">
        <v>11198</v>
      </c>
    </row>
    <row r="6263" spans="1:2" ht="15">
      <c r="A6263" s="77" t="s">
        <v>10152</v>
      </c>
      <c r="B6263" s="76" t="s">
        <v>11198</v>
      </c>
    </row>
    <row r="6264" spans="1:2" ht="15">
      <c r="A6264" s="77" t="s">
        <v>10153</v>
      </c>
      <c r="B6264" s="76" t="s">
        <v>11198</v>
      </c>
    </row>
    <row r="6265" spans="1:2" ht="15">
      <c r="A6265" s="77" t="s">
        <v>10154</v>
      </c>
      <c r="B6265" s="76" t="s">
        <v>11198</v>
      </c>
    </row>
    <row r="6266" spans="1:2" ht="15">
      <c r="A6266" s="77" t="s">
        <v>10155</v>
      </c>
      <c r="B6266" s="76" t="s">
        <v>11198</v>
      </c>
    </row>
    <row r="6267" spans="1:2" ht="15">
      <c r="A6267" s="77" t="s">
        <v>10156</v>
      </c>
      <c r="B6267" s="76" t="s">
        <v>11198</v>
      </c>
    </row>
    <row r="6268" spans="1:2" ht="15">
      <c r="A6268" s="77" t="s">
        <v>10157</v>
      </c>
      <c r="B6268" s="76" t="s">
        <v>11198</v>
      </c>
    </row>
    <row r="6269" spans="1:2" ht="15">
      <c r="A6269" s="77" t="s">
        <v>10158</v>
      </c>
      <c r="B6269" s="76" t="s">
        <v>11198</v>
      </c>
    </row>
    <row r="6270" spans="1:2" ht="15">
      <c r="A6270" s="77" t="s">
        <v>10159</v>
      </c>
      <c r="B6270" s="76" t="s">
        <v>11198</v>
      </c>
    </row>
    <row r="6271" spans="1:2" ht="15">
      <c r="A6271" s="77" t="s">
        <v>10160</v>
      </c>
      <c r="B6271" s="76" t="s">
        <v>11198</v>
      </c>
    </row>
    <row r="6272" spans="1:2" ht="15">
      <c r="A6272" s="77" t="s">
        <v>10161</v>
      </c>
      <c r="B6272" s="76" t="s">
        <v>11198</v>
      </c>
    </row>
    <row r="6273" spans="1:2" ht="15">
      <c r="A6273" s="77" t="s">
        <v>10162</v>
      </c>
      <c r="B6273" s="76" t="s">
        <v>11198</v>
      </c>
    </row>
    <row r="6274" spans="1:2" ht="15">
      <c r="A6274" s="77" t="s">
        <v>10163</v>
      </c>
      <c r="B6274" s="76" t="s">
        <v>11198</v>
      </c>
    </row>
    <row r="6275" spans="1:2" ht="15">
      <c r="A6275" s="77" t="s">
        <v>10164</v>
      </c>
      <c r="B6275" s="76" t="s">
        <v>11198</v>
      </c>
    </row>
    <row r="6276" spans="1:2" ht="15">
      <c r="A6276" s="77" t="s">
        <v>10165</v>
      </c>
      <c r="B6276" s="76" t="s">
        <v>11198</v>
      </c>
    </row>
    <row r="6277" spans="1:2" ht="15">
      <c r="A6277" s="77" t="s">
        <v>10166</v>
      </c>
      <c r="B6277" s="76" t="s">
        <v>11198</v>
      </c>
    </row>
    <row r="6278" spans="1:2" ht="15">
      <c r="A6278" s="77" t="s">
        <v>10167</v>
      </c>
      <c r="B6278" s="76" t="s">
        <v>11198</v>
      </c>
    </row>
    <row r="6279" spans="1:2" ht="15">
      <c r="A6279" s="77" t="s">
        <v>10168</v>
      </c>
      <c r="B6279" s="76" t="s">
        <v>11198</v>
      </c>
    </row>
    <row r="6280" spans="1:2" ht="15">
      <c r="A6280" s="77" t="s">
        <v>10169</v>
      </c>
      <c r="B6280" s="76" t="s">
        <v>11198</v>
      </c>
    </row>
    <row r="6281" spans="1:2" ht="15">
      <c r="A6281" s="77" t="s">
        <v>10170</v>
      </c>
      <c r="B6281" s="76" t="s">
        <v>11198</v>
      </c>
    </row>
    <row r="6282" spans="1:2" ht="15">
      <c r="A6282" s="77" t="s">
        <v>10171</v>
      </c>
      <c r="B6282" s="76" t="s">
        <v>11198</v>
      </c>
    </row>
    <row r="6283" spans="1:2" ht="15">
      <c r="A6283" s="77" t="s">
        <v>10172</v>
      </c>
      <c r="B6283" s="76" t="s">
        <v>11198</v>
      </c>
    </row>
    <row r="6284" spans="1:2" ht="15">
      <c r="A6284" s="77" t="s">
        <v>10173</v>
      </c>
      <c r="B6284" s="76" t="s">
        <v>11198</v>
      </c>
    </row>
    <row r="6285" spans="1:2" ht="15">
      <c r="A6285" s="77" t="s">
        <v>10174</v>
      </c>
      <c r="B6285" s="76" t="s">
        <v>11198</v>
      </c>
    </row>
    <row r="6286" spans="1:2" ht="15">
      <c r="A6286" s="77" t="s">
        <v>10175</v>
      </c>
      <c r="B6286" s="76" t="s">
        <v>11198</v>
      </c>
    </row>
    <row r="6287" spans="1:2" ht="15">
      <c r="A6287" s="77" t="s">
        <v>10176</v>
      </c>
      <c r="B6287" s="76" t="s">
        <v>11198</v>
      </c>
    </row>
    <row r="6288" spans="1:2" ht="15">
      <c r="A6288" s="77" t="s">
        <v>10177</v>
      </c>
      <c r="B6288" s="76" t="s">
        <v>11198</v>
      </c>
    </row>
    <row r="6289" spans="1:2" ht="15">
      <c r="A6289" s="77" t="s">
        <v>10178</v>
      </c>
      <c r="B6289" s="76" t="s">
        <v>11198</v>
      </c>
    </row>
    <row r="6290" spans="1:2" ht="15">
      <c r="A6290" s="77" t="s">
        <v>10179</v>
      </c>
      <c r="B6290" s="76" t="s">
        <v>11198</v>
      </c>
    </row>
    <row r="6291" spans="1:2" ht="15">
      <c r="A6291" s="77" t="s">
        <v>10180</v>
      </c>
      <c r="B6291" s="76" t="s">
        <v>11198</v>
      </c>
    </row>
    <row r="6292" spans="1:2" ht="15">
      <c r="A6292" s="77" t="s">
        <v>10181</v>
      </c>
      <c r="B6292" s="76" t="s">
        <v>11198</v>
      </c>
    </row>
    <row r="6293" spans="1:2" ht="15">
      <c r="A6293" s="77" t="s">
        <v>10182</v>
      </c>
      <c r="B6293" s="76" t="s">
        <v>11198</v>
      </c>
    </row>
    <row r="6294" spans="1:2" ht="15">
      <c r="A6294" s="77" t="s">
        <v>10183</v>
      </c>
      <c r="B6294" s="76" t="s">
        <v>11198</v>
      </c>
    </row>
    <row r="6295" spans="1:2" ht="15">
      <c r="A6295" s="77" t="s">
        <v>10184</v>
      </c>
      <c r="B6295" s="76" t="s">
        <v>11198</v>
      </c>
    </row>
    <row r="6296" spans="1:2" ht="15">
      <c r="A6296" s="77" t="s">
        <v>10185</v>
      </c>
      <c r="B6296" s="76" t="s">
        <v>11198</v>
      </c>
    </row>
    <row r="6297" spans="1:2" ht="15">
      <c r="A6297" s="77" t="s">
        <v>10186</v>
      </c>
      <c r="B6297" s="76" t="s">
        <v>11198</v>
      </c>
    </row>
    <row r="6298" spans="1:2" ht="15">
      <c r="A6298" s="77" t="s">
        <v>10187</v>
      </c>
      <c r="B6298" s="76" t="s">
        <v>11198</v>
      </c>
    </row>
    <row r="6299" spans="1:2" ht="15">
      <c r="A6299" s="77" t="s">
        <v>10188</v>
      </c>
      <c r="B6299" s="76" t="s">
        <v>11198</v>
      </c>
    </row>
    <row r="6300" spans="1:2" ht="15">
      <c r="A6300" s="77" t="s">
        <v>10189</v>
      </c>
      <c r="B6300" s="76" t="s">
        <v>11198</v>
      </c>
    </row>
    <row r="6301" spans="1:2" ht="15">
      <c r="A6301" s="77" t="s">
        <v>10190</v>
      </c>
      <c r="B6301" s="76" t="s">
        <v>11198</v>
      </c>
    </row>
    <row r="6302" spans="1:2" ht="15">
      <c r="A6302" s="77" t="s">
        <v>10191</v>
      </c>
      <c r="B6302" s="76" t="s">
        <v>11198</v>
      </c>
    </row>
    <row r="6303" spans="1:2" ht="15">
      <c r="A6303" s="77" t="s">
        <v>10192</v>
      </c>
      <c r="B6303" s="76" t="s">
        <v>11198</v>
      </c>
    </row>
    <row r="6304" spans="1:2" ht="15">
      <c r="A6304" s="77" t="s">
        <v>10193</v>
      </c>
      <c r="B6304" s="76" t="s">
        <v>11198</v>
      </c>
    </row>
    <row r="6305" spans="1:2" ht="15">
      <c r="A6305" s="77" t="s">
        <v>10194</v>
      </c>
      <c r="B6305" s="76" t="s">
        <v>11198</v>
      </c>
    </row>
    <row r="6306" spans="1:2" ht="15">
      <c r="A6306" s="77" t="s">
        <v>10195</v>
      </c>
      <c r="B6306" s="76" t="s">
        <v>11198</v>
      </c>
    </row>
    <row r="6307" spans="1:2" ht="15">
      <c r="A6307" s="77" t="s">
        <v>10196</v>
      </c>
      <c r="B6307" s="76" t="s">
        <v>11198</v>
      </c>
    </row>
    <row r="6308" spans="1:2" ht="15">
      <c r="A6308" s="77" t="s">
        <v>10197</v>
      </c>
      <c r="B6308" s="76" t="s">
        <v>11198</v>
      </c>
    </row>
    <row r="6309" spans="1:2" ht="15">
      <c r="A6309" s="77" t="s">
        <v>10198</v>
      </c>
      <c r="B6309" s="76" t="s">
        <v>11198</v>
      </c>
    </row>
    <row r="6310" spans="1:2" ht="15">
      <c r="A6310" s="77" t="s">
        <v>10199</v>
      </c>
      <c r="B6310" s="76" t="s">
        <v>11198</v>
      </c>
    </row>
    <row r="6311" spans="1:2" ht="15">
      <c r="A6311" s="77" t="s">
        <v>10200</v>
      </c>
      <c r="B6311" s="76" t="s">
        <v>11198</v>
      </c>
    </row>
    <row r="6312" spans="1:2" ht="15">
      <c r="A6312" s="77" t="s">
        <v>10201</v>
      </c>
      <c r="B6312" s="76" t="s">
        <v>11198</v>
      </c>
    </row>
    <row r="6313" spans="1:2" ht="15">
      <c r="A6313" s="77" t="s">
        <v>10202</v>
      </c>
      <c r="B6313" s="76" t="s">
        <v>11198</v>
      </c>
    </row>
    <row r="6314" spans="1:2" ht="15">
      <c r="A6314" s="77" t="s">
        <v>10203</v>
      </c>
      <c r="B6314" s="76" t="s">
        <v>11198</v>
      </c>
    </row>
    <row r="6315" spans="1:2" ht="15">
      <c r="A6315" s="77" t="s">
        <v>10204</v>
      </c>
      <c r="B6315" s="76" t="s">
        <v>11198</v>
      </c>
    </row>
    <row r="6316" spans="1:2" ht="15">
      <c r="A6316" s="77" t="s">
        <v>10205</v>
      </c>
      <c r="B6316" s="76" t="s">
        <v>11198</v>
      </c>
    </row>
    <row r="6317" spans="1:2" ht="15">
      <c r="A6317" s="77" t="s">
        <v>10206</v>
      </c>
      <c r="B6317" s="76" t="s">
        <v>11198</v>
      </c>
    </row>
    <row r="6318" spans="1:2" ht="15">
      <c r="A6318" s="77" t="s">
        <v>10207</v>
      </c>
      <c r="B6318" s="76" t="s">
        <v>11198</v>
      </c>
    </row>
    <row r="6319" spans="1:2" ht="15">
      <c r="A6319" s="77" t="s">
        <v>10208</v>
      </c>
      <c r="B6319" s="76" t="s">
        <v>11198</v>
      </c>
    </row>
    <row r="6320" spans="1:2" ht="15">
      <c r="A6320" s="77" t="s">
        <v>3468</v>
      </c>
      <c r="B6320" s="76" t="s">
        <v>11198</v>
      </c>
    </row>
    <row r="6321" spans="1:2" ht="15">
      <c r="A6321" s="77" t="s">
        <v>10209</v>
      </c>
      <c r="B6321" s="76" t="s">
        <v>11198</v>
      </c>
    </row>
    <row r="6322" spans="1:2" ht="15">
      <c r="A6322" s="77" t="s">
        <v>10210</v>
      </c>
      <c r="B6322" s="76" t="s">
        <v>11198</v>
      </c>
    </row>
    <row r="6323" spans="1:2" ht="15">
      <c r="A6323" s="77" t="s">
        <v>10211</v>
      </c>
      <c r="B6323" s="76" t="s">
        <v>11198</v>
      </c>
    </row>
    <row r="6324" spans="1:2" ht="15">
      <c r="A6324" s="77" t="s">
        <v>10212</v>
      </c>
      <c r="B6324" s="76" t="s">
        <v>11198</v>
      </c>
    </row>
    <row r="6325" spans="1:2" ht="15">
      <c r="A6325" s="77" t="s">
        <v>10213</v>
      </c>
      <c r="B6325" s="76" t="s">
        <v>11198</v>
      </c>
    </row>
    <row r="6326" spans="1:2" ht="15">
      <c r="A6326" s="77" t="s">
        <v>10214</v>
      </c>
      <c r="B6326" s="76" t="s">
        <v>11198</v>
      </c>
    </row>
    <row r="6327" spans="1:2" ht="15">
      <c r="A6327" s="77" t="s">
        <v>10215</v>
      </c>
      <c r="B6327" s="76" t="s">
        <v>11198</v>
      </c>
    </row>
    <row r="6328" spans="1:2" ht="15">
      <c r="A6328" s="77" t="s">
        <v>10216</v>
      </c>
      <c r="B6328" s="76" t="s">
        <v>11198</v>
      </c>
    </row>
    <row r="6329" spans="1:2" ht="15">
      <c r="A6329" s="77" t="s">
        <v>10217</v>
      </c>
      <c r="B6329" s="76" t="s">
        <v>11198</v>
      </c>
    </row>
    <row r="6330" spans="1:2" ht="15">
      <c r="A6330" s="77" t="s">
        <v>10218</v>
      </c>
      <c r="B6330" s="76" t="s">
        <v>11198</v>
      </c>
    </row>
    <row r="6331" spans="1:2" ht="15">
      <c r="A6331" s="77" t="s">
        <v>10219</v>
      </c>
      <c r="B6331" s="76" t="s">
        <v>11198</v>
      </c>
    </row>
    <row r="6332" spans="1:2" ht="15">
      <c r="A6332" s="77" t="s">
        <v>10220</v>
      </c>
      <c r="B6332" s="76" t="s">
        <v>11198</v>
      </c>
    </row>
    <row r="6333" spans="1:2" ht="15">
      <c r="A6333" s="77" t="s">
        <v>10221</v>
      </c>
      <c r="B6333" s="76" t="s">
        <v>11198</v>
      </c>
    </row>
    <row r="6334" spans="1:2" ht="15">
      <c r="A6334" s="77" t="s">
        <v>10222</v>
      </c>
      <c r="B6334" s="76" t="s">
        <v>11198</v>
      </c>
    </row>
    <row r="6335" spans="1:2" ht="15">
      <c r="A6335" s="77" t="s">
        <v>10223</v>
      </c>
      <c r="B6335" s="76" t="s">
        <v>11198</v>
      </c>
    </row>
    <row r="6336" spans="1:2" ht="15">
      <c r="A6336" s="77" t="s">
        <v>10224</v>
      </c>
      <c r="B6336" s="76" t="s">
        <v>11198</v>
      </c>
    </row>
    <row r="6337" spans="1:2" ht="15">
      <c r="A6337" s="77" t="s">
        <v>10225</v>
      </c>
      <c r="B6337" s="76" t="s">
        <v>11198</v>
      </c>
    </row>
    <row r="6338" spans="1:2" ht="15">
      <c r="A6338" s="77" t="s">
        <v>10226</v>
      </c>
      <c r="B6338" s="76" t="s">
        <v>11198</v>
      </c>
    </row>
    <row r="6339" spans="1:2" ht="15">
      <c r="A6339" s="77" t="s">
        <v>10227</v>
      </c>
      <c r="B6339" s="76" t="s">
        <v>11198</v>
      </c>
    </row>
    <row r="6340" spans="1:2" ht="15">
      <c r="A6340" s="77" t="s">
        <v>10228</v>
      </c>
      <c r="B6340" s="76" t="s">
        <v>11198</v>
      </c>
    </row>
    <row r="6341" spans="1:2" ht="15">
      <c r="A6341" s="77" t="s">
        <v>10229</v>
      </c>
      <c r="B6341" s="76" t="s">
        <v>11198</v>
      </c>
    </row>
    <row r="6342" spans="1:2" ht="15">
      <c r="A6342" s="77" t="s">
        <v>10230</v>
      </c>
      <c r="B6342" s="76" t="s">
        <v>11198</v>
      </c>
    </row>
    <row r="6343" spans="1:2" ht="15">
      <c r="A6343" s="77" t="s">
        <v>10231</v>
      </c>
      <c r="B6343" s="76" t="s">
        <v>11198</v>
      </c>
    </row>
    <row r="6344" spans="1:2" ht="15">
      <c r="A6344" s="77" t="s">
        <v>10232</v>
      </c>
      <c r="B6344" s="76" t="s">
        <v>11198</v>
      </c>
    </row>
    <row r="6345" spans="1:2" ht="15">
      <c r="A6345" s="77" t="s">
        <v>10233</v>
      </c>
      <c r="B6345" s="76" t="s">
        <v>11198</v>
      </c>
    </row>
    <row r="6346" spans="1:2" ht="15">
      <c r="A6346" s="77" t="s">
        <v>10234</v>
      </c>
      <c r="B6346" s="76" t="s">
        <v>11198</v>
      </c>
    </row>
    <row r="6347" spans="1:2" ht="15">
      <c r="A6347" s="77" t="s">
        <v>10235</v>
      </c>
      <c r="B6347" s="76" t="s">
        <v>11198</v>
      </c>
    </row>
    <row r="6348" spans="1:2" ht="15">
      <c r="A6348" s="77" t="s">
        <v>10236</v>
      </c>
      <c r="B6348" s="76" t="s">
        <v>11198</v>
      </c>
    </row>
    <row r="6349" spans="1:2" ht="15">
      <c r="A6349" s="77" t="s">
        <v>10237</v>
      </c>
      <c r="B6349" s="76" t="s">
        <v>11198</v>
      </c>
    </row>
    <row r="6350" spans="1:2" ht="15">
      <c r="A6350" s="77" t="s">
        <v>10238</v>
      </c>
      <c r="B6350" s="76" t="s">
        <v>11198</v>
      </c>
    </row>
    <row r="6351" spans="1:2" ht="15">
      <c r="A6351" s="77" t="s">
        <v>10239</v>
      </c>
      <c r="B6351" s="76" t="s">
        <v>11198</v>
      </c>
    </row>
    <row r="6352" spans="1:2" ht="15">
      <c r="A6352" s="77" t="s">
        <v>10240</v>
      </c>
      <c r="B6352" s="76" t="s">
        <v>11198</v>
      </c>
    </row>
    <row r="6353" spans="1:2" ht="15">
      <c r="A6353" s="77" t="s">
        <v>10241</v>
      </c>
      <c r="B6353" s="76" t="s">
        <v>11198</v>
      </c>
    </row>
    <row r="6354" spans="1:2" ht="15">
      <c r="A6354" s="77" t="s">
        <v>10242</v>
      </c>
      <c r="B6354" s="76" t="s">
        <v>11198</v>
      </c>
    </row>
    <row r="6355" spans="1:2" ht="15">
      <c r="A6355" s="77" t="s">
        <v>10243</v>
      </c>
      <c r="B6355" s="76" t="s">
        <v>11198</v>
      </c>
    </row>
    <row r="6356" spans="1:2" ht="15">
      <c r="A6356" s="77" t="s">
        <v>10244</v>
      </c>
      <c r="B6356" s="76" t="s">
        <v>11198</v>
      </c>
    </row>
    <row r="6357" spans="1:2" ht="15">
      <c r="A6357" s="77" t="s">
        <v>10245</v>
      </c>
      <c r="B6357" s="76" t="s">
        <v>11198</v>
      </c>
    </row>
    <row r="6358" spans="1:2" ht="15">
      <c r="A6358" s="77" t="s">
        <v>10246</v>
      </c>
      <c r="B6358" s="76" t="s">
        <v>11198</v>
      </c>
    </row>
    <row r="6359" spans="1:2" ht="15">
      <c r="A6359" s="77" t="s">
        <v>10247</v>
      </c>
      <c r="B6359" s="76" t="s">
        <v>11198</v>
      </c>
    </row>
    <row r="6360" spans="1:2" ht="15">
      <c r="A6360" s="77" t="s">
        <v>10248</v>
      </c>
      <c r="B6360" s="76" t="s">
        <v>11198</v>
      </c>
    </row>
    <row r="6361" spans="1:2" ht="15">
      <c r="A6361" s="77" t="s">
        <v>10249</v>
      </c>
      <c r="B6361" s="76" t="s">
        <v>11198</v>
      </c>
    </row>
    <row r="6362" spans="1:2" ht="15">
      <c r="A6362" s="77" t="s">
        <v>10250</v>
      </c>
      <c r="B6362" s="76" t="s">
        <v>11198</v>
      </c>
    </row>
    <row r="6363" spans="1:2" ht="15">
      <c r="A6363" s="77" t="s">
        <v>10251</v>
      </c>
      <c r="B6363" s="76" t="s">
        <v>11198</v>
      </c>
    </row>
    <row r="6364" spans="1:2" ht="15">
      <c r="A6364" s="77" t="s">
        <v>10252</v>
      </c>
      <c r="B6364" s="76" t="s">
        <v>11198</v>
      </c>
    </row>
    <row r="6365" spans="1:2" ht="15">
      <c r="A6365" s="77" t="s">
        <v>10253</v>
      </c>
      <c r="B6365" s="76" t="s">
        <v>11198</v>
      </c>
    </row>
    <row r="6366" spans="1:2" ht="15">
      <c r="A6366" s="77" t="s">
        <v>10254</v>
      </c>
      <c r="B6366" s="76" t="s">
        <v>11198</v>
      </c>
    </row>
    <row r="6367" spans="1:2" ht="15">
      <c r="A6367" s="77" t="s">
        <v>10255</v>
      </c>
      <c r="B6367" s="76" t="s">
        <v>11198</v>
      </c>
    </row>
    <row r="6368" spans="1:2" ht="15">
      <c r="A6368" s="77" t="s">
        <v>10256</v>
      </c>
      <c r="B6368" s="76" t="s">
        <v>11198</v>
      </c>
    </row>
    <row r="6369" spans="1:2" ht="15">
      <c r="A6369" s="77" t="s">
        <v>10257</v>
      </c>
      <c r="B6369" s="76" t="s">
        <v>11198</v>
      </c>
    </row>
    <row r="6370" spans="1:2" ht="15">
      <c r="A6370" s="77" t="s">
        <v>10258</v>
      </c>
      <c r="B6370" s="76" t="s">
        <v>11198</v>
      </c>
    </row>
    <row r="6371" spans="1:2" ht="15">
      <c r="A6371" s="77" t="s">
        <v>10259</v>
      </c>
      <c r="B6371" s="76" t="s">
        <v>11198</v>
      </c>
    </row>
    <row r="6372" spans="1:2" ht="15">
      <c r="A6372" s="77" t="s">
        <v>10260</v>
      </c>
      <c r="B6372" s="76" t="s">
        <v>11198</v>
      </c>
    </row>
    <row r="6373" spans="1:2" ht="15">
      <c r="A6373" s="77" t="s">
        <v>10261</v>
      </c>
      <c r="B6373" s="76" t="s">
        <v>11198</v>
      </c>
    </row>
    <row r="6374" spans="1:2" ht="15">
      <c r="A6374" s="77" t="s">
        <v>10262</v>
      </c>
      <c r="B6374" s="76" t="s">
        <v>11198</v>
      </c>
    </row>
    <row r="6375" spans="1:2" ht="15">
      <c r="A6375" s="77" t="s">
        <v>10263</v>
      </c>
      <c r="B6375" s="76" t="s">
        <v>11198</v>
      </c>
    </row>
    <row r="6376" spans="1:2" ht="15">
      <c r="A6376" s="77" t="s">
        <v>10264</v>
      </c>
      <c r="B6376" s="76" t="s">
        <v>11198</v>
      </c>
    </row>
    <row r="6377" spans="1:2" ht="15">
      <c r="A6377" s="77" t="s">
        <v>10265</v>
      </c>
      <c r="B6377" s="76" t="s">
        <v>11198</v>
      </c>
    </row>
    <row r="6378" spans="1:2" ht="15">
      <c r="A6378" s="77" t="s">
        <v>10266</v>
      </c>
      <c r="B6378" s="76" t="s">
        <v>11198</v>
      </c>
    </row>
    <row r="6379" spans="1:2" ht="15">
      <c r="A6379" s="77" t="s">
        <v>10267</v>
      </c>
      <c r="B6379" s="76" t="s">
        <v>11198</v>
      </c>
    </row>
    <row r="6380" spans="1:2" ht="15">
      <c r="A6380" s="77" t="s">
        <v>10268</v>
      </c>
      <c r="B6380" s="76" t="s">
        <v>11198</v>
      </c>
    </row>
    <row r="6381" spans="1:2" ht="15">
      <c r="A6381" s="77" t="s">
        <v>10269</v>
      </c>
      <c r="B6381" s="76" t="s">
        <v>11198</v>
      </c>
    </row>
    <row r="6382" spans="1:2" ht="15">
      <c r="A6382" s="77" t="s">
        <v>10270</v>
      </c>
      <c r="B6382" s="76" t="s">
        <v>11198</v>
      </c>
    </row>
    <row r="6383" spans="1:2" ht="15">
      <c r="A6383" s="77" t="s">
        <v>10271</v>
      </c>
      <c r="B6383" s="76" t="s">
        <v>11198</v>
      </c>
    </row>
    <row r="6384" spans="1:2" ht="15">
      <c r="A6384" s="77" t="s">
        <v>10272</v>
      </c>
      <c r="B6384" s="76" t="s">
        <v>11198</v>
      </c>
    </row>
    <row r="6385" spans="1:2" ht="15">
      <c r="A6385" s="77" t="s">
        <v>10273</v>
      </c>
      <c r="B6385" s="76" t="s">
        <v>11198</v>
      </c>
    </row>
    <row r="6386" spans="1:2" ht="15">
      <c r="A6386" s="77" t="s">
        <v>10274</v>
      </c>
      <c r="B6386" s="76" t="s">
        <v>11198</v>
      </c>
    </row>
    <row r="6387" spans="1:2" ht="15">
      <c r="A6387" s="77" t="s">
        <v>10275</v>
      </c>
      <c r="B6387" s="76" t="s">
        <v>11198</v>
      </c>
    </row>
    <row r="6388" spans="1:2" ht="15">
      <c r="A6388" s="77" t="s">
        <v>10276</v>
      </c>
      <c r="B6388" s="76" t="s">
        <v>11198</v>
      </c>
    </row>
    <row r="6389" spans="1:2" ht="15">
      <c r="A6389" s="77" t="s">
        <v>10277</v>
      </c>
      <c r="B6389" s="76" t="s">
        <v>11198</v>
      </c>
    </row>
    <row r="6390" spans="1:2" ht="15">
      <c r="A6390" s="77" t="s">
        <v>10278</v>
      </c>
      <c r="B6390" s="76" t="s">
        <v>11198</v>
      </c>
    </row>
    <row r="6391" spans="1:2" ht="15">
      <c r="A6391" s="77" t="s">
        <v>10279</v>
      </c>
      <c r="B6391" s="76" t="s">
        <v>11198</v>
      </c>
    </row>
    <row r="6392" spans="1:2" ht="15">
      <c r="A6392" s="77" t="s">
        <v>10280</v>
      </c>
      <c r="B6392" s="76" t="s">
        <v>11198</v>
      </c>
    </row>
    <row r="6393" spans="1:2" ht="15">
      <c r="A6393" s="77" t="s">
        <v>10281</v>
      </c>
      <c r="B6393" s="76" t="s">
        <v>11198</v>
      </c>
    </row>
    <row r="6394" spans="1:2" ht="15">
      <c r="A6394" s="77" t="s">
        <v>10282</v>
      </c>
      <c r="B6394" s="76" t="s">
        <v>11198</v>
      </c>
    </row>
    <row r="6395" spans="1:2" ht="15">
      <c r="A6395" s="77" t="s">
        <v>10283</v>
      </c>
      <c r="B6395" s="76" t="s">
        <v>11198</v>
      </c>
    </row>
    <row r="6396" spans="1:2" ht="15">
      <c r="A6396" s="77" t="s">
        <v>10284</v>
      </c>
      <c r="B6396" s="76" t="s">
        <v>11198</v>
      </c>
    </row>
    <row r="6397" spans="1:2" ht="15">
      <c r="A6397" s="77" t="s">
        <v>10285</v>
      </c>
      <c r="B6397" s="76" t="s">
        <v>11198</v>
      </c>
    </row>
    <row r="6398" spans="1:2" ht="15">
      <c r="A6398" s="77" t="s">
        <v>10286</v>
      </c>
      <c r="B6398" s="76" t="s">
        <v>11198</v>
      </c>
    </row>
    <row r="6399" spans="1:2" ht="15">
      <c r="A6399" s="77" t="s">
        <v>10287</v>
      </c>
      <c r="B6399" s="76" t="s">
        <v>11198</v>
      </c>
    </row>
    <row r="6400" spans="1:2" ht="15">
      <c r="A6400" s="77" t="s">
        <v>10288</v>
      </c>
      <c r="B6400" s="76" t="s">
        <v>11198</v>
      </c>
    </row>
    <row r="6401" spans="1:2" ht="15">
      <c r="A6401" s="77" t="s">
        <v>10289</v>
      </c>
      <c r="B6401" s="76" t="s">
        <v>11198</v>
      </c>
    </row>
    <row r="6402" spans="1:2" ht="15">
      <c r="A6402" s="77" t="s">
        <v>10290</v>
      </c>
      <c r="B6402" s="76" t="s">
        <v>11198</v>
      </c>
    </row>
    <row r="6403" spans="1:2" ht="15">
      <c r="A6403" s="77" t="s">
        <v>10291</v>
      </c>
      <c r="B6403" s="76" t="s">
        <v>11198</v>
      </c>
    </row>
    <row r="6404" spans="1:2" ht="15">
      <c r="A6404" s="77" t="s">
        <v>10292</v>
      </c>
      <c r="B6404" s="76" t="s">
        <v>11198</v>
      </c>
    </row>
    <row r="6405" spans="1:2" ht="15">
      <c r="A6405" s="77" t="s">
        <v>10293</v>
      </c>
      <c r="B6405" s="76" t="s">
        <v>11198</v>
      </c>
    </row>
    <row r="6406" spans="1:2" ht="15">
      <c r="A6406" s="77" t="s">
        <v>10294</v>
      </c>
      <c r="B6406" s="76" t="s">
        <v>11198</v>
      </c>
    </row>
    <row r="6407" spans="1:2" ht="15">
      <c r="A6407" s="77" t="s">
        <v>10295</v>
      </c>
      <c r="B6407" s="76" t="s">
        <v>11198</v>
      </c>
    </row>
    <row r="6408" spans="1:2" ht="15">
      <c r="A6408" s="77" t="s">
        <v>10296</v>
      </c>
      <c r="B6408" s="76" t="s">
        <v>11198</v>
      </c>
    </row>
    <row r="6409" spans="1:2" ht="15">
      <c r="A6409" s="77" t="s">
        <v>10297</v>
      </c>
      <c r="B6409" s="76" t="s">
        <v>11198</v>
      </c>
    </row>
    <row r="6410" spans="1:2" ht="15">
      <c r="A6410" s="77" t="s">
        <v>10298</v>
      </c>
      <c r="B6410" s="76" t="s">
        <v>11198</v>
      </c>
    </row>
    <row r="6411" spans="1:2" ht="15">
      <c r="A6411" s="77" t="s">
        <v>10299</v>
      </c>
      <c r="B6411" s="76" t="s">
        <v>11198</v>
      </c>
    </row>
    <row r="6412" spans="1:2" ht="15">
      <c r="A6412" s="77" t="s">
        <v>10300</v>
      </c>
      <c r="B6412" s="76" t="s">
        <v>11198</v>
      </c>
    </row>
    <row r="6413" spans="1:2" ht="15">
      <c r="A6413" s="77" t="s">
        <v>10301</v>
      </c>
      <c r="B6413" s="76" t="s">
        <v>11198</v>
      </c>
    </row>
    <row r="6414" spans="1:2" ht="15">
      <c r="A6414" s="77" t="s">
        <v>10302</v>
      </c>
      <c r="B6414" s="76" t="s">
        <v>11198</v>
      </c>
    </row>
    <row r="6415" spans="1:2" ht="15">
      <c r="A6415" s="77" t="s">
        <v>10303</v>
      </c>
      <c r="B6415" s="76" t="s">
        <v>11198</v>
      </c>
    </row>
    <row r="6416" spans="1:2" ht="15">
      <c r="A6416" s="77" t="s">
        <v>10304</v>
      </c>
      <c r="B6416" s="76" t="s">
        <v>11198</v>
      </c>
    </row>
    <row r="6417" spans="1:2" ht="15">
      <c r="A6417" s="77" t="s">
        <v>10305</v>
      </c>
      <c r="B6417" s="76" t="s">
        <v>11198</v>
      </c>
    </row>
    <row r="6418" spans="1:2" ht="15">
      <c r="A6418" s="77" t="s">
        <v>10306</v>
      </c>
      <c r="B6418" s="76" t="s">
        <v>11198</v>
      </c>
    </row>
    <row r="6419" spans="1:2" ht="15">
      <c r="A6419" s="77" t="s">
        <v>10307</v>
      </c>
      <c r="B6419" s="76" t="s">
        <v>11198</v>
      </c>
    </row>
    <row r="6420" spans="1:2" ht="15">
      <c r="A6420" s="77" t="s">
        <v>10308</v>
      </c>
      <c r="B6420" s="76" t="s">
        <v>11198</v>
      </c>
    </row>
    <row r="6421" spans="1:2" ht="15">
      <c r="A6421" s="77" t="s">
        <v>10309</v>
      </c>
      <c r="B6421" s="76" t="s">
        <v>11198</v>
      </c>
    </row>
    <row r="6422" spans="1:2" ht="15">
      <c r="A6422" s="77" t="s">
        <v>10310</v>
      </c>
      <c r="B6422" s="76" t="s">
        <v>11198</v>
      </c>
    </row>
    <row r="6423" spans="1:2" ht="15">
      <c r="A6423" s="77" t="s">
        <v>10311</v>
      </c>
      <c r="B6423" s="76" t="s">
        <v>11198</v>
      </c>
    </row>
    <row r="6424" spans="1:2" ht="15">
      <c r="A6424" s="77" t="s">
        <v>10312</v>
      </c>
      <c r="B6424" s="76" t="s">
        <v>11198</v>
      </c>
    </row>
    <row r="6425" spans="1:2" ht="15">
      <c r="A6425" s="77" t="s">
        <v>10313</v>
      </c>
      <c r="B6425" s="76" t="s">
        <v>11198</v>
      </c>
    </row>
    <row r="6426" spans="1:2" ht="15">
      <c r="A6426" s="77" t="s">
        <v>10314</v>
      </c>
      <c r="B6426" s="76" t="s">
        <v>11198</v>
      </c>
    </row>
    <row r="6427" spans="1:2" ht="15">
      <c r="A6427" s="77" t="s">
        <v>10315</v>
      </c>
      <c r="B6427" s="76" t="s">
        <v>11198</v>
      </c>
    </row>
    <row r="6428" spans="1:2" ht="15">
      <c r="A6428" s="77" t="s">
        <v>10316</v>
      </c>
      <c r="B6428" s="76" t="s">
        <v>11198</v>
      </c>
    </row>
    <row r="6429" spans="1:2" ht="15">
      <c r="A6429" s="77" t="s">
        <v>10317</v>
      </c>
      <c r="B6429" s="76" t="s">
        <v>11198</v>
      </c>
    </row>
    <row r="6430" spans="1:2" ht="15">
      <c r="A6430" s="77" t="s">
        <v>10318</v>
      </c>
      <c r="B6430" s="76" t="s">
        <v>11198</v>
      </c>
    </row>
    <row r="6431" spans="1:2" ht="15">
      <c r="A6431" s="77" t="s">
        <v>10319</v>
      </c>
      <c r="B6431" s="76" t="s">
        <v>11198</v>
      </c>
    </row>
    <row r="6432" spans="1:2" ht="15">
      <c r="A6432" s="77" t="s">
        <v>10320</v>
      </c>
      <c r="B6432" s="76" t="s">
        <v>11198</v>
      </c>
    </row>
    <row r="6433" spans="1:2" ht="15">
      <c r="A6433" s="77" t="s">
        <v>10321</v>
      </c>
      <c r="B6433" s="76" t="s">
        <v>11198</v>
      </c>
    </row>
    <row r="6434" spans="1:2" ht="15">
      <c r="A6434" s="77" t="s">
        <v>10322</v>
      </c>
      <c r="B6434" s="76" t="s">
        <v>11198</v>
      </c>
    </row>
    <row r="6435" spans="1:2" ht="15">
      <c r="A6435" s="77" t="s">
        <v>10323</v>
      </c>
      <c r="B6435" s="76" t="s">
        <v>11198</v>
      </c>
    </row>
    <row r="6436" spans="1:2" ht="15">
      <c r="A6436" s="77" t="s">
        <v>10324</v>
      </c>
      <c r="B6436" s="76" t="s">
        <v>11198</v>
      </c>
    </row>
    <row r="6437" spans="1:2" ht="15">
      <c r="A6437" s="77" t="s">
        <v>10325</v>
      </c>
      <c r="B6437" s="76" t="s">
        <v>11198</v>
      </c>
    </row>
    <row r="6438" spans="1:2" ht="15">
      <c r="A6438" s="77" t="s">
        <v>10326</v>
      </c>
      <c r="B6438" s="76" t="s">
        <v>11198</v>
      </c>
    </row>
    <row r="6439" spans="1:2" ht="15">
      <c r="A6439" s="77" t="s">
        <v>10327</v>
      </c>
      <c r="B6439" s="76" t="s">
        <v>11198</v>
      </c>
    </row>
    <row r="6440" spans="1:2" ht="15">
      <c r="A6440" s="77" t="s">
        <v>10328</v>
      </c>
      <c r="B6440" s="76" t="s">
        <v>11198</v>
      </c>
    </row>
    <row r="6441" spans="1:2" ht="15">
      <c r="A6441" s="77" t="s">
        <v>10329</v>
      </c>
      <c r="B6441" s="76" t="s">
        <v>11198</v>
      </c>
    </row>
    <row r="6442" spans="1:2" ht="15">
      <c r="A6442" s="77" t="s">
        <v>10330</v>
      </c>
      <c r="B6442" s="76" t="s">
        <v>11198</v>
      </c>
    </row>
    <row r="6443" spans="1:2" ht="15">
      <c r="A6443" s="77" t="s">
        <v>10331</v>
      </c>
      <c r="B6443" s="76" t="s">
        <v>11198</v>
      </c>
    </row>
    <row r="6444" spans="1:2" ht="15">
      <c r="A6444" s="77" t="s">
        <v>10332</v>
      </c>
      <c r="B6444" s="76" t="s">
        <v>11198</v>
      </c>
    </row>
    <row r="6445" spans="1:2" ht="15">
      <c r="A6445" s="77" t="s">
        <v>10333</v>
      </c>
      <c r="B6445" s="76" t="s">
        <v>11198</v>
      </c>
    </row>
    <row r="6446" spans="1:2" ht="15">
      <c r="A6446" s="77" t="s">
        <v>10334</v>
      </c>
      <c r="B6446" s="76" t="s">
        <v>11198</v>
      </c>
    </row>
    <row r="6447" spans="1:2" ht="15">
      <c r="A6447" s="77" t="s">
        <v>10335</v>
      </c>
      <c r="B6447" s="76" t="s">
        <v>11198</v>
      </c>
    </row>
    <row r="6448" spans="1:2" ht="15">
      <c r="A6448" s="77" t="s">
        <v>10336</v>
      </c>
      <c r="B6448" s="76" t="s">
        <v>11198</v>
      </c>
    </row>
    <row r="6449" spans="1:2" ht="15">
      <c r="A6449" s="77" t="s">
        <v>10337</v>
      </c>
      <c r="B6449" s="76" t="s">
        <v>11198</v>
      </c>
    </row>
    <row r="6450" spans="1:2" ht="15">
      <c r="A6450" s="77" t="s">
        <v>10338</v>
      </c>
      <c r="B6450" s="76" t="s">
        <v>11198</v>
      </c>
    </row>
    <row r="6451" spans="1:2" ht="15">
      <c r="A6451" s="77" t="s">
        <v>10339</v>
      </c>
      <c r="B6451" s="76" t="s">
        <v>11198</v>
      </c>
    </row>
    <row r="6452" spans="1:2" ht="15">
      <c r="A6452" s="77" t="s">
        <v>10340</v>
      </c>
      <c r="B6452" s="76" t="s">
        <v>11198</v>
      </c>
    </row>
    <row r="6453" spans="1:2" ht="15">
      <c r="A6453" s="77" t="s">
        <v>10341</v>
      </c>
      <c r="B6453" s="76" t="s">
        <v>11198</v>
      </c>
    </row>
    <row r="6454" spans="1:2" ht="15">
      <c r="A6454" s="77" t="s">
        <v>10342</v>
      </c>
      <c r="B6454" s="76" t="s">
        <v>11198</v>
      </c>
    </row>
    <row r="6455" spans="1:2" ht="15">
      <c r="A6455" s="77" t="s">
        <v>10343</v>
      </c>
      <c r="B6455" s="76" t="s">
        <v>11198</v>
      </c>
    </row>
    <row r="6456" spans="1:2" ht="15">
      <c r="A6456" s="77" t="s">
        <v>10344</v>
      </c>
      <c r="B6456" s="76" t="s">
        <v>11198</v>
      </c>
    </row>
    <row r="6457" spans="1:2" ht="15">
      <c r="A6457" s="77" t="s">
        <v>10345</v>
      </c>
      <c r="B6457" s="76" t="s">
        <v>11198</v>
      </c>
    </row>
    <row r="6458" spans="1:2" ht="15">
      <c r="A6458" s="77" t="s">
        <v>10346</v>
      </c>
      <c r="B6458" s="76" t="s">
        <v>11198</v>
      </c>
    </row>
    <row r="6459" spans="1:2" ht="15">
      <c r="A6459" s="77" t="s">
        <v>10347</v>
      </c>
      <c r="B6459" s="76" t="s">
        <v>11198</v>
      </c>
    </row>
    <row r="6460" spans="1:2" ht="15">
      <c r="A6460" s="77" t="s">
        <v>10348</v>
      </c>
      <c r="B6460" s="76" t="s">
        <v>11198</v>
      </c>
    </row>
    <row r="6461" spans="1:2" ht="15">
      <c r="A6461" s="77" t="s">
        <v>10349</v>
      </c>
      <c r="B6461" s="76" t="s">
        <v>11198</v>
      </c>
    </row>
    <row r="6462" spans="1:2" ht="15">
      <c r="A6462" s="77" t="s">
        <v>10350</v>
      </c>
      <c r="B6462" s="76" t="s">
        <v>11198</v>
      </c>
    </row>
    <row r="6463" spans="1:2" ht="15">
      <c r="A6463" s="77" t="s">
        <v>10351</v>
      </c>
      <c r="B6463" s="76" t="s">
        <v>11198</v>
      </c>
    </row>
    <row r="6464" spans="1:2" ht="15">
      <c r="A6464" s="77" t="s">
        <v>10352</v>
      </c>
      <c r="B6464" s="76" t="s">
        <v>11198</v>
      </c>
    </row>
    <row r="6465" spans="1:2" ht="15">
      <c r="A6465" s="77" t="s">
        <v>10353</v>
      </c>
      <c r="B6465" s="76" t="s">
        <v>11198</v>
      </c>
    </row>
    <row r="6466" spans="1:2" ht="15">
      <c r="A6466" s="77" t="s">
        <v>10354</v>
      </c>
      <c r="B6466" s="76" t="s">
        <v>11198</v>
      </c>
    </row>
    <row r="6467" spans="1:2" ht="15">
      <c r="A6467" s="77" t="s">
        <v>10355</v>
      </c>
      <c r="B6467" s="76" t="s">
        <v>11198</v>
      </c>
    </row>
    <row r="6468" spans="1:2" ht="15">
      <c r="A6468" s="77" t="s">
        <v>10356</v>
      </c>
      <c r="B6468" s="76" t="s">
        <v>11198</v>
      </c>
    </row>
    <row r="6469" spans="1:2" ht="15">
      <c r="A6469" s="77" t="s">
        <v>10357</v>
      </c>
      <c r="B6469" s="76" t="s">
        <v>11198</v>
      </c>
    </row>
    <row r="6470" spans="1:2" ht="15">
      <c r="A6470" s="77" t="s">
        <v>10358</v>
      </c>
      <c r="B6470" s="76" t="s">
        <v>11198</v>
      </c>
    </row>
    <row r="6471" spans="1:2" ht="15">
      <c r="A6471" s="77" t="s">
        <v>10359</v>
      </c>
      <c r="B6471" s="76" t="s">
        <v>11198</v>
      </c>
    </row>
    <row r="6472" spans="1:2" ht="15">
      <c r="A6472" s="77" t="s">
        <v>10360</v>
      </c>
      <c r="B6472" s="76" t="s">
        <v>11198</v>
      </c>
    </row>
    <row r="6473" spans="1:2" ht="15">
      <c r="A6473" s="77" t="s">
        <v>10361</v>
      </c>
      <c r="B6473" s="76" t="s">
        <v>11198</v>
      </c>
    </row>
    <row r="6474" spans="1:2" ht="15">
      <c r="A6474" s="77" t="s">
        <v>10362</v>
      </c>
      <c r="B6474" s="76" t="s">
        <v>11198</v>
      </c>
    </row>
    <row r="6475" spans="1:2" ht="15">
      <c r="A6475" s="77" t="s">
        <v>10363</v>
      </c>
      <c r="B6475" s="76" t="s">
        <v>11198</v>
      </c>
    </row>
    <row r="6476" spans="1:2" ht="15">
      <c r="A6476" s="77" t="s">
        <v>10364</v>
      </c>
      <c r="B6476" s="76" t="s">
        <v>11198</v>
      </c>
    </row>
    <row r="6477" spans="1:2" ht="15">
      <c r="A6477" s="77" t="s">
        <v>10365</v>
      </c>
      <c r="B6477" s="76" t="s">
        <v>11198</v>
      </c>
    </row>
    <row r="6478" spans="1:2" ht="15">
      <c r="A6478" s="77" t="s">
        <v>10366</v>
      </c>
      <c r="B6478" s="76" t="s">
        <v>11198</v>
      </c>
    </row>
    <row r="6479" spans="1:2" ht="15">
      <c r="A6479" s="77" t="s">
        <v>10367</v>
      </c>
      <c r="B6479" s="76" t="s">
        <v>11198</v>
      </c>
    </row>
    <row r="6480" spans="1:2" ht="15">
      <c r="A6480" s="77" t="s">
        <v>10368</v>
      </c>
      <c r="B6480" s="76" t="s">
        <v>11198</v>
      </c>
    </row>
    <row r="6481" spans="1:2" ht="15">
      <c r="A6481" s="77" t="s">
        <v>10369</v>
      </c>
      <c r="B6481" s="76" t="s">
        <v>11198</v>
      </c>
    </row>
    <row r="6482" spans="1:2" ht="15">
      <c r="A6482" s="77" t="s">
        <v>10370</v>
      </c>
      <c r="B6482" s="76" t="s">
        <v>11198</v>
      </c>
    </row>
    <row r="6483" spans="1:2" ht="15">
      <c r="A6483" s="77" t="s">
        <v>10371</v>
      </c>
      <c r="B6483" s="76" t="s">
        <v>11198</v>
      </c>
    </row>
    <row r="6484" spans="1:2" ht="15">
      <c r="A6484" s="77" t="s">
        <v>10372</v>
      </c>
      <c r="B6484" s="76" t="s">
        <v>11198</v>
      </c>
    </row>
    <row r="6485" spans="1:2" ht="15">
      <c r="A6485" s="77" t="s">
        <v>10373</v>
      </c>
      <c r="B6485" s="76" t="s">
        <v>11198</v>
      </c>
    </row>
    <row r="6486" spans="1:2" ht="15">
      <c r="A6486" s="77" t="s">
        <v>10374</v>
      </c>
      <c r="B6486" s="76" t="s">
        <v>11198</v>
      </c>
    </row>
    <row r="6487" spans="1:2" ht="15">
      <c r="A6487" s="77" t="s">
        <v>10375</v>
      </c>
      <c r="B6487" s="76" t="s">
        <v>11198</v>
      </c>
    </row>
    <row r="6488" spans="1:2" ht="15">
      <c r="A6488" s="77" t="s">
        <v>10376</v>
      </c>
      <c r="B6488" s="76" t="s">
        <v>11198</v>
      </c>
    </row>
    <row r="6489" spans="1:2" ht="15">
      <c r="A6489" s="77" t="s">
        <v>10377</v>
      </c>
      <c r="B6489" s="76" t="s">
        <v>11198</v>
      </c>
    </row>
    <row r="6490" spans="1:2" ht="15">
      <c r="A6490" s="77" t="s">
        <v>10378</v>
      </c>
      <c r="B6490" s="76" t="s">
        <v>11198</v>
      </c>
    </row>
    <row r="6491" spans="1:2" ht="15">
      <c r="A6491" s="77" t="s">
        <v>10379</v>
      </c>
      <c r="B6491" s="76" t="s">
        <v>11198</v>
      </c>
    </row>
    <row r="6492" spans="1:2" ht="15">
      <c r="A6492" s="77" t="s">
        <v>10380</v>
      </c>
      <c r="B6492" s="76" t="s">
        <v>11198</v>
      </c>
    </row>
    <row r="6493" spans="1:2" ht="15">
      <c r="A6493" s="77" t="s">
        <v>10381</v>
      </c>
      <c r="B6493" s="76" t="s">
        <v>11198</v>
      </c>
    </row>
    <row r="6494" spans="1:2" ht="15">
      <c r="A6494" s="77" t="s">
        <v>10382</v>
      </c>
      <c r="B6494" s="76" t="s">
        <v>11198</v>
      </c>
    </row>
    <row r="6495" spans="1:2" ht="15">
      <c r="A6495" s="77" t="s">
        <v>10383</v>
      </c>
      <c r="B6495" s="76" t="s">
        <v>11198</v>
      </c>
    </row>
    <row r="6496" spans="1:2" ht="15">
      <c r="A6496" s="77" t="s">
        <v>10384</v>
      </c>
      <c r="B6496" s="76" t="s">
        <v>11198</v>
      </c>
    </row>
    <row r="6497" spans="1:2" ht="15">
      <c r="A6497" s="77" t="s">
        <v>10385</v>
      </c>
      <c r="B6497" s="76" t="s">
        <v>11198</v>
      </c>
    </row>
    <row r="6498" spans="1:2" ht="15">
      <c r="A6498" s="77" t="s">
        <v>10386</v>
      </c>
      <c r="B6498" s="76" t="s">
        <v>11198</v>
      </c>
    </row>
    <row r="6499" spans="1:2" ht="15">
      <c r="A6499" s="77" t="s">
        <v>10387</v>
      </c>
      <c r="B6499" s="76" t="s">
        <v>11198</v>
      </c>
    </row>
    <row r="6500" spans="1:2" ht="15">
      <c r="A6500" s="77" t="s">
        <v>10388</v>
      </c>
      <c r="B6500" s="76" t="s">
        <v>11198</v>
      </c>
    </row>
    <row r="6501" spans="1:2" ht="15">
      <c r="A6501" s="77" t="s">
        <v>10389</v>
      </c>
      <c r="B6501" s="76" t="s">
        <v>11198</v>
      </c>
    </row>
    <row r="6502" spans="1:2" ht="15">
      <c r="A6502" s="77" t="s">
        <v>10390</v>
      </c>
      <c r="B6502" s="76" t="s">
        <v>11198</v>
      </c>
    </row>
    <row r="6503" spans="1:2" ht="15">
      <c r="A6503" s="77" t="s">
        <v>10391</v>
      </c>
      <c r="B6503" s="76" t="s">
        <v>11198</v>
      </c>
    </row>
    <row r="6504" spans="1:2" ht="15">
      <c r="A6504" s="77" t="s">
        <v>10392</v>
      </c>
      <c r="B6504" s="76" t="s">
        <v>11198</v>
      </c>
    </row>
    <row r="6505" spans="1:2" ht="15">
      <c r="A6505" s="77" t="s">
        <v>10393</v>
      </c>
      <c r="B6505" s="76" t="s">
        <v>11198</v>
      </c>
    </row>
    <row r="6506" spans="1:2" ht="15">
      <c r="A6506" s="77" t="s">
        <v>10394</v>
      </c>
      <c r="B6506" s="76" t="s">
        <v>11198</v>
      </c>
    </row>
    <row r="6507" spans="1:2" ht="15">
      <c r="A6507" s="77" t="s">
        <v>10395</v>
      </c>
      <c r="B6507" s="76" t="s">
        <v>11198</v>
      </c>
    </row>
    <row r="6508" spans="1:2" ht="15">
      <c r="A6508" s="77" t="s">
        <v>10396</v>
      </c>
      <c r="B6508" s="76" t="s">
        <v>11198</v>
      </c>
    </row>
    <row r="6509" spans="1:2" ht="15">
      <c r="A6509" s="77" t="s">
        <v>10397</v>
      </c>
      <c r="B6509" s="76" t="s">
        <v>11198</v>
      </c>
    </row>
    <row r="6510" spans="1:2" ht="15">
      <c r="A6510" s="77" t="s">
        <v>10398</v>
      </c>
      <c r="B6510" s="76" t="s">
        <v>11198</v>
      </c>
    </row>
    <row r="6511" spans="1:2" ht="15">
      <c r="A6511" s="77" t="s">
        <v>10399</v>
      </c>
      <c r="B6511" s="76" t="s">
        <v>11198</v>
      </c>
    </row>
    <row r="6512" spans="1:2" ht="15">
      <c r="A6512" s="77" t="s">
        <v>10400</v>
      </c>
      <c r="B6512" s="76" t="s">
        <v>11198</v>
      </c>
    </row>
    <row r="6513" spans="1:2" ht="15">
      <c r="A6513" s="77" t="s">
        <v>10401</v>
      </c>
      <c r="B6513" s="76" t="s">
        <v>11198</v>
      </c>
    </row>
    <row r="6514" spans="1:2" ht="15">
      <c r="A6514" s="77" t="s">
        <v>10402</v>
      </c>
      <c r="B6514" s="76" t="s">
        <v>11198</v>
      </c>
    </row>
    <row r="6515" spans="1:2" ht="15">
      <c r="A6515" s="77" t="s">
        <v>10403</v>
      </c>
      <c r="B6515" s="76" t="s">
        <v>11198</v>
      </c>
    </row>
    <row r="6516" spans="1:2" ht="15">
      <c r="A6516" s="77" t="s">
        <v>10404</v>
      </c>
      <c r="B6516" s="76" t="s">
        <v>11198</v>
      </c>
    </row>
    <row r="6517" spans="1:2" ht="15">
      <c r="A6517" s="77" t="s">
        <v>10405</v>
      </c>
      <c r="B6517" s="76" t="s">
        <v>11198</v>
      </c>
    </row>
    <row r="6518" spans="1:2" ht="15">
      <c r="A6518" s="77" t="s">
        <v>10406</v>
      </c>
      <c r="B6518" s="76" t="s">
        <v>11198</v>
      </c>
    </row>
    <row r="6519" spans="1:2" ht="15">
      <c r="A6519" s="77" t="s">
        <v>10407</v>
      </c>
      <c r="B6519" s="76" t="s">
        <v>11198</v>
      </c>
    </row>
    <row r="6520" spans="1:2" ht="15">
      <c r="A6520" s="77" t="s">
        <v>10408</v>
      </c>
      <c r="B6520" s="76" t="s">
        <v>11198</v>
      </c>
    </row>
    <row r="6521" spans="1:2" ht="15">
      <c r="A6521" s="77" t="s">
        <v>10409</v>
      </c>
      <c r="B6521" s="76" t="s">
        <v>11198</v>
      </c>
    </row>
    <row r="6522" spans="1:2" ht="15">
      <c r="A6522" s="77" t="s">
        <v>10410</v>
      </c>
      <c r="B6522" s="76" t="s">
        <v>11198</v>
      </c>
    </row>
    <row r="6523" spans="1:2" ht="15">
      <c r="A6523" s="77" t="s">
        <v>10411</v>
      </c>
      <c r="B6523" s="76" t="s">
        <v>11198</v>
      </c>
    </row>
    <row r="6524" spans="1:2" ht="15">
      <c r="A6524" s="77" t="s">
        <v>10412</v>
      </c>
      <c r="B6524" s="76" t="s">
        <v>11198</v>
      </c>
    </row>
    <row r="6525" spans="1:2" ht="15">
      <c r="A6525" s="77" t="s">
        <v>10413</v>
      </c>
      <c r="B6525" s="76" t="s">
        <v>11198</v>
      </c>
    </row>
    <row r="6526" spans="1:2" ht="15">
      <c r="A6526" s="77" t="s">
        <v>10414</v>
      </c>
      <c r="B6526" s="76" t="s">
        <v>11198</v>
      </c>
    </row>
    <row r="6527" spans="1:2" ht="15">
      <c r="A6527" s="77" t="s">
        <v>10415</v>
      </c>
      <c r="B6527" s="76" t="s">
        <v>11198</v>
      </c>
    </row>
    <row r="6528" spans="1:2" ht="15">
      <c r="A6528" s="77" t="s">
        <v>10416</v>
      </c>
      <c r="B6528" s="76" t="s">
        <v>11198</v>
      </c>
    </row>
    <row r="6529" spans="1:2" ht="15">
      <c r="A6529" s="77" t="s">
        <v>10417</v>
      </c>
      <c r="B6529" s="76" t="s">
        <v>11198</v>
      </c>
    </row>
    <row r="6530" spans="1:2" ht="15">
      <c r="A6530" s="77" t="s">
        <v>10418</v>
      </c>
      <c r="B6530" s="76" t="s">
        <v>11198</v>
      </c>
    </row>
    <row r="6531" spans="1:2" ht="15">
      <c r="A6531" s="77" t="s">
        <v>10419</v>
      </c>
      <c r="B6531" s="76" t="s">
        <v>11198</v>
      </c>
    </row>
    <row r="6532" spans="1:2" ht="15">
      <c r="A6532" s="77" t="s">
        <v>10420</v>
      </c>
      <c r="B6532" s="76" t="s">
        <v>11198</v>
      </c>
    </row>
    <row r="6533" spans="1:2" ht="15">
      <c r="A6533" s="77" t="s">
        <v>10421</v>
      </c>
      <c r="B6533" s="76" t="s">
        <v>11198</v>
      </c>
    </row>
    <row r="6534" spans="1:2" ht="15">
      <c r="A6534" s="77" t="s">
        <v>10422</v>
      </c>
      <c r="B6534" s="76" t="s">
        <v>11198</v>
      </c>
    </row>
    <row r="6535" spans="1:2" ht="15">
      <c r="A6535" s="77" t="s">
        <v>10423</v>
      </c>
      <c r="B6535" s="76" t="s">
        <v>11198</v>
      </c>
    </row>
    <row r="6536" spans="1:2" ht="15">
      <c r="A6536" s="77" t="s">
        <v>10424</v>
      </c>
      <c r="B6536" s="76" t="s">
        <v>11198</v>
      </c>
    </row>
    <row r="6537" spans="1:2" ht="15">
      <c r="A6537" s="77" t="s">
        <v>10425</v>
      </c>
      <c r="B6537" s="76" t="s">
        <v>11198</v>
      </c>
    </row>
    <row r="6538" spans="1:2" ht="15">
      <c r="A6538" s="77" t="s">
        <v>10426</v>
      </c>
      <c r="B6538" s="76" t="s">
        <v>11198</v>
      </c>
    </row>
    <row r="6539" spans="1:2" ht="15">
      <c r="A6539" s="77" t="s">
        <v>10427</v>
      </c>
      <c r="B6539" s="76" t="s">
        <v>11198</v>
      </c>
    </row>
    <row r="6540" spans="1:2" ht="15">
      <c r="A6540" s="77" t="s">
        <v>10428</v>
      </c>
      <c r="B6540" s="76" t="s">
        <v>11198</v>
      </c>
    </row>
    <row r="6541" spans="1:2" ht="15">
      <c r="A6541" s="77" t="s">
        <v>10429</v>
      </c>
      <c r="B6541" s="76" t="s">
        <v>11198</v>
      </c>
    </row>
    <row r="6542" spans="1:2" ht="15">
      <c r="A6542" s="77" t="s">
        <v>10430</v>
      </c>
      <c r="B6542" s="76" t="s">
        <v>11198</v>
      </c>
    </row>
    <row r="6543" spans="1:2" ht="15">
      <c r="A6543" s="77" t="s">
        <v>10431</v>
      </c>
      <c r="B6543" s="76" t="s">
        <v>11198</v>
      </c>
    </row>
    <row r="6544" spans="1:2" ht="15">
      <c r="A6544" s="77" t="s">
        <v>10432</v>
      </c>
      <c r="B6544" s="76" t="s">
        <v>11198</v>
      </c>
    </row>
    <row r="6545" spans="1:2" ht="15">
      <c r="A6545" s="77" t="s">
        <v>10433</v>
      </c>
      <c r="B6545" s="76" t="s">
        <v>11198</v>
      </c>
    </row>
    <row r="6546" spans="1:2" ht="15">
      <c r="A6546" s="77" t="s">
        <v>10434</v>
      </c>
      <c r="B6546" s="76" t="s">
        <v>11198</v>
      </c>
    </row>
    <row r="6547" spans="1:2" ht="15">
      <c r="A6547" s="77" t="s">
        <v>10435</v>
      </c>
      <c r="B6547" s="76" t="s">
        <v>11198</v>
      </c>
    </row>
    <row r="6548" spans="1:2" ht="15">
      <c r="A6548" s="77" t="s">
        <v>10436</v>
      </c>
      <c r="B6548" s="76" t="s">
        <v>11198</v>
      </c>
    </row>
    <row r="6549" spans="1:2" ht="15">
      <c r="A6549" s="77" t="s">
        <v>10437</v>
      </c>
      <c r="B6549" s="76" t="s">
        <v>11198</v>
      </c>
    </row>
    <row r="6550" spans="1:2" ht="15">
      <c r="A6550" s="77" t="s">
        <v>10438</v>
      </c>
      <c r="B6550" s="76" t="s">
        <v>11198</v>
      </c>
    </row>
    <row r="6551" spans="1:2" ht="15">
      <c r="A6551" s="77" t="s">
        <v>10439</v>
      </c>
      <c r="B6551" s="76" t="s">
        <v>11198</v>
      </c>
    </row>
    <row r="6552" spans="1:2" ht="15">
      <c r="A6552" s="77" t="s">
        <v>10440</v>
      </c>
      <c r="B6552" s="76" t="s">
        <v>11198</v>
      </c>
    </row>
    <row r="6553" spans="1:2" ht="15">
      <c r="A6553" s="77" t="s">
        <v>10441</v>
      </c>
      <c r="B6553" s="76" t="s">
        <v>11198</v>
      </c>
    </row>
    <row r="6554" spans="1:2" ht="15">
      <c r="A6554" s="77" t="s">
        <v>10442</v>
      </c>
      <c r="B6554" s="76" t="s">
        <v>11198</v>
      </c>
    </row>
    <row r="6555" spans="1:2" ht="15">
      <c r="A6555" s="77" t="s">
        <v>10443</v>
      </c>
      <c r="B6555" s="76" t="s">
        <v>11198</v>
      </c>
    </row>
    <row r="6556" spans="1:2" ht="15">
      <c r="A6556" s="77" t="s">
        <v>10444</v>
      </c>
      <c r="B6556" s="76" t="s">
        <v>11198</v>
      </c>
    </row>
    <row r="6557" spans="1:2" ht="15">
      <c r="A6557" s="77" t="s">
        <v>10445</v>
      </c>
      <c r="B6557" s="76" t="s">
        <v>11198</v>
      </c>
    </row>
    <row r="6558" spans="1:2" ht="15">
      <c r="A6558" s="77" t="s">
        <v>10446</v>
      </c>
      <c r="B6558" s="76" t="s">
        <v>11198</v>
      </c>
    </row>
    <row r="6559" spans="1:2" ht="15">
      <c r="A6559" s="77" t="s">
        <v>10447</v>
      </c>
      <c r="B6559" s="76" t="s">
        <v>11198</v>
      </c>
    </row>
    <row r="6560" spans="1:2" ht="15">
      <c r="A6560" s="77" t="s">
        <v>10448</v>
      </c>
      <c r="B6560" s="76" t="s">
        <v>11198</v>
      </c>
    </row>
    <row r="6561" spans="1:2" ht="15">
      <c r="A6561" s="77" t="s">
        <v>10449</v>
      </c>
      <c r="B6561" s="76" t="s">
        <v>11198</v>
      </c>
    </row>
    <row r="6562" spans="1:2" ht="15">
      <c r="A6562" s="77" t="s">
        <v>10450</v>
      </c>
      <c r="B6562" s="76" t="s">
        <v>11198</v>
      </c>
    </row>
    <row r="6563" spans="1:2" ht="15">
      <c r="A6563" s="77" t="s">
        <v>10451</v>
      </c>
      <c r="B6563" s="76" t="s">
        <v>11198</v>
      </c>
    </row>
    <row r="6564" spans="1:2" ht="15">
      <c r="A6564" s="77" t="s">
        <v>10452</v>
      </c>
      <c r="B6564" s="76" t="s">
        <v>11198</v>
      </c>
    </row>
    <row r="6565" spans="1:2" ht="15">
      <c r="A6565" s="77" t="s">
        <v>10453</v>
      </c>
      <c r="B6565" s="76" t="s">
        <v>11198</v>
      </c>
    </row>
    <row r="6566" spans="1:2" ht="15">
      <c r="A6566" s="77" t="s">
        <v>10454</v>
      </c>
      <c r="B6566" s="76" t="s">
        <v>11198</v>
      </c>
    </row>
    <row r="6567" spans="1:2" ht="15">
      <c r="A6567" s="77" t="s">
        <v>10455</v>
      </c>
      <c r="B6567" s="76" t="s">
        <v>11198</v>
      </c>
    </row>
    <row r="6568" spans="1:2" ht="15">
      <c r="A6568" s="77" t="s">
        <v>10456</v>
      </c>
      <c r="B6568" s="76" t="s">
        <v>11198</v>
      </c>
    </row>
    <row r="6569" spans="1:2" ht="15">
      <c r="A6569" s="77" t="s">
        <v>10457</v>
      </c>
      <c r="B6569" s="76" t="s">
        <v>11198</v>
      </c>
    </row>
    <row r="6570" spans="1:2" ht="15">
      <c r="A6570" s="77" t="s">
        <v>10458</v>
      </c>
      <c r="B6570" s="76" t="s">
        <v>11198</v>
      </c>
    </row>
    <row r="6571" spans="1:2" ht="15">
      <c r="A6571" s="77" t="s">
        <v>10459</v>
      </c>
      <c r="B6571" s="76" t="s">
        <v>11198</v>
      </c>
    </row>
    <row r="6572" spans="1:2" ht="15">
      <c r="A6572" s="77" t="s">
        <v>10460</v>
      </c>
      <c r="B6572" s="76" t="s">
        <v>11198</v>
      </c>
    </row>
    <row r="6573" spans="1:2" ht="15">
      <c r="A6573" s="77" t="s">
        <v>10461</v>
      </c>
      <c r="B6573" s="76" t="s">
        <v>11198</v>
      </c>
    </row>
    <row r="6574" spans="1:2" ht="15">
      <c r="A6574" s="77" t="s">
        <v>10462</v>
      </c>
      <c r="B6574" s="76" t="s">
        <v>11198</v>
      </c>
    </row>
    <row r="6575" spans="1:2" ht="15">
      <c r="A6575" s="77" t="s">
        <v>10463</v>
      </c>
      <c r="B6575" s="76" t="s">
        <v>11198</v>
      </c>
    </row>
    <row r="6576" spans="1:2" ht="15">
      <c r="A6576" s="77" t="s">
        <v>10464</v>
      </c>
      <c r="B6576" s="76" t="s">
        <v>11198</v>
      </c>
    </row>
    <row r="6577" spans="1:2" ht="15">
      <c r="A6577" s="77" t="s">
        <v>10465</v>
      </c>
      <c r="B6577" s="76" t="s">
        <v>11198</v>
      </c>
    </row>
    <row r="6578" spans="1:2" ht="15">
      <c r="A6578" s="77" t="s">
        <v>10466</v>
      </c>
      <c r="B6578" s="76" t="s">
        <v>11198</v>
      </c>
    </row>
    <row r="6579" spans="1:2" ht="15">
      <c r="A6579" s="77" t="s">
        <v>10467</v>
      </c>
      <c r="B6579" s="76" t="s">
        <v>11198</v>
      </c>
    </row>
    <row r="6580" spans="1:2" ht="15">
      <c r="A6580" s="77" t="s">
        <v>10468</v>
      </c>
      <c r="B6580" s="76" t="s">
        <v>11198</v>
      </c>
    </row>
    <row r="6581" spans="1:2" ht="15">
      <c r="A6581" s="77" t="s">
        <v>10469</v>
      </c>
      <c r="B6581" s="76" t="s">
        <v>11198</v>
      </c>
    </row>
    <row r="6582" spans="1:2" ht="15">
      <c r="A6582" s="77" t="s">
        <v>10470</v>
      </c>
      <c r="B6582" s="76" t="s">
        <v>11198</v>
      </c>
    </row>
    <row r="6583" spans="1:2" ht="15">
      <c r="A6583" s="77" t="s">
        <v>10471</v>
      </c>
      <c r="B6583" s="76" t="s">
        <v>11198</v>
      </c>
    </row>
    <row r="6584" spans="1:2" ht="15">
      <c r="A6584" s="77" t="s">
        <v>10472</v>
      </c>
      <c r="B6584" s="76" t="s">
        <v>11198</v>
      </c>
    </row>
    <row r="6585" spans="1:2" ht="15">
      <c r="A6585" s="77" t="s">
        <v>10473</v>
      </c>
      <c r="B6585" s="76" t="s">
        <v>11198</v>
      </c>
    </row>
    <row r="6586" spans="1:2" ht="15">
      <c r="A6586" s="77" t="s">
        <v>10474</v>
      </c>
      <c r="B6586" s="76" t="s">
        <v>11198</v>
      </c>
    </row>
    <row r="6587" spans="1:2" ht="15">
      <c r="A6587" s="77" t="s">
        <v>10475</v>
      </c>
      <c r="B6587" s="76" t="s">
        <v>11198</v>
      </c>
    </row>
    <row r="6588" spans="1:2" ht="15">
      <c r="A6588" s="77" t="s">
        <v>10476</v>
      </c>
      <c r="B6588" s="76" t="s">
        <v>11198</v>
      </c>
    </row>
    <row r="6589" spans="1:2" ht="15">
      <c r="A6589" s="77" t="s">
        <v>10477</v>
      </c>
      <c r="B6589" s="76" t="s">
        <v>11198</v>
      </c>
    </row>
    <row r="6590" spans="1:2" ht="15">
      <c r="A6590" s="77" t="s">
        <v>10478</v>
      </c>
      <c r="B6590" s="76" t="s">
        <v>11198</v>
      </c>
    </row>
    <row r="6591" spans="1:2" ht="15">
      <c r="A6591" s="77" t="s">
        <v>10479</v>
      </c>
      <c r="B6591" s="76" t="s">
        <v>11198</v>
      </c>
    </row>
    <row r="6592" spans="1:2" ht="15">
      <c r="A6592" s="77" t="s">
        <v>10480</v>
      </c>
      <c r="B6592" s="76" t="s">
        <v>11198</v>
      </c>
    </row>
    <row r="6593" spans="1:2" ht="15">
      <c r="A6593" s="77" t="s">
        <v>10481</v>
      </c>
      <c r="B6593" s="76" t="s">
        <v>11198</v>
      </c>
    </row>
    <row r="6594" spans="1:2" ht="15">
      <c r="A6594" s="77" t="s">
        <v>10482</v>
      </c>
      <c r="B6594" s="76" t="s">
        <v>11198</v>
      </c>
    </row>
    <row r="6595" spans="1:2" ht="15">
      <c r="A6595" s="77" t="s">
        <v>10483</v>
      </c>
      <c r="B6595" s="76" t="s">
        <v>11198</v>
      </c>
    </row>
    <row r="6596" spans="1:2" ht="15">
      <c r="A6596" s="77" t="s">
        <v>10484</v>
      </c>
      <c r="B6596" s="76" t="s">
        <v>11198</v>
      </c>
    </row>
    <row r="6597" spans="1:2" ht="15">
      <c r="A6597" s="77" t="s">
        <v>10485</v>
      </c>
      <c r="B6597" s="76" t="s">
        <v>11198</v>
      </c>
    </row>
    <row r="6598" spans="1:2" ht="15">
      <c r="A6598" s="77" t="s">
        <v>10486</v>
      </c>
      <c r="B6598" s="76" t="s">
        <v>11198</v>
      </c>
    </row>
    <row r="6599" spans="1:2" ht="15">
      <c r="A6599" s="77" t="s">
        <v>10487</v>
      </c>
      <c r="B6599" s="76" t="s">
        <v>11198</v>
      </c>
    </row>
    <row r="6600" spans="1:2" ht="15">
      <c r="A6600" s="77" t="s">
        <v>10488</v>
      </c>
      <c r="B6600" s="76" t="s">
        <v>11198</v>
      </c>
    </row>
    <row r="6601" spans="1:2" ht="15">
      <c r="A6601" s="77" t="s">
        <v>10489</v>
      </c>
      <c r="B6601" s="76" t="s">
        <v>11198</v>
      </c>
    </row>
    <row r="6602" spans="1:2" ht="15">
      <c r="A6602" s="77" t="s">
        <v>10490</v>
      </c>
      <c r="B6602" s="76" t="s">
        <v>11198</v>
      </c>
    </row>
    <row r="6603" spans="1:2" ht="15">
      <c r="A6603" s="77" t="s">
        <v>10491</v>
      </c>
      <c r="B6603" s="76" t="s">
        <v>11198</v>
      </c>
    </row>
    <row r="6604" spans="1:2" ht="15">
      <c r="A6604" s="77" t="s">
        <v>10492</v>
      </c>
      <c r="B6604" s="76" t="s">
        <v>11198</v>
      </c>
    </row>
    <row r="6605" spans="1:2" ht="15">
      <c r="A6605" s="77" t="s">
        <v>10493</v>
      </c>
      <c r="B6605" s="76" t="s">
        <v>11198</v>
      </c>
    </row>
    <row r="6606" spans="1:2" ht="15">
      <c r="A6606" s="77" t="s">
        <v>10494</v>
      </c>
      <c r="B6606" s="76" t="s">
        <v>11198</v>
      </c>
    </row>
    <row r="6607" spans="1:2" ht="15">
      <c r="A6607" s="77" t="s">
        <v>10495</v>
      </c>
      <c r="B6607" s="76" t="s">
        <v>11198</v>
      </c>
    </row>
    <row r="6608" spans="1:2" ht="15">
      <c r="A6608" s="77" t="s">
        <v>10496</v>
      </c>
      <c r="B6608" s="76" t="s">
        <v>11198</v>
      </c>
    </row>
    <row r="6609" spans="1:2" ht="15">
      <c r="A6609" s="77" t="s">
        <v>10497</v>
      </c>
      <c r="B6609" s="76" t="s">
        <v>11198</v>
      </c>
    </row>
    <row r="6610" spans="1:2" ht="15">
      <c r="A6610" s="77" t="s">
        <v>10498</v>
      </c>
      <c r="B6610" s="76" t="s">
        <v>11198</v>
      </c>
    </row>
    <row r="6611" spans="1:2" ht="15">
      <c r="A6611" s="77" t="s">
        <v>10499</v>
      </c>
      <c r="B6611" s="76" t="s">
        <v>11198</v>
      </c>
    </row>
    <row r="6612" spans="1:2" ht="15">
      <c r="A6612" s="77" t="s">
        <v>10500</v>
      </c>
      <c r="B6612" s="76" t="s">
        <v>11198</v>
      </c>
    </row>
    <row r="6613" spans="1:2" ht="15">
      <c r="A6613" s="77" t="s">
        <v>10501</v>
      </c>
      <c r="B6613" s="76" t="s">
        <v>11198</v>
      </c>
    </row>
    <row r="6614" spans="1:2" ht="15">
      <c r="A6614" s="77" t="s">
        <v>10502</v>
      </c>
      <c r="B6614" s="76" t="s">
        <v>11198</v>
      </c>
    </row>
    <row r="6615" spans="1:2" ht="15">
      <c r="A6615" s="77" t="s">
        <v>10503</v>
      </c>
      <c r="B6615" s="76" t="s">
        <v>11198</v>
      </c>
    </row>
    <row r="6616" spans="1:2" ht="15">
      <c r="A6616" s="77" t="s">
        <v>10504</v>
      </c>
      <c r="B6616" s="76" t="s">
        <v>11198</v>
      </c>
    </row>
    <row r="6617" spans="1:2" ht="15">
      <c r="A6617" s="77" t="s">
        <v>10505</v>
      </c>
      <c r="B6617" s="76" t="s">
        <v>11198</v>
      </c>
    </row>
    <row r="6618" spans="1:2" ht="15">
      <c r="A6618" s="77" t="s">
        <v>10506</v>
      </c>
      <c r="B6618" s="76" t="s">
        <v>11198</v>
      </c>
    </row>
    <row r="6619" spans="1:2" ht="15">
      <c r="A6619" s="77" t="s">
        <v>10507</v>
      </c>
      <c r="B6619" s="76" t="s">
        <v>11198</v>
      </c>
    </row>
    <row r="6620" spans="1:2" ht="15">
      <c r="A6620" s="77" t="s">
        <v>10508</v>
      </c>
      <c r="B6620" s="76" t="s">
        <v>11198</v>
      </c>
    </row>
    <row r="6621" spans="1:2" ht="15">
      <c r="A6621" s="77" t="s">
        <v>10509</v>
      </c>
      <c r="B6621" s="76" t="s">
        <v>11198</v>
      </c>
    </row>
    <row r="6622" spans="1:2" ht="15">
      <c r="A6622" s="77" t="s">
        <v>10510</v>
      </c>
      <c r="B6622" s="76" t="s">
        <v>11198</v>
      </c>
    </row>
    <row r="6623" spans="1:2" ht="15">
      <c r="A6623" s="77" t="s">
        <v>10511</v>
      </c>
      <c r="B6623" s="76" t="s">
        <v>11198</v>
      </c>
    </row>
    <row r="6624" spans="1:2" ht="15">
      <c r="A6624" s="77" t="s">
        <v>10512</v>
      </c>
      <c r="B6624" s="76" t="s">
        <v>11198</v>
      </c>
    </row>
    <row r="6625" spans="1:2" ht="15">
      <c r="A6625" s="77" t="s">
        <v>10513</v>
      </c>
      <c r="B6625" s="76" t="s">
        <v>11198</v>
      </c>
    </row>
    <row r="6626" spans="1:2" ht="15">
      <c r="A6626" s="77" t="s">
        <v>10514</v>
      </c>
      <c r="B6626" s="76" t="s">
        <v>11198</v>
      </c>
    </row>
    <row r="6627" spans="1:2" ht="15">
      <c r="A6627" s="77" t="s">
        <v>10515</v>
      </c>
      <c r="B6627" s="76" t="s">
        <v>11198</v>
      </c>
    </row>
    <row r="6628" spans="1:2" ht="15">
      <c r="A6628" s="77" t="s">
        <v>10516</v>
      </c>
      <c r="B6628" s="76" t="s">
        <v>11198</v>
      </c>
    </row>
    <row r="6629" spans="1:2" ht="15">
      <c r="A6629" s="77" t="s">
        <v>10517</v>
      </c>
      <c r="B6629" s="76" t="s">
        <v>11198</v>
      </c>
    </row>
    <row r="6630" spans="1:2" ht="15">
      <c r="A6630" s="77" t="s">
        <v>10518</v>
      </c>
      <c r="B6630" s="76" t="s">
        <v>11198</v>
      </c>
    </row>
    <row r="6631" spans="1:2" ht="15">
      <c r="A6631" s="77" t="s">
        <v>10519</v>
      </c>
      <c r="B6631" s="76" t="s">
        <v>11198</v>
      </c>
    </row>
    <row r="6632" spans="1:2" ht="15">
      <c r="A6632" s="77" t="s">
        <v>10520</v>
      </c>
      <c r="B6632" s="76" t="s">
        <v>11198</v>
      </c>
    </row>
    <row r="6633" spans="1:2" ht="15">
      <c r="A6633" s="77" t="s">
        <v>10521</v>
      </c>
      <c r="B6633" s="76" t="s">
        <v>11198</v>
      </c>
    </row>
    <row r="6634" spans="1:2" ht="15">
      <c r="A6634" s="77" t="s">
        <v>10522</v>
      </c>
      <c r="B6634" s="76" t="s">
        <v>11198</v>
      </c>
    </row>
    <row r="6635" spans="1:2" ht="15">
      <c r="A6635" s="77" t="s">
        <v>10523</v>
      </c>
      <c r="B6635" s="76" t="s">
        <v>11198</v>
      </c>
    </row>
    <row r="6636" spans="1:2" ht="15">
      <c r="A6636" s="77" t="s">
        <v>10524</v>
      </c>
      <c r="B6636" s="76" t="s">
        <v>11198</v>
      </c>
    </row>
    <row r="6637" spans="1:2" ht="15">
      <c r="A6637" s="77" t="s">
        <v>10525</v>
      </c>
      <c r="B6637" s="76" t="s">
        <v>11198</v>
      </c>
    </row>
    <row r="6638" spans="1:2" ht="15">
      <c r="A6638" s="77" t="s">
        <v>10526</v>
      </c>
      <c r="B6638" s="76" t="s">
        <v>11198</v>
      </c>
    </row>
    <row r="6639" spans="1:2" ht="15">
      <c r="A6639" s="77" t="s">
        <v>10527</v>
      </c>
      <c r="B6639" s="76" t="s">
        <v>11198</v>
      </c>
    </row>
    <row r="6640" spans="1:2" ht="15">
      <c r="A6640" s="77" t="s">
        <v>10528</v>
      </c>
      <c r="B6640" s="76" t="s">
        <v>11198</v>
      </c>
    </row>
    <row r="6641" spans="1:2" ht="15">
      <c r="A6641" s="77" t="s">
        <v>10529</v>
      </c>
      <c r="B6641" s="76" t="s">
        <v>11198</v>
      </c>
    </row>
    <row r="6642" spans="1:2" ht="15">
      <c r="A6642" s="77" t="s">
        <v>10530</v>
      </c>
      <c r="B6642" s="76" t="s">
        <v>11198</v>
      </c>
    </row>
    <row r="6643" spans="1:2" ht="15">
      <c r="A6643" s="77" t="s">
        <v>10531</v>
      </c>
      <c r="B6643" s="76" t="s">
        <v>11198</v>
      </c>
    </row>
    <row r="6644" spans="1:2" ht="15">
      <c r="A6644" s="77" t="s">
        <v>10532</v>
      </c>
      <c r="B6644" s="76" t="s">
        <v>11198</v>
      </c>
    </row>
    <row r="6645" spans="1:2" ht="15">
      <c r="A6645" s="77" t="s">
        <v>10533</v>
      </c>
      <c r="B6645" s="76" t="s">
        <v>11198</v>
      </c>
    </row>
    <row r="6646" spans="1:2" ht="15">
      <c r="A6646" s="77" t="s">
        <v>10534</v>
      </c>
      <c r="B6646" s="76" t="s">
        <v>11198</v>
      </c>
    </row>
    <row r="6647" spans="1:2" ht="15">
      <c r="A6647" s="77" t="s">
        <v>10535</v>
      </c>
      <c r="B6647" s="76" t="s">
        <v>11198</v>
      </c>
    </row>
    <row r="6648" spans="1:2" ht="15">
      <c r="A6648" s="77" t="s">
        <v>10536</v>
      </c>
      <c r="B6648" s="76" t="s">
        <v>11198</v>
      </c>
    </row>
    <row r="6649" spans="1:2" ht="15">
      <c r="A6649" s="77" t="s">
        <v>10537</v>
      </c>
      <c r="B6649" s="76" t="s">
        <v>11198</v>
      </c>
    </row>
    <row r="6650" spans="1:2" ht="15">
      <c r="A6650" s="77" t="s">
        <v>10538</v>
      </c>
      <c r="B6650" s="76" t="s">
        <v>11198</v>
      </c>
    </row>
    <row r="6651" spans="1:2" ht="15">
      <c r="A6651" s="77" t="s">
        <v>10539</v>
      </c>
      <c r="B6651" s="76" t="s">
        <v>11198</v>
      </c>
    </row>
    <row r="6652" spans="1:2" ht="15">
      <c r="A6652" s="77" t="s">
        <v>10540</v>
      </c>
      <c r="B6652" s="76" t="s">
        <v>11198</v>
      </c>
    </row>
    <row r="6653" spans="1:2" ht="15">
      <c r="A6653" s="77" t="s">
        <v>10541</v>
      </c>
      <c r="B6653" s="76" t="s">
        <v>11198</v>
      </c>
    </row>
    <row r="6654" spans="1:2" ht="15">
      <c r="A6654" s="77" t="s">
        <v>10542</v>
      </c>
      <c r="B6654" s="76" t="s">
        <v>11198</v>
      </c>
    </row>
    <row r="6655" spans="1:2" ht="15">
      <c r="A6655" s="77" t="s">
        <v>10543</v>
      </c>
      <c r="B6655" s="76" t="s">
        <v>11198</v>
      </c>
    </row>
    <row r="6656" spans="1:2" ht="15">
      <c r="A6656" s="77" t="s">
        <v>10544</v>
      </c>
      <c r="B6656" s="76" t="s">
        <v>11198</v>
      </c>
    </row>
    <row r="6657" spans="1:2" ht="15">
      <c r="A6657" s="77" t="s">
        <v>10545</v>
      </c>
      <c r="B6657" s="76" t="s">
        <v>11198</v>
      </c>
    </row>
    <row r="6658" spans="1:2" ht="15">
      <c r="A6658" s="77" t="s">
        <v>10546</v>
      </c>
      <c r="B6658" s="76" t="s">
        <v>11198</v>
      </c>
    </row>
    <row r="6659" spans="1:2" ht="15">
      <c r="A6659" s="77" t="s">
        <v>10547</v>
      </c>
      <c r="B6659" s="76" t="s">
        <v>11198</v>
      </c>
    </row>
    <row r="6660" spans="1:2" ht="15">
      <c r="A6660" s="77" t="s">
        <v>10548</v>
      </c>
      <c r="B6660" s="76" t="s">
        <v>11198</v>
      </c>
    </row>
    <row r="6661" spans="1:2" ht="15">
      <c r="A6661" s="77" t="s">
        <v>10549</v>
      </c>
      <c r="B6661" s="76" t="s">
        <v>11198</v>
      </c>
    </row>
    <row r="6662" spans="1:2" ht="15">
      <c r="A6662" s="77" t="s">
        <v>10550</v>
      </c>
      <c r="B6662" s="76" t="s">
        <v>11198</v>
      </c>
    </row>
    <row r="6663" spans="1:2" ht="15">
      <c r="A6663" s="77" t="s">
        <v>10551</v>
      </c>
      <c r="B6663" s="76" t="s">
        <v>11198</v>
      </c>
    </row>
    <row r="6664" spans="1:2" ht="15">
      <c r="A6664" s="77" t="s">
        <v>10552</v>
      </c>
      <c r="B6664" s="76" t="s">
        <v>11198</v>
      </c>
    </row>
    <row r="6665" spans="1:2" ht="15">
      <c r="A6665" s="77" t="s">
        <v>10553</v>
      </c>
      <c r="B6665" s="76" t="s">
        <v>11198</v>
      </c>
    </row>
    <row r="6666" spans="1:2" ht="15">
      <c r="A6666" s="77" t="s">
        <v>10554</v>
      </c>
      <c r="B6666" s="76" t="s">
        <v>11198</v>
      </c>
    </row>
    <row r="6667" spans="1:2" ht="15">
      <c r="A6667" s="77" t="s">
        <v>10555</v>
      </c>
      <c r="B6667" s="76" t="s">
        <v>11198</v>
      </c>
    </row>
    <row r="6668" spans="1:2" ht="15">
      <c r="A6668" s="77" t="s">
        <v>10556</v>
      </c>
      <c r="B6668" s="76" t="s">
        <v>11198</v>
      </c>
    </row>
    <row r="6669" spans="1:2" ht="15">
      <c r="A6669" s="77" t="s">
        <v>10557</v>
      </c>
      <c r="B6669" s="76" t="s">
        <v>11198</v>
      </c>
    </row>
    <row r="6670" spans="1:2" ht="15">
      <c r="A6670" s="77" t="s">
        <v>10558</v>
      </c>
      <c r="B6670" s="76" t="s">
        <v>11198</v>
      </c>
    </row>
    <row r="6671" spans="1:2" ht="15">
      <c r="A6671" s="77" t="s">
        <v>10559</v>
      </c>
      <c r="B6671" s="76" t="s">
        <v>11198</v>
      </c>
    </row>
    <row r="6672" spans="1:2" ht="15">
      <c r="A6672" s="77" t="s">
        <v>10560</v>
      </c>
      <c r="B6672" s="76" t="s">
        <v>11198</v>
      </c>
    </row>
    <row r="6673" spans="1:2" ht="15">
      <c r="A6673" s="77" t="s">
        <v>10561</v>
      </c>
      <c r="B6673" s="76" t="s">
        <v>11198</v>
      </c>
    </row>
    <row r="6674" spans="1:2" ht="15">
      <c r="A6674" s="77" t="s">
        <v>10562</v>
      </c>
      <c r="B6674" s="76" t="s">
        <v>11198</v>
      </c>
    </row>
    <row r="6675" spans="1:2" ht="15">
      <c r="A6675" s="77" t="s">
        <v>10563</v>
      </c>
      <c r="B6675" s="76" t="s">
        <v>11198</v>
      </c>
    </row>
    <row r="6676" spans="1:2" ht="15">
      <c r="A6676" s="77" t="s">
        <v>10564</v>
      </c>
      <c r="B6676" s="76" t="s">
        <v>11198</v>
      </c>
    </row>
    <row r="6677" spans="1:2" ht="15">
      <c r="A6677" s="77" t="s">
        <v>10565</v>
      </c>
      <c r="B6677" s="76" t="s">
        <v>11198</v>
      </c>
    </row>
    <row r="6678" spans="1:2" ht="15">
      <c r="A6678" s="77" t="s">
        <v>10566</v>
      </c>
      <c r="B6678" s="76" t="s">
        <v>11198</v>
      </c>
    </row>
    <row r="6679" spans="1:2" ht="15">
      <c r="A6679" s="77" t="s">
        <v>10567</v>
      </c>
      <c r="B6679" s="76" t="s">
        <v>11198</v>
      </c>
    </row>
    <row r="6680" spans="1:2" ht="15">
      <c r="A6680" s="77" t="s">
        <v>10568</v>
      </c>
      <c r="B6680" s="76" t="s">
        <v>11198</v>
      </c>
    </row>
    <row r="6681" spans="1:2" ht="15">
      <c r="A6681" s="77" t="s">
        <v>10569</v>
      </c>
      <c r="B6681" s="76" t="s">
        <v>11198</v>
      </c>
    </row>
    <row r="6682" spans="1:2" ht="15">
      <c r="A6682" s="77" t="s">
        <v>10570</v>
      </c>
      <c r="B6682" s="76" t="s">
        <v>11198</v>
      </c>
    </row>
    <row r="6683" spans="1:2" ht="15">
      <c r="A6683" s="77" t="s">
        <v>10571</v>
      </c>
      <c r="B6683" s="76" t="s">
        <v>11198</v>
      </c>
    </row>
    <row r="6684" spans="1:2" ht="15">
      <c r="A6684" s="77" t="s">
        <v>10572</v>
      </c>
      <c r="B6684" s="76" t="s">
        <v>11198</v>
      </c>
    </row>
    <row r="6685" spans="1:2" ht="15">
      <c r="A6685" s="77" t="s">
        <v>10573</v>
      </c>
      <c r="B6685" s="76" t="s">
        <v>11198</v>
      </c>
    </row>
    <row r="6686" spans="1:2" ht="15">
      <c r="A6686" s="77" t="s">
        <v>10574</v>
      </c>
      <c r="B6686" s="76" t="s">
        <v>11198</v>
      </c>
    </row>
    <row r="6687" spans="1:2" ht="15">
      <c r="A6687" s="77" t="s">
        <v>10575</v>
      </c>
      <c r="B6687" s="76" t="s">
        <v>11198</v>
      </c>
    </row>
    <row r="6688" spans="1:2" ht="15">
      <c r="A6688" s="77" t="s">
        <v>10576</v>
      </c>
      <c r="B6688" s="76" t="s">
        <v>11198</v>
      </c>
    </row>
    <row r="6689" spans="1:2" ht="15">
      <c r="A6689" s="77" t="s">
        <v>10577</v>
      </c>
      <c r="B6689" s="76" t="s">
        <v>11198</v>
      </c>
    </row>
    <row r="6690" spans="1:2" ht="15">
      <c r="A6690" s="77" t="s">
        <v>10578</v>
      </c>
      <c r="B6690" s="76" t="s">
        <v>11198</v>
      </c>
    </row>
    <row r="6691" spans="1:2" ht="15">
      <c r="A6691" s="77" t="s">
        <v>10579</v>
      </c>
      <c r="B6691" s="76" t="s">
        <v>11198</v>
      </c>
    </row>
    <row r="6692" spans="1:2" ht="15">
      <c r="A6692" s="77" t="s">
        <v>10580</v>
      </c>
      <c r="B6692" s="76" t="s">
        <v>11198</v>
      </c>
    </row>
    <row r="6693" spans="1:2" ht="15">
      <c r="A6693" s="77" t="s">
        <v>10581</v>
      </c>
      <c r="B6693" s="76" t="s">
        <v>11198</v>
      </c>
    </row>
    <row r="6694" spans="1:2" ht="15">
      <c r="A6694" s="77" t="s">
        <v>10582</v>
      </c>
      <c r="B6694" s="76" t="s">
        <v>11198</v>
      </c>
    </row>
    <row r="6695" spans="1:2" ht="15">
      <c r="A6695" s="77" t="s">
        <v>10583</v>
      </c>
      <c r="B6695" s="76" t="s">
        <v>11198</v>
      </c>
    </row>
    <row r="6696" spans="1:2" ht="15">
      <c r="A6696" s="77" t="s">
        <v>10584</v>
      </c>
      <c r="B6696" s="76" t="s">
        <v>11198</v>
      </c>
    </row>
    <row r="6697" spans="1:2" ht="15">
      <c r="A6697" s="77" t="s">
        <v>10585</v>
      </c>
      <c r="B6697" s="76" t="s">
        <v>11198</v>
      </c>
    </row>
    <row r="6698" spans="1:2" ht="15">
      <c r="A6698" s="77" t="s">
        <v>10586</v>
      </c>
      <c r="B6698" s="76" t="s">
        <v>11198</v>
      </c>
    </row>
    <row r="6699" spans="1:2" ht="15">
      <c r="A6699" s="77" t="s">
        <v>10587</v>
      </c>
      <c r="B6699" s="76" t="s">
        <v>11198</v>
      </c>
    </row>
    <row r="6700" spans="1:2" ht="15">
      <c r="A6700" s="77" t="s">
        <v>10588</v>
      </c>
      <c r="B6700" s="76" t="s">
        <v>11198</v>
      </c>
    </row>
    <row r="6701" spans="1:2" ht="15">
      <c r="A6701" s="77" t="s">
        <v>10589</v>
      </c>
      <c r="B6701" s="76" t="s">
        <v>11198</v>
      </c>
    </row>
    <row r="6702" spans="1:2" ht="15">
      <c r="A6702" s="77" t="s">
        <v>10590</v>
      </c>
      <c r="B6702" s="76" t="s">
        <v>11198</v>
      </c>
    </row>
    <row r="6703" spans="1:2" ht="15">
      <c r="A6703" s="77" t="s">
        <v>10591</v>
      </c>
      <c r="B6703" s="76" t="s">
        <v>11198</v>
      </c>
    </row>
    <row r="6704" spans="1:2" ht="15">
      <c r="A6704" s="77" t="s">
        <v>10592</v>
      </c>
      <c r="B6704" s="76" t="s">
        <v>11198</v>
      </c>
    </row>
    <row r="6705" spans="1:2" ht="15">
      <c r="A6705" s="77" t="s">
        <v>10593</v>
      </c>
      <c r="B6705" s="76" t="s">
        <v>11198</v>
      </c>
    </row>
    <row r="6706" spans="1:2" ht="15">
      <c r="A6706" s="77" t="s">
        <v>10594</v>
      </c>
      <c r="B6706" s="76" t="s">
        <v>11198</v>
      </c>
    </row>
    <row r="6707" spans="1:2" ht="15">
      <c r="A6707" s="77" t="s">
        <v>10595</v>
      </c>
      <c r="B6707" s="76" t="s">
        <v>11198</v>
      </c>
    </row>
    <row r="6708" spans="1:2" ht="15">
      <c r="A6708" s="77" t="s">
        <v>10596</v>
      </c>
      <c r="B6708" s="76" t="s">
        <v>11198</v>
      </c>
    </row>
    <row r="6709" spans="1:2" ht="15">
      <c r="A6709" s="77" t="s">
        <v>10597</v>
      </c>
      <c r="B6709" s="76" t="s">
        <v>11198</v>
      </c>
    </row>
    <row r="6710" spans="1:2" ht="15">
      <c r="A6710" s="77" t="s">
        <v>10598</v>
      </c>
      <c r="B6710" s="76" t="s">
        <v>11198</v>
      </c>
    </row>
    <row r="6711" spans="1:2" ht="15">
      <c r="A6711" s="77" t="s">
        <v>10599</v>
      </c>
      <c r="B6711" s="76" t="s">
        <v>11198</v>
      </c>
    </row>
    <row r="6712" spans="1:2" ht="15">
      <c r="A6712" s="77" t="s">
        <v>10600</v>
      </c>
      <c r="B6712" s="76" t="s">
        <v>11198</v>
      </c>
    </row>
    <row r="6713" spans="1:2" ht="15">
      <c r="A6713" s="77" t="s">
        <v>10601</v>
      </c>
      <c r="B6713" s="76" t="s">
        <v>11198</v>
      </c>
    </row>
    <row r="6714" spans="1:2" ht="15">
      <c r="A6714" s="77" t="s">
        <v>10602</v>
      </c>
      <c r="B6714" s="76" t="s">
        <v>11198</v>
      </c>
    </row>
    <row r="6715" spans="1:2" ht="15">
      <c r="A6715" s="77" t="s">
        <v>10603</v>
      </c>
      <c r="B6715" s="76" t="s">
        <v>11198</v>
      </c>
    </row>
    <row r="6716" spans="1:2" ht="15">
      <c r="A6716" s="77" t="s">
        <v>10604</v>
      </c>
      <c r="B6716" s="76" t="s">
        <v>11198</v>
      </c>
    </row>
    <row r="6717" spans="1:2" ht="15">
      <c r="A6717" s="77" t="s">
        <v>10605</v>
      </c>
      <c r="B6717" s="76" t="s">
        <v>11198</v>
      </c>
    </row>
    <row r="6718" spans="1:2" ht="15">
      <c r="A6718" s="77" t="s">
        <v>10606</v>
      </c>
      <c r="B6718" s="76" t="s">
        <v>11198</v>
      </c>
    </row>
    <row r="6719" spans="1:2" ht="15">
      <c r="A6719" s="77" t="s">
        <v>10607</v>
      </c>
      <c r="B6719" s="76" t="s">
        <v>11198</v>
      </c>
    </row>
    <row r="6720" spans="1:2" ht="15">
      <c r="A6720" s="77" t="s">
        <v>10608</v>
      </c>
      <c r="B6720" s="76" t="s">
        <v>11198</v>
      </c>
    </row>
    <row r="6721" spans="1:2" ht="15">
      <c r="A6721" s="77" t="s">
        <v>10609</v>
      </c>
      <c r="B6721" s="76" t="s">
        <v>11198</v>
      </c>
    </row>
    <row r="6722" spans="1:2" ht="15">
      <c r="A6722" s="77" t="s">
        <v>10610</v>
      </c>
      <c r="B6722" s="76" t="s">
        <v>11198</v>
      </c>
    </row>
    <row r="6723" spans="1:2" ht="15">
      <c r="A6723" s="77" t="s">
        <v>10611</v>
      </c>
      <c r="B6723" s="76" t="s">
        <v>11198</v>
      </c>
    </row>
    <row r="6724" spans="1:2" ht="15">
      <c r="A6724" s="77" t="s">
        <v>10612</v>
      </c>
      <c r="B6724" s="76" t="s">
        <v>11198</v>
      </c>
    </row>
    <row r="6725" spans="1:2" ht="15">
      <c r="A6725" s="77" t="s">
        <v>10613</v>
      </c>
      <c r="B6725" s="76" t="s">
        <v>11198</v>
      </c>
    </row>
    <row r="6726" spans="1:2" ht="15">
      <c r="A6726" s="77" t="s">
        <v>10614</v>
      </c>
      <c r="B6726" s="76" t="s">
        <v>11198</v>
      </c>
    </row>
    <row r="6727" spans="1:2" ht="15">
      <c r="A6727" s="77" t="s">
        <v>10615</v>
      </c>
      <c r="B6727" s="76" t="s">
        <v>11198</v>
      </c>
    </row>
    <row r="6728" spans="1:2" ht="15">
      <c r="A6728" s="77" t="s">
        <v>10616</v>
      </c>
      <c r="B6728" s="76" t="s">
        <v>11198</v>
      </c>
    </row>
    <row r="6729" spans="1:2" ht="15">
      <c r="A6729" s="77" t="s">
        <v>10617</v>
      </c>
      <c r="B6729" s="76" t="s">
        <v>11198</v>
      </c>
    </row>
    <row r="6730" spans="1:2" ht="15">
      <c r="A6730" s="77" t="s">
        <v>10618</v>
      </c>
      <c r="B6730" s="76" t="s">
        <v>11198</v>
      </c>
    </row>
    <row r="6731" spans="1:2" ht="15">
      <c r="A6731" s="77" t="s">
        <v>10619</v>
      </c>
      <c r="B6731" s="76" t="s">
        <v>11198</v>
      </c>
    </row>
    <row r="6732" spans="1:2" ht="15">
      <c r="A6732" s="77" t="s">
        <v>10620</v>
      </c>
      <c r="B6732" s="76" t="s">
        <v>11198</v>
      </c>
    </row>
    <row r="6733" spans="1:2" ht="15">
      <c r="A6733" s="77" t="s">
        <v>10621</v>
      </c>
      <c r="B6733" s="76" t="s">
        <v>11198</v>
      </c>
    </row>
    <row r="6734" spans="1:2" ht="15">
      <c r="A6734" s="77" t="s">
        <v>10622</v>
      </c>
      <c r="B6734" s="76" t="s">
        <v>11198</v>
      </c>
    </row>
    <row r="6735" spans="1:2" ht="15">
      <c r="A6735" s="77" t="s">
        <v>10623</v>
      </c>
      <c r="B6735" s="76" t="s">
        <v>11198</v>
      </c>
    </row>
    <row r="6736" spans="1:2" ht="15">
      <c r="A6736" s="77" t="s">
        <v>10624</v>
      </c>
      <c r="B6736" s="76" t="s">
        <v>11198</v>
      </c>
    </row>
    <row r="6737" spans="1:2" ht="15">
      <c r="A6737" s="77" t="s">
        <v>10625</v>
      </c>
      <c r="B6737" s="76" t="s">
        <v>11198</v>
      </c>
    </row>
    <row r="6738" spans="1:2" ht="15">
      <c r="A6738" s="77" t="s">
        <v>10626</v>
      </c>
      <c r="B6738" s="76" t="s">
        <v>11198</v>
      </c>
    </row>
    <row r="6739" spans="1:2" ht="15">
      <c r="A6739" s="77" t="s">
        <v>10627</v>
      </c>
      <c r="B6739" s="76" t="s">
        <v>11198</v>
      </c>
    </row>
    <row r="6740" spans="1:2" ht="15">
      <c r="A6740" s="77" t="s">
        <v>10628</v>
      </c>
      <c r="B6740" s="76" t="s">
        <v>11198</v>
      </c>
    </row>
    <row r="6741" spans="1:2" ht="15">
      <c r="A6741" s="77" t="s">
        <v>10629</v>
      </c>
      <c r="B6741" s="76" t="s">
        <v>11198</v>
      </c>
    </row>
    <row r="6742" spans="1:2" ht="15">
      <c r="A6742" s="77" t="s">
        <v>10630</v>
      </c>
      <c r="B6742" s="76" t="s">
        <v>11198</v>
      </c>
    </row>
    <row r="6743" spans="1:2" ht="15">
      <c r="A6743" s="77" t="s">
        <v>10631</v>
      </c>
      <c r="B6743" s="76" t="s">
        <v>11198</v>
      </c>
    </row>
    <row r="6744" spans="1:2" ht="15">
      <c r="A6744" s="77" t="s">
        <v>10632</v>
      </c>
      <c r="B6744" s="76" t="s">
        <v>11198</v>
      </c>
    </row>
    <row r="6745" spans="1:2" ht="15">
      <c r="A6745" s="77" t="s">
        <v>10633</v>
      </c>
      <c r="B6745" s="76" t="s">
        <v>11198</v>
      </c>
    </row>
    <row r="6746" spans="1:2" ht="15">
      <c r="A6746" s="77" t="s">
        <v>10634</v>
      </c>
      <c r="B6746" s="76" t="s">
        <v>11198</v>
      </c>
    </row>
    <row r="6747" spans="1:2" ht="15">
      <c r="A6747" s="77" t="s">
        <v>10635</v>
      </c>
      <c r="B6747" s="76" t="s">
        <v>11198</v>
      </c>
    </row>
    <row r="6748" spans="1:2" ht="15">
      <c r="A6748" s="77" t="s">
        <v>10636</v>
      </c>
      <c r="B6748" s="76" t="s">
        <v>11198</v>
      </c>
    </row>
    <row r="6749" spans="1:2" ht="15">
      <c r="A6749" s="77" t="s">
        <v>10637</v>
      </c>
      <c r="B6749" s="76" t="s">
        <v>11198</v>
      </c>
    </row>
    <row r="6750" spans="1:2" ht="15">
      <c r="A6750" s="77" t="s">
        <v>10638</v>
      </c>
      <c r="B6750" s="76" t="s">
        <v>11198</v>
      </c>
    </row>
    <row r="6751" spans="1:2" ht="15">
      <c r="A6751" s="77" t="s">
        <v>10639</v>
      </c>
      <c r="B6751" s="76" t="s">
        <v>11198</v>
      </c>
    </row>
    <row r="6752" spans="1:2" ht="15">
      <c r="A6752" s="77" t="s">
        <v>10640</v>
      </c>
      <c r="B6752" s="76" t="s">
        <v>11198</v>
      </c>
    </row>
    <row r="6753" spans="1:2" ht="15">
      <c r="A6753" s="77" t="s">
        <v>10641</v>
      </c>
      <c r="B6753" s="76" t="s">
        <v>11198</v>
      </c>
    </row>
    <row r="6754" spans="1:2" ht="15">
      <c r="A6754" s="77" t="s">
        <v>10642</v>
      </c>
      <c r="B6754" s="76" t="s">
        <v>11198</v>
      </c>
    </row>
    <row r="6755" spans="1:2" ht="15">
      <c r="A6755" s="77" t="s">
        <v>10643</v>
      </c>
      <c r="B6755" s="76" t="s">
        <v>11198</v>
      </c>
    </row>
    <row r="6756" spans="1:2" ht="15">
      <c r="A6756" s="77" t="s">
        <v>3536</v>
      </c>
      <c r="B6756" s="76" t="s">
        <v>11198</v>
      </c>
    </row>
    <row r="6757" spans="1:2" ht="15">
      <c r="A6757" s="77" t="s">
        <v>10644</v>
      </c>
      <c r="B6757" s="76" t="s">
        <v>11198</v>
      </c>
    </row>
    <row r="6758" spans="1:2" ht="15">
      <c r="A6758" s="77" t="s">
        <v>10645</v>
      </c>
      <c r="B6758" s="76" t="s">
        <v>11198</v>
      </c>
    </row>
    <row r="6759" spans="1:2" ht="15">
      <c r="A6759" s="77" t="s">
        <v>10646</v>
      </c>
      <c r="B6759" s="76" t="s">
        <v>11198</v>
      </c>
    </row>
    <row r="6760" spans="1:2" ht="15">
      <c r="A6760" s="77" t="s">
        <v>10647</v>
      </c>
      <c r="B6760" s="76" t="s">
        <v>11198</v>
      </c>
    </row>
    <row r="6761" spans="1:2" ht="15">
      <c r="A6761" s="77" t="s">
        <v>3679</v>
      </c>
      <c r="B6761" s="76" t="s">
        <v>11198</v>
      </c>
    </row>
    <row r="6762" spans="1:2" ht="15">
      <c r="A6762" s="77" t="s">
        <v>10648</v>
      </c>
      <c r="B6762" s="76" t="s">
        <v>11198</v>
      </c>
    </row>
    <row r="6763" spans="1:2" ht="15">
      <c r="A6763" s="77" t="s">
        <v>10649</v>
      </c>
      <c r="B6763" s="76" t="s">
        <v>11198</v>
      </c>
    </row>
    <row r="6764" spans="1:2" ht="15">
      <c r="A6764" s="77" t="s">
        <v>10650</v>
      </c>
      <c r="B6764" s="76" t="s">
        <v>11198</v>
      </c>
    </row>
    <row r="6765" spans="1:2" ht="15">
      <c r="A6765" s="77" t="s">
        <v>10651</v>
      </c>
      <c r="B6765" s="76" t="s">
        <v>11198</v>
      </c>
    </row>
    <row r="6766" spans="1:2" ht="15">
      <c r="A6766" s="77" t="s">
        <v>10652</v>
      </c>
      <c r="B6766" s="76" t="s">
        <v>11198</v>
      </c>
    </row>
    <row r="6767" spans="1:2" ht="15">
      <c r="A6767" s="77" t="s">
        <v>10653</v>
      </c>
      <c r="B6767" s="76" t="s">
        <v>11198</v>
      </c>
    </row>
    <row r="6768" spans="1:2" ht="15">
      <c r="A6768" s="77" t="s">
        <v>10654</v>
      </c>
      <c r="B6768" s="76" t="s">
        <v>11198</v>
      </c>
    </row>
    <row r="6769" spans="1:2" ht="15">
      <c r="A6769" s="77" t="s">
        <v>10655</v>
      </c>
      <c r="B6769" s="76" t="s">
        <v>11198</v>
      </c>
    </row>
    <row r="6770" spans="1:2" ht="15">
      <c r="A6770" s="77" t="s">
        <v>10656</v>
      </c>
      <c r="B6770" s="76" t="s">
        <v>11198</v>
      </c>
    </row>
    <row r="6771" spans="1:2" ht="15">
      <c r="A6771" s="77" t="s">
        <v>10657</v>
      </c>
      <c r="B6771" s="76" t="s">
        <v>11198</v>
      </c>
    </row>
    <row r="6772" spans="1:2" ht="15">
      <c r="A6772" s="77" t="s">
        <v>10658</v>
      </c>
      <c r="B6772" s="76" t="s">
        <v>11198</v>
      </c>
    </row>
    <row r="6773" spans="1:2" ht="15">
      <c r="A6773" s="77" t="s">
        <v>10659</v>
      </c>
      <c r="B6773" s="76" t="s">
        <v>11198</v>
      </c>
    </row>
    <row r="6774" spans="1:2" ht="15">
      <c r="A6774" s="77" t="s">
        <v>10660</v>
      </c>
      <c r="B6774" s="76" t="s">
        <v>11198</v>
      </c>
    </row>
    <row r="6775" spans="1:2" ht="15">
      <c r="A6775" s="77" t="s">
        <v>10661</v>
      </c>
      <c r="B6775" s="76" t="s">
        <v>11198</v>
      </c>
    </row>
    <row r="6776" spans="1:2" ht="15">
      <c r="A6776" s="77" t="s">
        <v>10662</v>
      </c>
      <c r="B6776" s="76" t="s">
        <v>11198</v>
      </c>
    </row>
    <row r="6777" spans="1:2" ht="15">
      <c r="A6777" s="77" t="s">
        <v>10663</v>
      </c>
      <c r="B6777" s="76" t="s">
        <v>11198</v>
      </c>
    </row>
    <row r="6778" spans="1:2" ht="15">
      <c r="A6778" s="77" t="s">
        <v>10664</v>
      </c>
      <c r="B6778" s="76" t="s">
        <v>11198</v>
      </c>
    </row>
    <row r="6779" spans="1:2" ht="15">
      <c r="A6779" s="77" t="s">
        <v>10665</v>
      </c>
      <c r="B6779" s="76" t="s">
        <v>11198</v>
      </c>
    </row>
    <row r="6780" spans="1:2" ht="15">
      <c r="A6780" s="77" t="s">
        <v>10666</v>
      </c>
      <c r="B6780" s="76" t="s">
        <v>11198</v>
      </c>
    </row>
    <row r="6781" spans="1:2" ht="15">
      <c r="A6781" s="77" t="s">
        <v>10667</v>
      </c>
      <c r="B6781" s="76" t="s">
        <v>11198</v>
      </c>
    </row>
    <row r="6782" spans="1:2" ht="15">
      <c r="A6782" s="77" t="s">
        <v>10668</v>
      </c>
      <c r="B6782" s="76" t="s">
        <v>11198</v>
      </c>
    </row>
    <row r="6783" spans="1:2" ht="15">
      <c r="A6783" s="77" t="s">
        <v>10669</v>
      </c>
      <c r="B6783" s="76" t="s">
        <v>11198</v>
      </c>
    </row>
    <row r="6784" spans="1:2" ht="15">
      <c r="A6784" s="77" t="s">
        <v>10670</v>
      </c>
      <c r="B6784" s="76" t="s">
        <v>11198</v>
      </c>
    </row>
    <row r="6785" spans="1:2" ht="15">
      <c r="A6785" s="77" t="s">
        <v>10671</v>
      </c>
      <c r="B6785" s="76" t="s">
        <v>11198</v>
      </c>
    </row>
    <row r="6786" spans="1:2" ht="15">
      <c r="A6786" s="77" t="s">
        <v>10672</v>
      </c>
      <c r="B6786" s="76" t="s">
        <v>11198</v>
      </c>
    </row>
    <row r="6787" spans="1:2" ht="15">
      <c r="A6787" s="77" t="s">
        <v>10673</v>
      </c>
      <c r="B6787" s="76" t="s">
        <v>11198</v>
      </c>
    </row>
    <row r="6788" spans="1:2" ht="15">
      <c r="A6788" s="77" t="s">
        <v>10674</v>
      </c>
      <c r="B6788" s="76" t="s">
        <v>11198</v>
      </c>
    </row>
    <row r="6789" spans="1:2" ht="15">
      <c r="A6789" s="77" t="s">
        <v>10675</v>
      </c>
      <c r="B6789" s="76" t="s">
        <v>11198</v>
      </c>
    </row>
    <row r="6790" spans="1:2" ht="15">
      <c r="A6790" s="77" t="s">
        <v>10676</v>
      </c>
      <c r="B6790" s="76" t="s">
        <v>11198</v>
      </c>
    </row>
    <row r="6791" spans="1:2" ht="15">
      <c r="A6791" s="77" t="s">
        <v>10677</v>
      </c>
      <c r="B6791" s="76" t="s">
        <v>11198</v>
      </c>
    </row>
    <row r="6792" spans="1:2" ht="15">
      <c r="A6792" s="77" t="s">
        <v>10678</v>
      </c>
      <c r="B6792" s="76" t="s">
        <v>11198</v>
      </c>
    </row>
    <row r="6793" spans="1:2" ht="15">
      <c r="A6793" s="77" t="s">
        <v>10679</v>
      </c>
      <c r="B6793" s="76" t="s">
        <v>11198</v>
      </c>
    </row>
    <row r="6794" spans="1:2" ht="15">
      <c r="A6794" s="77" t="s">
        <v>10680</v>
      </c>
      <c r="B6794" s="76" t="s">
        <v>11198</v>
      </c>
    </row>
    <row r="6795" spans="1:2" ht="15">
      <c r="A6795" s="77" t="s">
        <v>10681</v>
      </c>
      <c r="B6795" s="76" t="s">
        <v>11198</v>
      </c>
    </row>
    <row r="6796" spans="1:2" ht="15">
      <c r="A6796" s="77" t="s">
        <v>10682</v>
      </c>
      <c r="B6796" s="76" t="s">
        <v>11198</v>
      </c>
    </row>
    <row r="6797" spans="1:2" ht="15">
      <c r="A6797" s="77" t="s">
        <v>10683</v>
      </c>
      <c r="B6797" s="76" t="s">
        <v>11198</v>
      </c>
    </row>
    <row r="6798" spans="1:2" ht="15">
      <c r="A6798" s="77" t="s">
        <v>10684</v>
      </c>
      <c r="B6798" s="76" t="s">
        <v>11198</v>
      </c>
    </row>
    <row r="6799" spans="1:2" ht="15">
      <c r="A6799" s="77" t="s">
        <v>10685</v>
      </c>
      <c r="B6799" s="76" t="s">
        <v>11198</v>
      </c>
    </row>
    <row r="6800" spans="1:2" ht="15">
      <c r="A6800" s="77" t="s">
        <v>10686</v>
      </c>
      <c r="B6800" s="76" t="s">
        <v>11198</v>
      </c>
    </row>
    <row r="6801" spans="1:2" ht="15">
      <c r="A6801" s="77" t="s">
        <v>10687</v>
      </c>
      <c r="B6801" s="76" t="s">
        <v>11198</v>
      </c>
    </row>
    <row r="6802" spans="1:2" ht="15">
      <c r="A6802" s="77" t="s">
        <v>10688</v>
      </c>
      <c r="B6802" s="76" t="s">
        <v>11198</v>
      </c>
    </row>
    <row r="6803" spans="1:2" ht="15">
      <c r="A6803" s="77" t="s">
        <v>10689</v>
      </c>
      <c r="B6803" s="76" t="s">
        <v>11198</v>
      </c>
    </row>
    <row r="6804" spans="1:2" ht="15">
      <c r="A6804" s="77" t="s">
        <v>10690</v>
      </c>
      <c r="B6804" s="76" t="s">
        <v>11198</v>
      </c>
    </row>
    <row r="6805" spans="1:2" ht="15">
      <c r="A6805" s="77" t="s">
        <v>10691</v>
      </c>
      <c r="B6805" s="76" t="s">
        <v>11198</v>
      </c>
    </row>
    <row r="6806" spans="1:2" ht="15">
      <c r="A6806" s="77" t="s">
        <v>3717</v>
      </c>
      <c r="B6806" s="76" t="s">
        <v>11198</v>
      </c>
    </row>
    <row r="6807" spans="1:2" ht="15">
      <c r="A6807" s="77" t="s">
        <v>10692</v>
      </c>
      <c r="B6807" s="76" t="s">
        <v>11198</v>
      </c>
    </row>
    <row r="6808" spans="1:2" ht="15">
      <c r="A6808" s="77" t="s">
        <v>10693</v>
      </c>
      <c r="B6808" s="76" t="s">
        <v>11198</v>
      </c>
    </row>
    <row r="6809" spans="1:2" ht="15">
      <c r="A6809" s="77" t="s">
        <v>10694</v>
      </c>
      <c r="B6809" s="76" t="s">
        <v>11198</v>
      </c>
    </row>
    <row r="6810" spans="1:2" ht="15">
      <c r="A6810" s="77" t="s">
        <v>10695</v>
      </c>
      <c r="B6810" s="76" t="s">
        <v>11198</v>
      </c>
    </row>
    <row r="6811" spans="1:2" ht="15">
      <c r="A6811" s="77" t="s">
        <v>10696</v>
      </c>
      <c r="B6811" s="76" t="s">
        <v>11198</v>
      </c>
    </row>
    <row r="6812" spans="1:2" ht="15">
      <c r="A6812" s="77" t="s">
        <v>10697</v>
      </c>
      <c r="B6812" s="76" t="s">
        <v>11198</v>
      </c>
    </row>
    <row r="6813" spans="1:2" ht="15">
      <c r="A6813" s="77" t="s">
        <v>10698</v>
      </c>
      <c r="B6813" s="76" t="s">
        <v>11198</v>
      </c>
    </row>
    <row r="6814" spans="1:2" ht="15">
      <c r="A6814" s="77" t="s">
        <v>10699</v>
      </c>
      <c r="B6814" s="76" t="s">
        <v>11198</v>
      </c>
    </row>
    <row r="6815" spans="1:2" ht="15">
      <c r="A6815" s="77" t="s">
        <v>10700</v>
      </c>
      <c r="B6815" s="76" t="s">
        <v>11198</v>
      </c>
    </row>
    <row r="6816" spans="1:2" ht="15">
      <c r="A6816" s="77" t="s">
        <v>10701</v>
      </c>
      <c r="B6816" s="76" t="s">
        <v>11198</v>
      </c>
    </row>
    <row r="6817" spans="1:2" ht="15">
      <c r="A6817" s="77" t="s">
        <v>10702</v>
      </c>
      <c r="B6817" s="76" t="s">
        <v>11198</v>
      </c>
    </row>
    <row r="6818" spans="1:2" ht="15">
      <c r="A6818" s="77" t="s">
        <v>10703</v>
      </c>
      <c r="B6818" s="76" t="s">
        <v>11198</v>
      </c>
    </row>
    <row r="6819" spans="1:2" ht="15">
      <c r="A6819" s="77" t="s">
        <v>10704</v>
      </c>
      <c r="B6819" s="76" t="s">
        <v>11198</v>
      </c>
    </row>
    <row r="6820" spans="1:2" ht="15">
      <c r="A6820" s="77" t="s">
        <v>10705</v>
      </c>
      <c r="B6820" s="76" t="s">
        <v>11198</v>
      </c>
    </row>
    <row r="6821" spans="1:2" ht="15">
      <c r="A6821" s="77" t="s">
        <v>10706</v>
      </c>
      <c r="B6821" s="76" t="s">
        <v>11198</v>
      </c>
    </row>
    <row r="6822" spans="1:2" ht="15">
      <c r="A6822" s="77" t="s">
        <v>10707</v>
      </c>
      <c r="B6822" s="76" t="s">
        <v>11198</v>
      </c>
    </row>
    <row r="6823" spans="1:2" ht="15">
      <c r="A6823" s="77" t="s">
        <v>10708</v>
      </c>
      <c r="B6823" s="76" t="s">
        <v>11198</v>
      </c>
    </row>
    <row r="6824" spans="1:2" ht="15">
      <c r="A6824" s="77" t="s">
        <v>10709</v>
      </c>
      <c r="B6824" s="76" t="s">
        <v>11198</v>
      </c>
    </row>
    <row r="6825" spans="1:2" ht="15">
      <c r="A6825" s="77" t="s">
        <v>10710</v>
      </c>
      <c r="B6825" s="76" t="s">
        <v>11198</v>
      </c>
    </row>
    <row r="6826" spans="1:2" ht="15">
      <c r="A6826" s="77" t="s">
        <v>10711</v>
      </c>
      <c r="B6826" s="76" t="s">
        <v>11198</v>
      </c>
    </row>
    <row r="6827" spans="1:2" ht="15">
      <c r="A6827" s="77" t="s">
        <v>10712</v>
      </c>
      <c r="B6827" s="76" t="s">
        <v>11198</v>
      </c>
    </row>
    <row r="6828" spans="1:2" ht="15">
      <c r="A6828" s="77" t="s">
        <v>10713</v>
      </c>
      <c r="B6828" s="76" t="s">
        <v>11198</v>
      </c>
    </row>
    <row r="6829" spans="1:2" ht="15">
      <c r="A6829" s="77" t="s">
        <v>10714</v>
      </c>
      <c r="B6829" s="76" t="s">
        <v>11198</v>
      </c>
    </row>
    <row r="6830" spans="1:2" ht="15">
      <c r="A6830" s="77" t="s">
        <v>10715</v>
      </c>
      <c r="B6830" s="76" t="s">
        <v>11198</v>
      </c>
    </row>
    <row r="6831" spans="1:2" ht="15">
      <c r="A6831" s="77" t="s">
        <v>10716</v>
      </c>
      <c r="B6831" s="76" t="s">
        <v>11198</v>
      </c>
    </row>
    <row r="6832" spans="1:2" ht="15">
      <c r="A6832" s="77" t="s">
        <v>10717</v>
      </c>
      <c r="B6832" s="76" t="s">
        <v>11198</v>
      </c>
    </row>
    <row r="6833" spans="1:2" ht="15">
      <c r="A6833" s="77" t="s">
        <v>10718</v>
      </c>
      <c r="B6833" s="76" t="s">
        <v>11198</v>
      </c>
    </row>
    <row r="6834" spans="1:2" ht="15">
      <c r="A6834" s="77" t="s">
        <v>10719</v>
      </c>
      <c r="B6834" s="76" t="s">
        <v>11198</v>
      </c>
    </row>
    <row r="6835" spans="1:2" ht="15">
      <c r="A6835" s="77" t="s">
        <v>10720</v>
      </c>
      <c r="B6835" s="76" t="s">
        <v>11198</v>
      </c>
    </row>
    <row r="6836" spans="1:2" ht="15">
      <c r="A6836" s="77" t="s">
        <v>10721</v>
      </c>
      <c r="B6836" s="76" t="s">
        <v>11198</v>
      </c>
    </row>
    <row r="6837" spans="1:2" ht="15">
      <c r="A6837" s="77" t="s">
        <v>10722</v>
      </c>
      <c r="B6837" s="76" t="s">
        <v>11198</v>
      </c>
    </row>
    <row r="6838" spans="1:2" ht="15">
      <c r="A6838" s="77" t="s">
        <v>10723</v>
      </c>
      <c r="B6838" s="76" t="s">
        <v>11198</v>
      </c>
    </row>
    <row r="6839" spans="1:2" ht="15">
      <c r="A6839" s="77" t="s">
        <v>10724</v>
      </c>
      <c r="B6839" s="76" t="s">
        <v>11198</v>
      </c>
    </row>
    <row r="6840" spans="1:2" ht="15">
      <c r="A6840" s="77" t="s">
        <v>10725</v>
      </c>
      <c r="B6840" s="76" t="s">
        <v>11198</v>
      </c>
    </row>
    <row r="6841" spans="1:2" ht="15">
      <c r="A6841" s="77" t="s">
        <v>10726</v>
      </c>
      <c r="B6841" s="76" t="s">
        <v>11198</v>
      </c>
    </row>
    <row r="6842" spans="1:2" ht="15">
      <c r="A6842" s="77" t="s">
        <v>10727</v>
      </c>
      <c r="B6842" s="76" t="s">
        <v>11198</v>
      </c>
    </row>
    <row r="6843" spans="1:2" ht="15">
      <c r="A6843" s="77" t="s">
        <v>10728</v>
      </c>
      <c r="B6843" s="76" t="s">
        <v>11198</v>
      </c>
    </row>
    <row r="6844" spans="1:2" ht="15">
      <c r="A6844" s="77" t="s">
        <v>10729</v>
      </c>
      <c r="B6844" s="76" t="s">
        <v>11198</v>
      </c>
    </row>
    <row r="6845" spans="1:2" ht="15">
      <c r="A6845" s="77" t="s">
        <v>10730</v>
      </c>
      <c r="B6845" s="76" t="s">
        <v>11198</v>
      </c>
    </row>
    <row r="6846" spans="1:2" ht="15">
      <c r="A6846" s="77" t="s">
        <v>10731</v>
      </c>
      <c r="B6846" s="76" t="s">
        <v>11198</v>
      </c>
    </row>
    <row r="6847" spans="1:2" ht="15">
      <c r="A6847" s="77" t="s">
        <v>10732</v>
      </c>
      <c r="B6847" s="76" t="s">
        <v>11198</v>
      </c>
    </row>
    <row r="6848" spans="1:2" ht="15">
      <c r="A6848" s="77" t="s">
        <v>10733</v>
      </c>
      <c r="B6848" s="76" t="s">
        <v>11198</v>
      </c>
    </row>
    <row r="6849" spans="1:2" ht="15">
      <c r="A6849" s="77" t="s">
        <v>10734</v>
      </c>
      <c r="B6849" s="76" t="s">
        <v>11198</v>
      </c>
    </row>
    <row r="6850" spans="1:2" ht="15">
      <c r="A6850" s="77" t="s">
        <v>10735</v>
      </c>
      <c r="B6850" s="76" t="s">
        <v>11198</v>
      </c>
    </row>
    <row r="6851" spans="1:2" ht="15">
      <c r="A6851" s="77" t="s">
        <v>10736</v>
      </c>
      <c r="B6851" s="76" t="s">
        <v>11198</v>
      </c>
    </row>
    <row r="6852" spans="1:2" ht="15">
      <c r="A6852" s="77" t="s">
        <v>10737</v>
      </c>
      <c r="B6852" s="76" t="s">
        <v>11198</v>
      </c>
    </row>
    <row r="6853" spans="1:2" ht="15">
      <c r="A6853" s="77" t="s">
        <v>10738</v>
      </c>
      <c r="B6853" s="76" t="s">
        <v>11198</v>
      </c>
    </row>
    <row r="6854" spans="1:2" ht="15">
      <c r="A6854" s="77" t="s">
        <v>10739</v>
      </c>
      <c r="B6854" s="76" t="s">
        <v>11198</v>
      </c>
    </row>
    <row r="6855" spans="1:2" ht="15">
      <c r="A6855" s="77" t="s">
        <v>10740</v>
      </c>
      <c r="B6855" s="76" t="s">
        <v>11198</v>
      </c>
    </row>
    <row r="6856" spans="1:2" ht="15">
      <c r="A6856" s="77" t="s">
        <v>10741</v>
      </c>
      <c r="B6856" s="76" t="s">
        <v>11198</v>
      </c>
    </row>
    <row r="6857" spans="1:2" ht="15">
      <c r="A6857" s="77" t="s">
        <v>10742</v>
      </c>
      <c r="B6857" s="76" t="s">
        <v>11198</v>
      </c>
    </row>
    <row r="6858" spans="1:2" ht="15">
      <c r="A6858" s="77" t="s">
        <v>10743</v>
      </c>
      <c r="B6858" s="76" t="s">
        <v>11198</v>
      </c>
    </row>
    <row r="6859" spans="1:2" ht="15">
      <c r="A6859" s="77" t="s">
        <v>10744</v>
      </c>
      <c r="B6859" s="76" t="s">
        <v>11198</v>
      </c>
    </row>
    <row r="6860" spans="1:2" ht="15">
      <c r="A6860" s="77" t="s">
        <v>10745</v>
      </c>
      <c r="B6860" s="76" t="s">
        <v>11198</v>
      </c>
    </row>
    <row r="6861" spans="1:2" ht="15">
      <c r="A6861" s="77" t="s">
        <v>10746</v>
      </c>
      <c r="B6861" s="76" t="s">
        <v>11198</v>
      </c>
    </row>
    <row r="6862" spans="1:2" ht="15">
      <c r="A6862" s="77" t="s">
        <v>10747</v>
      </c>
      <c r="B6862" s="76" t="s">
        <v>11198</v>
      </c>
    </row>
    <row r="6863" spans="1:2" ht="15">
      <c r="A6863" s="77" t="s">
        <v>10748</v>
      </c>
      <c r="B6863" s="76" t="s">
        <v>11198</v>
      </c>
    </row>
    <row r="6864" spans="1:2" ht="15">
      <c r="A6864" s="77" t="s">
        <v>10749</v>
      </c>
      <c r="B6864" s="76" t="s">
        <v>11198</v>
      </c>
    </row>
    <row r="6865" spans="1:2" ht="15">
      <c r="A6865" s="77" t="s">
        <v>10750</v>
      </c>
      <c r="B6865" s="76" t="s">
        <v>11198</v>
      </c>
    </row>
    <row r="6866" spans="1:2" ht="15">
      <c r="A6866" s="77" t="s">
        <v>10751</v>
      </c>
      <c r="B6866" s="76" t="s">
        <v>11198</v>
      </c>
    </row>
    <row r="6867" spans="1:2" ht="15">
      <c r="A6867" s="77" t="s">
        <v>10752</v>
      </c>
      <c r="B6867" s="76" t="s">
        <v>11198</v>
      </c>
    </row>
    <row r="6868" spans="1:2" ht="15">
      <c r="A6868" s="77" t="s">
        <v>10753</v>
      </c>
      <c r="B6868" s="76" t="s">
        <v>11198</v>
      </c>
    </row>
    <row r="6869" spans="1:2" ht="15">
      <c r="A6869" s="77" t="s">
        <v>10754</v>
      </c>
      <c r="B6869" s="76" t="s">
        <v>11198</v>
      </c>
    </row>
    <row r="6870" spans="1:2" ht="15">
      <c r="A6870" s="77" t="s">
        <v>10755</v>
      </c>
      <c r="B6870" s="76" t="s">
        <v>11198</v>
      </c>
    </row>
    <row r="6871" spans="1:2" ht="15">
      <c r="A6871" s="77" t="s">
        <v>10756</v>
      </c>
      <c r="B6871" s="76" t="s">
        <v>11198</v>
      </c>
    </row>
    <row r="6872" spans="1:2" ht="15">
      <c r="A6872" s="77" t="s">
        <v>10757</v>
      </c>
      <c r="B6872" s="76" t="s">
        <v>11198</v>
      </c>
    </row>
    <row r="6873" spans="1:2" ht="15">
      <c r="A6873" s="77" t="s">
        <v>10758</v>
      </c>
      <c r="B6873" s="76" t="s">
        <v>11198</v>
      </c>
    </row>
    <row r="6874" spans="1:2" ht="15">
      <c r="A6874" s="77" t="s">
        <v>10759</v>
      </c>
      <c r="B6874" s="76" t="s">
        <v>11198</v>
      </c>
    </row>
    <row r="6875" spans="1:2" ht="15">
      <c r="A6875" s="77" t="s">
        <v>10760</v>
      </c>
      <c r="B6875" s="76" t="s">
        <v>11198</v>
      </c>
    </row>
    <row r="6876" spans="1:2" ht="15">
      <c r="A6876" s="77" t="s">
        <v>10761</v>
      </c>
      <c r="B6876" s="76" t="s">
        <v>11198</v>
      </c>
    </row>
    <row r="6877" spans="1:2" ht="15">
      <c r="A6877" s="77" t="s">
        <v>10762</v>
      </c>
      <c r="B6877" s="76" t="s">
        <v>11198</v>
      </c>
    </row>
    <row r="6878" spans="1:2" ht="15">
      <c r="A6878" s="77" t="s">
        <v>10763</v>
      </c>
      <c r="B6878" s="76" t="s">
        <v>11198</v>
      </c>
    </row>
    <row r="6879" spans="1:2" ht="15">
      <c r="A6879" s="77" t="s">
        <v>10764</v>
      </c>
      <c r="B6879" s="76" t="s">
        <v>11198</v>
      </c>
    </row>
    <row r="6880" spans="1:2" ht="15">
      <c r="A6880" s="77" t="s">
        <v>10765</v>
      </c>
      <c r="B6880" s="76" t="s">
        <v>11198</v>
      </c>
    </row>
    <row r="6881" spans="1:2" ht="15">
      <c r="A6881" s="77" t="s">
        <v>10766</v>
      </c>
      <c r="B6881" s="76" t="s">
        <v>11198</v>
      </c>
    </row>
    <row r="6882" spans="1:2" ht="15">
      <c r="A6882" s="77" t="s">
        <v>10767</v>
      </c>
      <c r="B6882" s="76" t="s">
        <v>11198</v>
      </c>
    </row>
    <row r="6883" spans="1:2" ht="15">
      <c r="A6883" s="77" t="s">
        <v>10768</v>
      </c>
      <c r="B6883" s="76" t="s">
        <v>11198</v>
      </c>
    </row>
    <row r="6884" spans="1:2" ht="15">
      <c r="A6884" s="77" t="s">
        <v>10769</v>
      </c>
      <c r="B6884" s="76" t="s">
        <v>11198</v>
      </c>
    </row>
    <row r="6885" spans="1:2" ht="15">
      <c r="A6885" s="77" t="s">
        <v>10770</v>
      </c>
      <c r="B6885" s="76" t="s">
        <v>11198</v>
      </c>
    </row>
    <row r="6886" spans="1:2" ht="15">
      <c r="A6886" s="77" t="s">
        <v>10771</v>
      </c>
      <c r="B6886" s="76" t="s">
        <v>11198</v>
      </c>
    </row>
    <row r="6887" spans="1:2" ht="15">
      <c r="A6887" s="77" t="s">
        <v>10772</v>
      </c>
      <c r="B6887" s="76" t="s">
        <v>11198</v>
      </c>
    </row>
    <row r="6888" spans="1:2" ht="15">
      <c r="A6888" s="77" t="s">
        <v>10773</v>
      </c>
      <c r="B6888" s="76" t="s">
        <v>11198</v>
      </c>
    </row>
    <row r="6889" spans="1:2" ht="15">
      <c r="A6889" s="77" t="s">
        <v>10774</v>
      </c>
      <c r="B6889" s="76" t="s">
        <v>11198</v>
      </c>
    </row>
    <row r="6890" spans="1:2" ht="15">
      <c r="A6890" s="77" t="s">
        <v>10775</v>
      </c>
      <c r="B6890" s="76" t="s">
        <v>11198</v>
      </c>
    </row>
    <row r="6891" spans="1:2" ht="15">
      <c r="A6891" s="77" t="s">
        <v>3671</v>
      </c>
      <c r="B6891" s="76" t="s">
        <v>11198</v>
      </c>
    </row>
    <row r="6892" spans="1:2" ht="15">
      <c r="A6892" s="77" t="s">
        <v>10776</v>
      </c>
      <c r="B6892" s="76" t="s">
        <v>11198</v>
      </c>
    </row>
    <row r="6893" spans="1:2" ht="15">
      <c r="A6893" s="77" t="s">
        <v>10777</v>
      </c>
      <c r="B6893" s="76" t="s">
        <v>11198</v>
      </c>
    </row>
    <row r="6894" spans="1:2" ht="15">
      <c r="A6894" s="77" t="s">
        <v>10778</v>
      </c>
      <c r="B6894" s="76" t="s">
        <v>11198</v>
      </c>
    </row>
    <row r="6895" spans="1:2" ht="15">
      <c r="A6895" s="77" t="s">
        <v>10779</v>
      </c>
      <c r="B6895" s="76" t="s">
        <v>11198</v>
      </c>
    </row>
    <row r="6896" spans="1:2" ht="15">
      <c r="A6896" s="77" t="s">
        <v>10780</v>
      </c>
      <c r="B6896" s="76" t="s">
        <v>11198</v>
      </c>
    </row>
    <row r="6897" spans="1:2" ht="15">
      <c r="A6897" s="77" t="s">
        <v>10781</v>
      </c>
      <c r="B6897" s="76" t="s">
        <v>11198</v>
      </c>
    </row>
    <row r="6898" spans="1:2" ht="15">
      <c r="A6898" s="77" t="s">
        <v>10782</v>
      </c>
      <c r="B6898" s="76" t="s">
        <v>11198</v>
      </c>
    </row>
    <row r="6899" spans="1:2" ht="15">
      <c r="A6899" s="77" t="s">
        <v>10783</v>
      </c>
      <c r="B6899" s="76" t="s">
        <v>11198</v>
      </c>
    </row>
    <row r="6900" spans="1:2" ht="15">
      <c r="A6900" s="77" t="s">
        <v>10784</v>
      </c>
      <c r="B6900" s="76" t="s">
        <v>11198</v>
      </c>
    </row>
    <row r="6901" spans="1:2" ht="15">
      <c r="A6901" s="77" t="s">
        <v>10785</v>
      </c>
      <c r="B6901" s="76" t="s">
        <v>11198</v>
      </c>
    </row>
    <row r="6902" spans="1:2" ht="15">
      <c r="A6902" s="77" t="s">
        <v>10786</v>
      </c>
      <c r="B6902" s="76" t="s">
        <v>11198</v>
      </c>
    </row>
    <row r="6903" spans="1:2" ht="15">
      <c r="A6903" s="77" t="s">
        <v>10787</v>
      </c>
      <c r="B6903" s="76" t="s">
        <v>11198</v>
      </c>
    </row>
    <row r="6904" spans="1:2" ht="15">
      <c r="A6904" s="77" t="s">
        <v>10788</v>
      </c>
      <c r="B6904" s="76" t="s">
        <v>11198</v>
      </c>
    </row>
    <row r="6905" spans="1:2" ht="15">
      <c r="A6905" s="77" t="s">
        <v>10789</v>
      </c>
      <c r="B6905" s="76" t="s">
        <v>11198</v>
      </c>
    </row>
    <row r="6906" spans="1:2" ht="15">
      <c r="A6906" s="77" t="s">
        <v>10790</v>
      </c>
      <c r="B6906" s="76" t="s">
        <v>11198</v>
      </c>
    </row>
    <row r="6907" spans="1:2" ht="15">
      <c r="A6907" s="77" t="s">
        <v>10791</v>
      </c>
      <c r="B6907" s="76" t="s">
        <v>11198</v>
      </c>
    </row>
    <row r="6908" spans="1:2" ht="15">
      <c r="A6908" s="77" t="s">
        <v>10792</v>
      </c>
      <c r="B6908" s="76" t="s">
        <v>11198</v>
      </c>
    </row>
    <row r="6909" spans="1:2" ht="15">
      <c r="A6909" s="77" t="s">
        <v>10793</v>
      </c>
      <c r="B6909" s="76" t="s">
        <v>11198</v>
      </c>
    </row>
    <row r="6910" spans="1:2" ht="15">
      <c r="A6910" s="77" t="s">
        <v>10794</v>
      </c>
      <c r="B6910" s="76" t="s">
        <v>11198</v>
      </c>
    </row>
    <row r="6911" spans="1:2" ht="15">
      <c r="A6911" s="77" t="s">
        <v>10795</v>
      </c>
      <c r="B6911" s="76" t="s">
        <v>11198</v>
      </c>
    </row>
    <row r="6912" spans="1:2" ht="15">
      <c r="A6912" s="77" t="s">
        <v>10796</v>
      </c>
      <c r="B6912" s="76" t="s">
        <v>11198</v>
      </c>
    </row>
    <row r="6913" spans="1:2" ht="15">
      <c r="A6913" s="77" t="s">
        <v>10797</v>
      </c>
      <c r="B6913" s="76" t="s">
        <v>11198</v>
      </c>
    </row>
    <row r="6914" spans="1:2" ht="15">
      <c r="A6914" s="77" t="s">
        <v>10798</v>
      </c>
      <c r="B6914" s="76" t="s">
        <v>11198</v>
      </c>
    </row>
    <row r="6915" spans="1:2" ht="15">
      <c r="A6915" s="77" t="s">
        <v>10799</v>
      </c>
      <c r="B6915" s="76" t="s">
        <v>11198</v>
      </c>
    </row>
    <row r="6916" spans="1:2" ht="15">
      <c r="A6916" s="77" t="s">
        <v>10800</v>
      </c>
      <c r="B6916" s="76" t="s">
        <v>11198</v>
      </c>
    </row>
    <row r="6917" spans="1:2" ht="15">
      <c r="A6917" s="77" t="s">
        <v>10801</v>
      </c>
      <c r="B6917" s="76" t="s">
        <v>11198</v>
      </c>
    </row>
    <row r="6918" spans="1:2" ht="15">
      <c r="A6918" s="77" t="s">
        <v>10802</v>
      </c>
      <c r="B6918" s="76" t="s">
        <v>11198</v>
      </c>
    </row>
    <row r="6919" spans="1:2" ht="15">
      <c r="A6919" s="77" t="s">
        <v>10803</v>
      </c>
      <c r="B6919" s="76" t="s">
        <v>11198</v>
      </c>
    </row>
    <row r="6920" spans="1:2" ht="15">
      <c r="A6920" s="77" t="s">
        <v>10804</v>
      </c>
      <c r="B6920" s="76" t="s">
        <v>11198</v>
      </c>
    </row>
    <row r="6921" spans="1:2" ht="15">
      <c r="A6921" s="77" t="s">
        <v>10805</v>
      </c>
      <c r="B6921" s="76" t="s">
        <v>11198</v>
      </c>
    </row>
    <row r="6922" spans="1:2" ht="15">
      <c r="A6922" s="77" t="s">
        <v>10806</v>
      </c>
      <c r="B6922" s="76" t="s">
        <v>11198</v>
      </c>
    </row>
    <row r="6923" spans="1:2" ht="15">
      <c r="A6923" s="77" t="s">
        <v>10807</v>
      </c>
      <c r="B6923" s="76" t="s">
        <v>11198</v>
      </c>
    </row>
    <row r="6924" spans="1:2" ht="15">
      <c r="A6924" s="77" t="s">
        <v>10808</v>
      </c>
      <c r="B6924" s="76" t="s">
        <v>11198</v>
      </c>
    </row>
    <row r="6925" spans="1:2" ht="15">
      <c r="A6925" s="77" t="s">
        <v>10809</v>
      </c>
      <c r="B6925" s="76" t="s">
        <v>11198</v>
      </c>
    </row>
    <row r="6926" spans="1:2" ht="15">
      <c r="A6926" s="77" t="s">
        <v>10810</v>
      </c>
      <c r="B6926" s="76" t="s">
        <v>11198</v>
      </c>
    </row>
    <row r="6927" spans="1:2" ht="15">
      <c r="A6927" s="77" t="s">
        <v>10811</v>
      </c>
      <c r="B6927" s="76" t="s">
        <v>11198</v>
      </c>
    </row>
    <row r="6928" spans="1:2" ht="15">
      <c r="A6928" s="77" t="s">
        <v>10812</v>
      </c>
      <c r="B6928" s="76" t="s">
        <v>11198</v>
      </c>
    </row>
    <row r="6929" spans="1:2" ht="15">
      <c r="A6929" s="77" t="s">
        <v>10813</v>
      </c>
      <c r="B6929" s="76" t="s">
        <v>11198</v>
      </c>
    </row>
    <row r="6930" spans="1:2" ht="15">
      <c r="A6930" s="77" t="s">
        <v>10814</v>
      </c>
      <c r="B6930" s="76" t="s">
        <v>11198</v>
      </c>
    </row>
    <row r="6931" spans="1:2" ht="15">
      <c r="A6931" s="77" t="s">
        <v>10815</v>
      </c>
      <c r="B6931" s="76" t="s">
        <v>11198</v>
      </c>
    </row>
    <row r="6932" spans="1:2" ht="15">
      <c r="A6932" s="77" t="s">
        <v>10816</v>
      </c>
      <c r="B6932" s="76" t="s">
        <v>11198</v>
      </c>
    </row>
    <row r="6933" spans="1:2" ht="15">
      <c r="A6933" s="77" t="s">
        <v>10817</v>
      </c>
      <c r="B6933" s="76" t="s">
        <v>11198</v>
      </c>
    </row>
    <row r="6934" spans="1:2" ht="15">
      <c r="A6934" s="77" t="s">
        <v>10818</v>
      </c>
      <c r="B6934" s="76" t="s">
        <v>11198</v>
      </c>
    </row>
    <row r="6935" spans="1:2" ht="15">
      <c r="A6935" s="77" t="s">
        <v>10819</v>
      </c>
      <c r="B6935" s="76" t="s">
        <v>11198</v>
      </c>
    </row>
    <row r="6936" spans="1:2" ht="15">
      <c r="A6936" s="77" t="s">
        <v>10820</v>
      </c>
      <c r="B6936" s="76" t="s">
        <v>11198</v>
      </c>
    </row>
    <row r="6937" spans="1:2" ht="15">
      <c r="A6937" s="77" t="s">
        <v>10821</v>
      </c>
      <c r="B6937" s="76" t="s">
        <v>11198</v>
      </c>
    </row>
    <row r="6938" spans="1:2" ht="15">
      <c r="A6938" s="77" t="s">
        <v>10822</v>
      </c>
      <c r="B6938" s="76" t="s">
        <v>11198</v>
      </c>
    </row>
    <row r="6939" spans="1:2" ht="15">
      <c r="A6939" s="77" t="s">
        <v>10823</v>
      </c>
      <c r="B6939" s="76" t="s">
        <v>11198</v>
      </c>
    </row>
    <row r="6940" spans="1:2" ht="15">
      <c r="A6940" s="77" t="s">
        <v>10824</v>
      </c>
      <c r="B6940" s="76" t="s">
        <v>11198</v>
      </c>
    </row>
    <row r="6941" spans="1:2" ht="15">
      <c r="A6941" s="77" t="s">
        <v>10825</v>
      </c>
      <c r="B6941" s="76" t="s">
        <v>11198</v>
      </c>
    </row>
    <row r="6942" spans="1:2" ht="15">
      <c r="A6942" s="77" t="s">
        <v>10826</v>
      </c>
      <c r="B6942" s="76" t="s">
        <v>11198</v>
      </c>
    </row>
    <row r="6943" spans="1:2" ht="15">
      <c r="A6943" s="77" t="s">
        <v>10827</v>
      </c>
      <c r="B6943" s="76" t="s">
        <v>11198</v>
      </c>
    </row>
    <row r="6944" spans="1:2" ht="15">
      <c r="A6944" s="77" t="s">
        <v>10828</v>
      </c>
      <c r="B6944" s="76" t="s">
        <v>11198</v>
      </c>
    </row>
    <row r="6945" spans="1:2" ht="15">
      <c r="A6945" s="77" t="s">
        <v>10829</v>
      </c>
      <c r="B6945" s="76" t="s">
        <v>11198</v>
      </c>
    </row>
    <row r="6946" spans="1:2" ht="15">
      <c r="A6946" s="77" t="s">
        <v>10830</v>
      </c>
      <c r="B6946" s="76" t="s">
        <v>11198</v>
      </c>
    </row>
    <row r="6947" spans="1:2" ht="15">
      <c r="A6947" s="77" t="s">
        <v>10831</v>
      </c>
      <c r="B6947" s="76" t="s">
        <v>11198</v>
      </c>
    </row>
    <row r="6948" spans="1:2" ht="15">
      <c r="A6948" s="77" t="s">
        <v>10832</v>
      </c>
      <c r="B6948" s="76" t="s">
        <v>11198</v>
      </c>
    </row>
    <row r="6949" spans="1:2" ht="15">
      <c r="A6949" s="77" t="s">
        <v>10833</v>
      </c>
      <c r="B6949" s="76" t="s">
        <v>11198</v>
      </c>
    </row>
    <row r="6950" spans="1:2" ht="15">
      <c r="A6950" s="77" t="s">
        <v>10834</v>
      </c>
      <c r="B6950" s="76" t="s">
        <v>11198</v>
      </c>
    </row>
    <row r="6951" spans="1:2" ht="15">
      <c r="A6951" s="77" t="s">
        <v>10835</v>
      </c>
      <c r="B6951" s="76" t="s">
        <v>11198</v>
      </c>
    </row>
    <row r="6952" spans="1:2" ht="15">
      <c r="A6952" s="77" t="s">
        <v>10836</v>
      </c>
      <c r="B6952" s="76" t="s">
        <v>11198</v>
      </c>
    </row>
    <row r="6953" spans="1:2" ht="15">
      <c r="A6953" s="77" t="s">
        <v>10837</v>
      </c>
      <c r="B6953" s="76" t="s">
        <v>11198</v>
      </c>
    </row>
    <row r="6954" spans="1:2" ht="15">
      <c r="A6954" s="77" t="s">
        <v>10838</v>
      </c>
      <c r="B6954" s="76" t="s">
        <v>11198</v>
      </c>
    </row>
    <row r="6955" spans="1:2" ht="15">
      <c r="A6955" s="77" t="s">
        <v>10839</v>
      </c>
      <c r="B6955" s="76" t="s">
        <v>11198</v>
      </c>
    </row>
    <row r="6956" spans="1:2" ht="15">
      <c r="A6956" s="77" t="s">
        <v>10840</v>
      </c>
      <c r="B6956" s="76" t="s">
        <v>11198</v>
      </c>
    </row>
    <row r="6957" spans="1:2" ht="15">
      <c r="A6957" s="77" t="s">
        <v>10841</v>
      </c>
      <c r="B6957" s="76" t="s">
        <v>11198</v>
      </c>
    </row>
    <row r="6958" spans="1:2" ht="15">
      <c r="A6958" s="77" t="s">
        <v>10842</v>
      </c>
      <c r="B6958" s="76" t="s">
        <v>11198</v>
      </c>
    </row>
    <row r="6959" spans="1:2" ht="15">
      <c r="A6959" s="77" t="s">
        <v>10843</v>
      </c>
      <c r="B6959" s="76" t="s">
        <v>11198</v>
      </c>
    </row>
    <row r="6960" spans="1:2" ht="15">
      <c r="A6960" s="77" t="s">
        <v>10844</v>
      </c>
      <c r="B6960" s="76" t="s">
        <v>11198</v>
      </c>
    </row>
    <row r="6961" spans="1:2" ht="15">
      <c r="A6961" s="77" t="s">
        <v>10845</v>
      </c>
      <c r="B6961" s="76" t="s">
        <v>11198</v>
      </c>
    </row>
    <row r="6962" spans="1:2" ht="15">
      <c r="A6962" s="77" t="s">
        <v>10846</v>
      </c>
      <c r="B6962" s="76" t="s">
        <v>11198</v>
      </c>
    </row>
    <row r="6963" spans="1:2" ht="15">
      <c r="A6963" s="77" t="s">
        <v>10847</v>
      </c>
      <c r="B6963" s="76" t="s">
        <v>11198</v>
      </c>
    </row>
    <row r="6964" spans="1:2" ht="15">
      <c r="A6964" s="77" t="s">
        <v>10848</v>
      </c>
      <c r="B6964" s="76" t="s">
        <v>11198</v>
      </c>
    </row>
    <row r="6965" spans="1:2" ht="15">
      <c r="A6965" s="77" t="s">
        <v>10849</v>
      </c>
      <c r="B6965" s="76" t="s">
        <v>11198</v>
      </c>
    </row>
    <row r="6966" spans="1:2" ht="15">
      <c r="A6966" s="77" t="s">
        <v>10850</v>
      </c>
      <c r="B6966" s="76" t="s">
        <v>11198</v>
      </c>
    </row>
    <row r="6967" spans="1:2" ht="15">
      <c r="A6967" s="77" t="s">
        <v>10851</v>
      </c>
      <c r="B6967" s="76" t="s">
        <v>11198</v>
      </c>
    </row>
    <row r="6968" spans="1:2" ht="15">
      <c r="A6968" s="77" t="s">
        <v>10852</v>
      </c>
      <c r="B6968" s="76" t="s">
        <v>11198</v>
      </c>
    </row>
    <row r="6969" spans="1:2" ht="15">
      <c r="A6969" s="77" t="s">
        <v>10853</v>
      </c>
      <c r="B6969" s="76" t="s">
        <v>11198</v>
      </c>
    </row>
    <row r="6970" spans="1:2" ht="15">
      <c r="A6970" s="77" t="s">
        <v>10854</v>
      </c>
      <c r="B6970" s="76" t="s">
        <v>11198</v>
      </c>
    </row>
    <row r="6971" spans="1:2" ht="15">
      <c r="A6971" s="77" t="s">
        <v>10855</v>
      </c>
      <c r="B6971" s="76" t="s">
        <v>11198</v>
      </c>
    </row>
    <row r="6972" spans="1:2" ht="15">
      <c r="A6972" s="77" t="s">
        <v>10856</v>
      </c>
      <c r="B6972" s="76" t="s">
        <v>11198</v>
      </c>
    </row>
    <row r="6973" spans="1:2" ht="15">
      <c r="A6973" s="77" t="s">
        <v>10857</v>
      </c>
      <c r="B6973" s="76" t="s">
        <v>11198</v>
      </c>
    </row>
    <row r="6974" spans="1:2" ht="15">
      <c r="A6974" s="77" t="s">
        <v>10858</v>
      </c>
      <c r="B6974" s="76" t="s">
        <v>11198</v>
      </c>
    </row>
    <row r="6975" spans="1:2" ht="15">
      <c r="A6975" s="77" t="s">
        <v>10859</v>
      </c>
      <c r="B6975" s="76" t="s">
        <v>11198</v>
      </c>
    </row>
    <row r="6976" spans="1:2" ht="15">
      <c r="A6976" s="77" t="s">
        <v>10860</v>
      </c>
      <c r="B6976" s="76" t="s">
        <v>11198</v>
      </c>
    </row>
    <row r="6977" spans="1:2" ht="15">
      <c r="A6977" s="77" t="s">
        <v>10861</v>
      </c>
      <c r="B6977" s="76" t="s">
        <v>11198</v>
      </c>
    </row>
    <row r="6978" spans="1:2" ht="15">
      <c r="A6978" s="77" t="s">
        <v>10862</v>
      </c>
      <c r="B6978" s="76" t="s">
        <v>11198</v>
      </c>
    </row>
    <row r="6979" spans="1:2" ht="15">
      <c r="A6979" s="77" t="s">
        <v>10863</v>
      </c>
      <c r="B6979" s="76" t="s">
        <v>11198</v>
      </c>
    </row>
    <row r="6980" spans="1:2" ht="15">
      <c r="A6980" s="77" t="s">
        <v>10864</v>
      </c>
      <c r="B6980" s="76" t="s">
        <v>11198</v>
      </c>
    </row>
    <row r="6981" spans="1:2" ht="15">
      <c r="A6981" s="77" t="s">
        <v>10865</v>
      </c>
      <c r="B6981" s="76" t="s">
        <v>11198</v>
      </c>
    </row>
    <row r="6982" spans="1:2" ht="15">
      <c r="A6982" s="77" t="s">
        <v>10866</v>
      </c>
      <c r="B6982" s="76" t="s">
        <v>11198</v>
      </c>
    </row>
    <row r="6983" spans="1:2" ht="15">
      <c r="A6983" s="77" t="s">
        <v>10867</v>
      </c>
      <c r="B6983" s="76" t="s">
        <v>11198</v>
      </c>
    </row>
    <row r="6984" spans="1:2" ht="15">
      <c r="A6984" s="77" t="s">
        <v>10868</v>
      </c>
      <c r="B6984" s="76" t="s">
        <v>11198</v>
      </c>
    </row>
    <row r="6985" spans="1:2" ht="15">
      <c r="A6985" s="77" t="s">
        <v>10869</v>
      </c>
      <c r="B6985" s="76" t="s">
        <v>11198</v>
      </c>
    </row>
    <row r="6986" spans="1:2" ht="15">
      <c r="A6986" s="77" t="s">
        <v>10870</v>
      </c>
      <c r="B6986" s="76" t="s">
        <v>11198</v>
      </c>
    </row>
    <row r="6987" spans="1:2" ht="15">
      <c r="A6987" s="77" t="s">
        <v>10871</v>
      </c>
      <c r="B6987" s="76" t="s">
        <v>11198</v>
      </c>
    </row>
    <row r="6988" spans="1:2" ht="15">
      <c r="A6988" s="77" t="s">
        <v>10872</v>
      </c>
      <c r="B6988" s="76" t="s">
        <v>11198</v>
      </c>
    </row>
    <row r="6989" spans="1:2" ht="15">
      <c r="A6989" s="77" t="s">
        <v>10873</v>
      </c>
      <c r="B6989" s="76" t="s">
        <v>11198</v>
      </c>
    </row>
    <row r="6990" spans="1:2" ht="15">
      <c r="A6990" s="77" t="s">
        <v>10874</v>
      </c>
      <c r="B6990" s="76" t="s">
        <v>11198</v>
      </c>
    </row>
    <row r="6991" spans="1:2" ht="15">
      <c r="A6991" s="77" t="s">
        <v>10875</v>
      </c>
      <c r="B6991" s="76" t="s">
        <v>11198</v>
      </c>
    </row>
    <row r="6992" spans="1:2" ht="15">
      <c r="A6992" s="77" t="s">
        <v>10876</v>
      </c>
      <c r="B6992" s="76" t="s">
        <v>11198</v>
      </c>
    </row>
    <row r="6993" spans="1:2" ht="15">
      <c r="A6993" s="77" t="s">
        <v>10877</v>
      </c>
      <c r="B6993" s="76" t="s">
        <v>11198</v>
      </c>
    </row>
    <row r="6994" spans="1:2" ht="15">
      <c r="A6994" s="77" t="s">
        <v>10878</v>
      </c>
      <c r="B6994" s="76" t="s">
        <v>11198</v>
      </c>
    </row>
    <row r="6995" spans="1:2" ht="15">
      <c r="A6995" s="77" t="s">
        <v>10879</v>
      </c>
      <c r="B6995" s="76" t="s">
        <v>11198</v>
      </c>
    </row>
    <row r="6996" spans="1:2" ht="15">
      <c r="A6996" s="77" t="s">
        <v>10880</v>
      </c>
      <c r="B6996" s="76" t="s">
        <v>11198</v>
      </c>
    </row>
    <row r="6997" spans="1:2" ht="15">
      <c r="A6997" s="77" t="s">
        <v>10881</v>
      </c>
      <c r="B6997" s="76" t="s">
        <v>11198</v>
      </c>
    </row>
    <row r="6998" spans="1:2" ht="15">
      <c r="A6998" s="77" t="s">
        <v>10882</v>
      </c>
      <c r="B6998" s="76" t="s">
        <v>11198</v>
      </c>
    </row>
    <row r="6999" spans="1:2" ht="15">
      <c r="A6999" s="77" t="s">
        <v>10883</v>
      </c>
      <c r="B6999" s="76" t="s">
        <v>11198</v>
      </c>
    </row>
    <row r="7000" spans="1:2" ht="15">
      <c r="A7000" s="77" t="s">
        <v>10884</v>
      </c>
      <c r="B7000" s="76" t="s">
        <v>11198</v>
      </c>
    </row>
    <row r="7001" spans="1:2" ht="15">
      <c r="A7001" s="77" t="s">
        <v>10885</v>
      </c>
      <c r="B7001" s="76" t="s">
        <v>11198</v>
      </c>
    </row>
    <row r="7002" spans="1:2" ht="15">
      <c r="A7002" s="77" t="s">
        <v>10886</v>
      </c>
      <c r="B7002" s="76" t="s">
        <v>11198</v>
      </c>
    </row>
    <row r="7003" spans="1:2" ht="15">
      <c r="A7003" s="77" t="s">
        <v>10887</v>
      </c>
      <c r="B7003" s="76" t="s">
        <v>11198</v>
      </c>
    </row>
    <row r="7004" spans="1:2" ht="15">
      <c r="A7004" s="77" t="s">
        <v>10888</v>
      </c>
      <c r="B7004" s="76" t="s">
        <v>11198</v>
      </c>
    </row>
    <row r="7005" spans="1:2" ht="15">
      <c r="A7005" s="77" t="s">
        <v>10889</v>
      </c>
      <c r="B7005" s="76" t="s">
        <v>11198</v>
      </c>
    </row>
    <row r="7006" spans="1:2" ht="15">
      <c r="A7006" s="77" t="s">
        <v>10890</v>
      </c>
      <c r="B7006" s="76" t="s">
        <v>11198</v>
      </c>
    </row>
    <row r="7007" spans="1:2" ht="15">
      <c r="A7007" s="77" t="s">
        <v>10891</v>
      </c>
      <c r="B7007" s="76" t="s">
        <v>11198</v>
      </c>
    </row>
    <row r="7008" spans="1:2" ht="15">
      <c r="A7008" s="77" t="s">
        <v>10892</v>
      </c>
      <c r="B7008" s="76" t="s">
        <v>11198</v>
      </c>
    </row>
    <row r="7009" spans="1:2" ht="15">
      <c r="A7009" s="77" t="s">
        <v>3528</v>
      </c>
      <c r="B7009" s="76" t="s">
        <v>11198</v>
      </c>
    </row>
    <row r="7010" spans="1:2" ht="15">
      <c r="A7010" s="77" t="s">
        <v>10893</v>
      </c>
      <c r="B7010" s="76" t="s">
        <v>11198</v>
      </c>
    </row>
    <row r="7011" spans="1:2" ht="15">
      <c r="A7011" s="77" t="s">
        <v>10894</v>
      </c>
      <c r="B7011" s="76" t="s">
        <v>11198</v>
      </c>
    </row>
    <row r="7012" spans="1:2" ht="15">
      <c r="A7012" s="77" t="s">
        <v>10895</v>
      </c>
      <c r="B7012" s="76" t="s">
        <v>11198</v>
      </c>
    </row>
    <row r="7013" spans="1:2" ht="15">
      <c r="A7013" s="77" t="s">
        <v>10896</v>
      </c>
      <c r="B7013" s="76" t="s">
        <v>11198</v>
      </c>
    </row>
    <row r="7014" spans="1:2" ht="15">
      <c r="A7014" s="77" t="s">
        <v>10897</v>
      </c>
      <c r="B7014" s="76" t="s">
        <v>11198</v>
      </c>
    </row>
    <row r="7015" spans="1:2" ht="15">
      <c r="A7015" s="77" t="s">
        <v>10898</v>
      </c>
      <c r="B7015" s="76" t="s">
        <v>11198</v>
      </c>
    </row>
    <row r="7016" spans="1:2" ht="15">
      <c r="A7016" s="77" t="s">
        <v>10899</v>
      </c>
      <c r="B7016" s="76" t="s">
        <v>11198</v>
      </c>
    </row>
    <row r="7017" spans="1:2" ht="15">
      <c r="A7017" s="77" t="s">
        <v>10900</v>
      </c>
      <c r="B7017" s="76" t="s">
        <v>11198</v>
      </c>
    </row>
    <row r="7018" spans="1:2" ht="15">
      <c r="A7018" s="77" t="s">
        <v>10901</v>
      </c>
      <c r="B7018" s="76" t="s">
        <v>11198</v>
      </c>
    </row>
    <row r="7019" spans="1:2" ht="15">
      <c r="A7019" s="77" t="s">
        <v>10902</v>
      </c>
      <c r="B7019" s="76" t="s">
        <v>11198</v>
      </c>
    </row>
    <row r="7020" spans="1:2" ht="15">
      <c r="A7020" s="77" t="s">
        <v>10903</v>
      </c>
      <c r="B7020" s="76" t="s">
        <v>11198</v>
      </c>
    </row>
    <row r="7021" spans="1:2" ht="15">
      <c r="A7021" s="77" t="s">
        <v>10904</v>
      </c>
      <c r="B7021" s="76" t="s">
        <v>11198</v>
      </c>
    </row>
    <row r="7022" spans="1:2" ht="15">
      <c r="A7022" s="77" t="s">
        <v>10905</v>
      </c>
      <c r="B7022" s="76" t="s">
        <v>11198</v>
      </c>
    </row>
    <row r="7023" spans="1:2" ht="15">
      <c r="A7023" s="77" t="s">
        <v>10906</v>
      </c>
      <c r="B7023" s="76" t="s">
        <v>11198</v>
      </c>
    </row>
    <row r="7024" spans="1:2" ht="15">
      <c r="A7024" s="77" t="s">
        <v>10907</v>
      </c>
      <c r="B7024" s="76" t="s">
        <v>11198</v>
      </c>
    </row>
    <row r="7025" spans="1:2" ht="15">
      <c r="A7025" s="77" t="s">
        <v>10908</v>
      </c>
      <c r="B7025" s="76" t="s">
        <v>11198</v>
      </c>
    </row>
    <row r="7026" spans="1:2" ht="15">
      <c r="A7026" s="77" t="s">
        <v>10909</v>
      </c>
      <c r="B7026" s="76" t="s">
        <v>11198</v>
      </c>
    </row>
    <row r="7027" spans="1:2" ht="15">
      <c r="A7027" s="77" t="s">
        <v>10910</v>
      </c>
      <c r="B7027" s="76" t="s">
        <v>11198</v>
      </c>
    </row>
    <row r="7028" spans="1:2" ht="15">
      <c r="A7028" s="77" t="s">
        <v>10911</v>
      </c>
      <c r="B7028" s="76" t="s">
        <v>11198</v>
      </c>
    </row>
    <row r="7029" spans="1:2" ht="15">
      <c r="A7029" s="77" t="s">
        <v>10912</v>
      </c>
      <c r="B7029" s="76" t="s">
        <v>11198</v>
      </c>
    </row>
    <row r="7030" spans="1:2" ht="15">
      <c r="A7030" s="77" t="s">
        <v>10913</v>
      </c>
      <c r="B7030" s="76" t="s">
        <v>11198</v>
      </c>
    </row>
    <row r="7031" spans="1:2" ht="15">
      <c r="A7031" s="77" t="s">
        <v>10914</v>
      </c>
      <c r="B7031" s="76" t="s">
        <v>11198</v>
      </c>
    </row>
    <row r="7032" spans="1:2" ht="15">
      <c r="A7032" s="77" t="s">
        <v>10915</v>
      </c>
      <c r="B7032" s="76" t="s">
        <v>11198</v>
      </c>
    </row>
    <row r="7033" spans="1:2" ht="15">
      <c r="A7033" s="77" t="s">
        <v>10916</v>
      </c>
      <c r="B7033" s="76" t="s">
        <v>11198</v>
      </c>
    </row>
    <row r="7034" spans="1:2" ht="15">
      <c r="A7034" s="77" t="s">
        <v>10917</v>
      </c>
      <c r="B7034" s="76" t="s">
        <v>11198</v>
      </c>
    </row>
    <row r="7035" spans="1:2" ht="15">
      <c r="A7035" s="77" t="s">
        <v>10918</v>
      </c>
      <c r="B7035" s="76" t="s">
        <v>11198</v>
      </c>
    </row>
    <row r="7036" spans="1:2" ht="15">
      <c r="A7036" s="77" t="s">
        <v>10919</v>
      </c>
      <c r="B7036" s="76" t="s">
        <v>11198</v>
      </c>
    </row>
    <row r="7037" spans="1:2" ht="15">
      <c r="A7037" s="77" t="s">
        <v>10920</v>
      </c>
      <c r="B7037" s="76" t="s">
        <v>11198</v>
      </c>
    </row>
    <row r="7038" spans="1:2" ht="15">
      <c r="A7038" s="77" t="s">
        <v>10921</v>
      </c>
      <c r="B7038" s="76" t="s">
        <v>11198</v>
      </c>
    </row>
    <row r="7039" spans="1:2" ht="15">
      <c r="A7039" s="77" t="s">
        <v>10922</v>
      </c>
      <c r="B7039" s="76" t="s">
        <v>11198</v>
      </c>
    </row>
    <row r="7040" spans="1:2" ht="15">
      <c r="A7040" s="77" t="s">
        <v>10923</v>
      </c>
      <c r="B7040" s="76" t="s">
        <v>11198</v>
      </c>
    </row>
    <row r="7041" spans="1:2" ht="15">
      <c r="A7041" s="77" t="s">
        <v>10924</v>
      </c>
      <c r="B7041" s="76" t="s">
        <v>11198</v>
      </c>
    </row>
    <row r="7042" spans="1:2" ht="15">
      <c r="A7042" s="77" t="s">
        <v>10925</v>
      </c>
      <c r="B7042" s="76" t="s">
        <v>11198</v>
      </c>
    </row>
    <row r="7043" spans="1:2" ht="15">
      <c r="A7043" s="77" t="s">
        <v>10926</v>
      </c>
      <c r="B7043" s="76" t="s">
        <v>11198</v>
      </c>
    </row>
    <row r="7044" spans="1:2" ht="15">
      <c r="A7044" s="77" t="s">
        <v>10927</v>
      </c>
      <c r="B7044" s="76" t="s">
        <v>11198</v>
      </c>
    </row>
    <row r="7045" spans="1:2" ht="15">
      <c r="A7045" s="77" t="s">
        <v>10928</v>
      </c>
      <c r="B7045" s="76" t="s">
        <v>11198</v>
      </c>
    </row>
    <row r="7046" spans="1:2" ht="15">
      <c r="A7046" s="77" t="s">
        <v>10929</v>
      </c>
      <c r="B7046" s="76" t="s">
        <v>11198</v>
      </c>
    </row>
    <row r="7047" spans="1:2" ht="15">
      <c r="A7047" s="77" t="s">
        <v>10930</v>
      </c>
      <c r="B7047" s="76" t="s">
        <v>11198</v>
      </c>
    </row>
    <row r="7048" spans="1:2" ht="15">
      <c r="A7048" s="77" t="s">
        <v>10931</v>
      </c>
      <c r="B7048" s="76" t="s">
        <v>11198</v>
      </c>
    </row>
    <row r="7049" spans="1:2" ht="15">
      <c r="A7049" s="77" t="s">
        <v>10932</v>
      </c>
      <c r="B7049" s="76" t="s">
        <v>11198</v>
      </c>
    </row>
    <row r="7050" spans="1:2" ht="15">
      <c r="A7050" s="77" t="s">
        <v>10933</v>
      </c>
      <c r="B7050" s="76" t="s">
        <v>11198</v>
      </c>
    </row>
    <row r="7051" spans="1:2" ht="15">
      <c r="A7051" s="77" t="s">
        <v>10934</v>
      </c>
      <c r="B7051" s="76" t="s">
        <v>11198</v>
      </c>
    </row>
    <row r="7052" spans="1:2" ht="15">
      <c r="A7052" s="77" t="s">
        <v>10935</v>
      </c>
      <c r="B7052" s="76" t="s">
        <v>11198</v>
      </c>
    </row>
    <row r="7053" spans="1:2" ht="15">
      <c r="A7053" s="77" t="s">
        <v>10936</v>
      </c>
      <c r="B7053" s="76" t="s">
        <v>11198</v>
      </c>
    </row>
    <row r="7054" spans="1:2" ht="15">
      <c r="A7054" s="77" t="s">
        <v>10937</v>
      </c>
      <c r="B7054" s="76" t="s">
        <v>11198</v>
      </c>
    </row>
    <row r="7055" spans="1:2" ht="15">
      <c r="A7055" s="77" t="s">
        <v>10938</v>
      </c>
      <c r="B7055" s="76" t="s">
        <v>11198</v>
      </c>
    </row>
    <row r="7056" spans="1:2" ht="15">
      <c r="A7056" s="77" t="s">
        <v>10939</v>
      </c>
      <c r="B7056" s="76" t="s">
        <v>11198</v>
      </c>
    </row>
    <row r="7057" spans="1:2" ht="15">
      <c r="A7057" s="77" t="s">
        <v>10940</v>
      </c>
      <c r="B7057" s="76" t="s">
        <v>11198</v>
      </c>
    </row>
    <row r="7058" spans="1:2" ht="15">
      <c r="A7058" s="77" t="s">
        <v>10941</v>
      </c>
      <c r="B7058" s="76" t="s">
        <v>11198</v>
      </c>
    </row>
    <row r="7059" spans="1:2" ht="15">
      <c r="A7059" s="77" t="s">
        <v>10942</v>
      </c>
      <c r="B7059" s="76" t="s">
        <v>11198</v>
      </c>
    </row>
    <row r="7060" spans="1:2" ht="15">
      <c r="A7060" s="77" t="s">
        <v>10943</v>
      </c>
      <c r="B7060" s="76" t="s">
        <v>11198</v>
      </c>
    </row>
    <row r="7061" spans="1:2" ht="15">
      <c r="A7061" s="77" t="s">
        <v>10944</v>
      </c>
      <c r="B7061" s="76" t="s">
        <v>11198</v>
      </c>
    </row>
    <row r="7062" spans="1:2" ht="15">
      <c r="A7062" s="77" t="s">
        <v>10945</v>
      </c>
      <c r="B7062" s="76" t="s">
        <v>11198</v>
      </c>
    </row>
    <row r="7063" spans="1:2" ht="15">
      <c r="A7063" s="77" t="s">
        <v>10946</v>
      </c>
      <c r="B7063" s="76" t="s">
        <v>11198</v>
      </c>
    </row>
    <row r="7064" spans="1:2" ht="15">
      <c r="A7064" s="77" t="s">
        <v>10947</v>
      </c>
      <c r="B7064" s="76" t="s">
        <v>11198</v>
      </c>
    </row>
    <row r="7065" spans="1:2" ht="15">
      <c r="A7065" s="77" t="s">
        <v>10948</v>
      </c>
      <c r="B7065" s="76" t="s">
        <v>11198</v>
      </c>
    </row>
    <row r="7066" spans="1:2" ht="15">
      <c r="A7066" s="77" t="s">
        <v>10949</v>
      </c>
      <c r="B7066" s="76" t="s">
        <v>11198</v>
      </c>
    </row>
    <row r="7067" spans="1:2" ht="15">
      <c r="A7067" s="77" t="s">
        <v>10950</v>
      </c>
      <c r="B7067" s="76" t="s">
        <v>11198</v>
      </c>
    </row>
    <row r="7068" spans="1:2" ht="15">
      <c r="A7068" s="77" t="s">
        <v>10951</v>
      </c>
      <c r="B7068" s="76" t="s">
        <v>11198</v>
      </c>
    </row>
    <row r="7069" spans="1:2" ht="15">
      <c r="A7069" s="77" t="s">
        <v>10952</v>
      </c>
      <c r="B7069" s="76" t="s">
        <v>11198</v>
      </c>
    </row>
    <row r="7070" spans="1:2" ht="15">
      <c r="A7070" s="77" t="s">
        <v>10953</v>
      </c>
      <c r="B7070" s="76" t="s">
        <v>11198</v>
      </c>
    </row>
    <row r="7071" spans="1:2" ht="15">
      <c r="A7071" s="77" t="s">
        <v>10954</v>
      </c>
      <c r="B7071" s="76" t="s">
        <v>11198</v>
      </c>
    </row>
    <row r="7072" spans="1:2" ht="15">
      <c r="A7072" s="77" t="s">
        <v>10955</v>
      </c>
      <c r="B7072" s="76" t="s">
        <v>11198</v>
      </c>
    </row>
    <row r="7073" spans="1:2" ht="15">
      <c r="A7073" s="77" t="s">
        <v>10956</v>
      </c>
      <c r="B7073" s="76" t="s">
        <v>11198</v>
      </c>
    </row>
    <row r="7074" spans="1:2" ht="15">
      <c r="A7074" s="77" t="s">
        <v>10957</v>
      </c>
      <c r="B7074" s="76" t="s">
        <v>11198</v>
      </c>
    </row>
    <row r="7075" spans="1:2" ht="15">
      <c r="A7075" s="77" t="s">
        <v>10958</v>
      </c>
      <c r="B7075" s="76" t="s">
        <v>11198</v>
      </c>
    </row>
    <row r="7076" spans="1:2" ht="15">
      <c r="A7076" s="77" t="s">
        <v>10959</v>
      </c>
      <c r="B7076" s="76" t="s">
        <v>11198</v>
      </c>
    </row>
    <row r="7077" spans="1:2" ht="15">
      <c r="A7077" s="77" t="s">
        <v>10960</v>
      </c>
      <c r="B7077" s="76" t="s">
        <v>11198</v>
      </c>
    </row>
    <row r="7078" spans="1:2" ht="15">
      <c r="A7078" s="77" t="s">
        <v>10961</v>
      </c>
      <c r="B7078" s="76" t="s">
        <v>11198</v>
      </c>
    </row>
    <row r="7079" spans="1:2" ht="15">
      <c r="A7079" s="77" t="s">
        <v>10962</v>
      </c>
      <c r="B7079" s="76" t="s">
        <v>11198</v>
      </c>
    </row>
    <row r="7080" spans="1:2" ht="15">
      <c r="A7080" s="77" t="s">
        <v>10963</v>
      </c>
      <c r="B7080" s="76" t="s">
        <v>11198</v>
      </c>
    </row>
    <row r="7081" spans="1:2" ht="15">
      <c r="A7081" s="77" t="s">
        <v>10964</v>
      </c>
      <c r="B7081" s="76" t="s">
        <v>11198</v>
      </c>
    </row>
    <row r="7082" spans="1:2" ht="15">
      <c r="A7082" s="77" t="s">
        <v>10965</v>
      </c>
      <c r="B7082" s="76" t="s">
        <v>11198</v>
      </c>
    </row>
    <row r="7083" spans="1:2" ht="15">
      <c r="A7083" s="77" t="s">
        <v>10966</v>
      </c>
      <c r="B7083" s="76" t="s">
        <v>11198</v>
      </c>
    </row>
    <row r="7084" spans="1:2" ht="15">
      <c r="A7084" s="77" t="s">
        <v>10967</v>
      </c>
      <c r="B7084" s="76" t="s">
        <v>11198</v>
      </c>
    </row>
    <row r="7085" spans="1:2" ht="15">
      <c r="A7085" s="77" t="s">
        <v>10968</v>
      </c>
      <c r="B7085" s="76" t="s">
        <v>11198</v>
      </c>
    </row>
    <row r="7086" spans="1:2" ht="15">
      <c r="A7086" s="77" t="s">
        <v>10969</v>
      </c>
      <c r="B7086" s="76" t="s">
        <v>11198</v>
      </c>
    </row>
    <row r="7087" spans="1:2" ht="15">
      <c r="A7087" s="77" t="s">
        <v>10970</v>
      </c>
      <c r="B7087" s="76" t="s">
        <v>11198</v>
      </c>
    </row>
    <row r="7088" spans="1:2" ht="15">
      <c r="A7088" s="77" t="s">
        <v>10971</v>
      </c>
      <c r="B7088" s="76" t="s">
        <v>11198</v>
      </c>
    </row>
    <row r="7089" spans="1:2" ht="15">
      <c r="A7089" s="77" t="s">
        <v>10972</v>
      </c>
      <c r="B7089" s="76" t="s">
        <v>11198</v>
      </c>
    </row>
    <row r="7090" spans="1:2" ht="15">
      <c r="A7090" s="77" t="s">
        <v>10973</v>
      </c>
      <c r="B7090" s="76" t="s">
        <v>11198</v>
      </c>
    </row>
    <row r="7091" spans="1:2" ht="15">
      <c r="A7091" s="77" t="s">
        <v>10974</v>
      </c>
      <c r="B7091" s="76" t="s">
        <v>11198</v>
      </c>
    </row>
    <row r="7092" spans="1:2" ht="15">
      <c r="A7092" s="77" t="s">
        <v>10975</v>
      </c>
      <c r="B7092" s="76" t="s">
        <v>11198</v>
      </c>
    </row>
    <row r="7093" spans="1:2" ht="15">
      <c r="A7093" s="77" t="s">
        <v>10976</v>
      </c>
      <c r="B7093" s="76" t="s">
        <v>11198</v>
      </c>
    </row>
    <row r="7094" spans="1:2" ht="15">
      <c r="A7094" s="77" t="s">
        <v>10977</v>
      </c>
      <c r="B7094" s="76" t="s">
        <v>11198</v>
      </c>
    </row>
    <row r="7095" spans="1:2" ht="15">
      <c r="A7095" s="77" t="s">
        <v>10978</v>
      </c>
      <c r="B7095" s="76" t="s">
        <v>11198</v>
      </c>
    </row>
    <row r="7096" spans="1:2" ht="15">
      <c r="A7096" s="77" t="s">
        <v>10979</v>
      </c>
      <c r="B7096" s="76" t="s">
        <v>11198</v>
      </c>
    </row>
    <row r="7097" spans="1:2" ht="15">
      <c r="A7097" s="77" t="s">
        <v>10980</v>
      </c>
      <c r="B7097" s="76" t="s">
        <v>11198</v>
      </c>
    </row>
    <row r="7098" spans="1:2" ht="15">
      <c r="A7098" s="77" t="s">
        <v>10981</v>
      </c>
      <c r="B7098" s="76" t="s">
        <v>11198</v>
      </c>
    </row>
    <row r="7099" spans="1:2" ht="15">
      <c r="A7099" s="77" t="s">
        <v>10982</v>
      </c>
      <c r="B7099" s="76" t="s">
        <v>11198</v>
      </c>
    </row>
    <row r="7100" spans="1:2" ht="15">
      <c r="A7100" s="77" t="s">
        <v>10983</v>
      </c>
      <c r="B7100" s="76" t="s">
        <v>11198</v>
      </c>
    </row>
    <row r="7101" spans="1:2" ht="15">
      <c r="A7101" s="77" t="s">
        <v>10984</v>
      </c>
      <c r="B7101" s="76" t="s">
        <v>11198</v>
      </c>
    </row>
    <row r="7102" spans="1:2" ht="15">
      <c r="A7102" s="77" t="s">
        <v>10985</v>
      </c>
      <c r="B7102" s="76" t="s">
        <v>11198</v>
      </c>
    </row>
    <row r="7103" spans="1:2" ht="15">
      <c r="A7103" s="77" t="s">
        <v>10986</v>
      </c>
      <c r="B7103" s="76" t="s">
        <v>11198</v>
      </c>
    </row>
    <row r="7104" spans="1:2" ht="15">
      <c r="A7104" s="77" t="s">
        <v>10987</v>
      </c>
      <c r="B7104" s="76" t="s">
        <v>11198</v>
      </c>
    </row>
    <row r="7105" spans="1:2" ht="15">
      <c r="A7105" s="77" t="s">
        <v>10988</v>
      </c>
      <c r="B7105" s="76" t="s">
        <v>11198</v>
      </c>
    </row>
    <row r="7106" spans="1:2" ht="15">
      <c r="A7106" s="77" t="s">
        <v>10989</v>
      </c>
      <c r="B7106" s="76" t="s">
        <v>11198</v>
      </c>
    </row>
    <row r="7107" spans="1:2" ht="15">
      <c r="A7107" s="77" t="s">
        <v>10990</v>
      </c>
      <c r="B7107" s="76" t="s">
        <v>11198</v>
      </c>
    </row>
    <row r="7108" spans="1:2" ht="15">
      <c r="A7108" s="77" t="s">
        <v>10991</v>
      </c>
      <c r="B7108" s="76" t="s">
        <v>11198</v>
      </c>
    </row>
    <row r="7109" spans="1:2" ht="15">
      <c r="A7109" s="77" t="s">
        <v>10992</v>
      </c>
      <c r="B7109" s="76" t="s">
        <v>11198</v>
      </c>
    </row>
    <row r="7110" spans="1:2" ht="15">
      <c r="A7110" s="77" t="s">
        <v>10993</v>
      </c>
      <c r="B7110" s="76" t="s">
        <v>11198</v>
      </c>
    </row>
    <row r="7111" spans="1:2" ht="15">
      <c r="A7111" s="77" t="s">
        <v>10994</v>
      </c>
      <c r="B7111" s="76" t="s">
        <v>11198</v>
      </c>
    </row>
    <row r="7112" spans="1:2" ht="15">
      <c r="A7112" s="77" t="s">
        <v>10995</v>
      </c>
      <c r="B7112" s="76" t="s">
        <v>11198</v>
      </c>
    </row>
    <row r="7113" spans="1:2" ht="15">
      <c r="A7113" s="77" t="s">
        <v>10996</v>
      </c>
      <c r="B7113" s="76" t="s">
        <v>11198</v>
      </c>
    </row>
    <row r="7114" spans="1:2" ht="15">
      <c r="A7114" s="77" t="s">
        <v>10997</v>
      </c>
      <c r="B7114" s="76" t="s">
        <v>11198</v>
      </c>
    </row>
    <row r="7115" spans="1:2" ht="15">
      <c r="A7115" s="77" t="s">
        <v>10998</v>
      </c>
      <c r="B7115" s="76" t="s">
        <v>11198</v>
      </c>
    </row>
    <row r="7116" spans="1:2" ht="15">
      <c r="A7116" s="77" t="s">
        <v>10999</v>
      </c>
      <c r="B7116" s="76" t="s">
        <v>11198</v>
      </c>
    </row>
    <row r="7117" spans="1:2" ht="15">
      <c r="A7117" s="77" t="s">
        <v>11000</v>
      </c>
      <c r="B7117" s="76" t="s">
        <v>11198</v>
      </c>
    </row>
    <row r="7118" spans="1:2" ht="15">
      <c r="A7118" s="77" t="s">
        <v>11001</v>
      </c>
      <c r="B7118" s="76" t="s">
        <v>11198</v>
      </c>
    </row>
    <row r="7119" spans="1:2" ht="15">
      <c r="A7119" s="77" t="s">
        <v>11002</v>
      </c>
      <c r="B7119" s="76" t="s">
        <v>11198</v>
      </c>
    </row>
    <row r="7120" spans="1:2" ht="15">
      <c r="A7120" s="77" t="s">
        <v>11003</v>
      </c>
      <c r="B7120" s="76" t="s">
        <v>11198</v>
      </c>
    </row>
    <row r="7121" spans="1:2" ht="15">
      <c r="A7121" s="77" t="s">
        <v>11004</v>
      </c>
      <c r="B7121" s="76" t="s">
        <v>11198</v>
      </c>
    </row>
    <row r="7122" spans="1:2" ht="15">
      <c r="A7122" s="77" t="s">
        <v>11005</v>
      </c>
      <c r="B7122" s="76" t="s">
        <v>11198</v>
      </c>
    </row>
    <row r="7123" spans="1:2" ht="15">
      <c r="A7123" s="77" t="s">
        <v>11006</v>
      </c>
      <c r="B7123" s="76" t="s">
        <v>11198</v>
      </c>
    </row>
    <row r="7124" spans="1:2" ht="15">
      <c r="A7124" s="77" t="s">
        <v>11007</v>
      </c>
      <c r="B7124" s="76" t="s">
        <v>11198</v>
      </c>
    </row>
    <row r="7125" spans="1:2" ht="15">
      <c r="A7125" s="77" t="s">
        <v>11008</v>
      </c>
      <c r="B7125" s="76" t="s">
        <v>11198</v>
      </c>
    </row>
    <row r="7126" spans="1:2" ht="15">
      <c r="A7126" s="77" t="s">
        <v>11009</v>
      </c>
      <c r="B7126" s="76" t="s">
        <v>11198</v>
      </c>
    </row>
    <row r="7127" spans="1:2" ht="15">
      <c r="A7127" s="77" t="s">
        <v>11010</v>
      </c>
      <c r="B7127" s="76" t="s">
        <v>11198</v>
      </c>
    </row>
    <row r="7128" spans="1:2" ht="15">
      <c r="A7128" s="77" t="s">
        <v>11011</v>
      </c>
      <c r="B7128" s="76" t="s">
        <v>11198</v>
      </c>
    </row>
    <row r="7129" spans="1:2" ht="15">
      <c r="A7129" s="77" t="s">
        <v>11012</v>
      </c>
      <c r="B7129" s="76" t="s">
        <v>11198</v>
      </c>
    </row>
    <row r="7130" spans="1:2" ht="15">
      <c r="A7130" s="77" t="s">
        <v>11013</v>
      </c>
      <c r="B7130" s="76" t="s">
        <v>11198</v>
      </c>
    </row>
    <row r="7131" spans="1:2" ht="15">
      <c r="A7131" s="77" t="s">
        <v>11014</v>
      </c>
      <c r="B7131" s="76" t="s">
        <v>11198</v>
      </c>
    </row>
    <row r="7132" spans="1:2" ht="15">
      <c r="A7132" s="77" t="s">
        <v>11015</v>
      </c>
      <c r="B7132" s="76" t="s">
        <v>11198</v>
      </c>
    </row>
    <row r="7133" spans="1:2" ht="15">
      <c r="A7133" s="77" t="s">
        <v>11016</v>
      </c>
      <c r="B7133" s="76" t="s">
        <v>11198</v>
      </c>
    </row>
    <row r="7134" spans="1:2" ht="15">
      <c r="A7134" s="77" t="s">
        <v>11017</v>
      </c>
      <c r="B7134" s="76" t="s">
        <v>11198</v>
      </c>
    </row>
    <row r="7135" spans="1:2" ht="15">
      <c r="A7135" s="77" t="s">
        <v>11018</v>
      </c>
      <c r="B7135" s="76" t="s">
        <v>11198</v>
      </c>
    </row>
    <row r="7136" spans="1:2" ht="15">
      <c r="A7136" s="77" t="s">
        <v>11019</v>
      </c>
      <c r="B7136" s="76" t="s">
        <v>11198</v>
      </c>
    </row>
    <row r="7137" spans="1:2" ht="15">
      <c r="A7137" s="77" t="s">
        <v>11020</v>
      </c>
      <c r="B7137" s="76" t="s">
        <v>11198</v>
      </c>
    </row>
    <row r="7138" spans="1:2" ht="15">
      <c r="A7138" s="77" t="s">
        <v>11021</v>
      </c>
      <c r="B7138" s="76" t="s">
        <v>11198</v>
      </c>
    </row>
    <row r="7139" spans="1:2" ht="15">
      <c r="A7139" s="77" t="s">
        <v>11022</v>
      </c>
      <c r="B7139" s="76" t="s">
        <v>11198</v>
      </c>
    </row>
    <row r="7140" spans="1:2" ht="15">
      <c r="A7140" s="77" t="s">
        <v>11023</v>
      </c>
      <c r="B7140" s="76" t="s">
        <v>11198</v>
      </c>
    </row>
    <row r="7141" spans="1:2" ht="15">
      <c r="A7141" s="77" t="s">
        <v>11024</v>
      </c>
      <c r="B7141" s="76" t="s">
        <v>11198</v>
      </c>
    </row>
    <row r="7142" spans="1:2" ht="15">
      <c r="A7142" s="77" t="s">
        <v>11025</v>
      </c>
      <c r="B7142" s="76" t="s">
        <v>11198</v>
      </c>
    </row>
    <row r="7143" spans="1:2" ht="15">
      <c r="A7143" s="77" t="s">
        <v>11026</v>
      </c>
      <c r="B7143" s="76" t="s">
        <v>11198</v>
      </c>
    </row>
    <row r="7144" spans="1:2" ht="15">
      <c r="A7144" s="77" t="s">
        <v>11027</v>
      </c>
      <c r="B7144" s="76" t="s">
        <v>11198</v>
      </c>
    </row>
    <row r="7145" spans="1:2" ht="15">
      <c r="A7145" s="77" t="s">
        <v>11028</v>
      </c>
      <c r="B7145" s="76" t="s">
        <v>11198</v>
      </c>
    </row>
    <row r="7146" spans="1:2" ht="15">
      <c r="A7146" s="77" t="s">
        <v>11029</v>
      </c>
      <c r="B7146" s="76" t="s">
        <v>11198</v>
      </c>
    </row>
    <row r="7147" spans="1:2" ht="15">
      <c r="A7147" s="77" t="s">
        <v>11030</v>
      </c>
      <c r="B7147" s="76" t="s">
        <v>11198</v>
      </c>
    </row>
    <row r="7148" spans="1:2" ht="15">
      <c r="A7148" s="77" t="s">
        <v>11031</v>
      </c>
      <c r="B7148" s="76" t="s">
        <v>11198</v>
      </c>
    </row>
    <row r="7149" spans="1:2" ht="15">
      <c r="A7149" s="77" t="s">
        <v>11032</v>
      </c>
      <c r="B7149" s="76" t="s">
        <v>11198</v>
      </c>
    </row>
    <row r="7150" spans="1:2" ht="15">
      <c r="A7150" s="77" t="s">
        <v>11033</v>
      </c>
      <c r="B7150" s="76" t="s">
        <v>11198</v>
      </c>
    </row>
    <row r="7151" spans="1:2" ht="15">
      <c r="A7151" s="77" t="s">
        <v>11034</v>
      </c>
      <c r="B7151" s="76" t="s">
        <v>11198</v>
      </c>
    </row>
    <row r="7152" spans="1:2" ht="15">
      <c r="A7152" s="77" t="s">
        <v>11035</v>
      </c>
      <c r="B7152" s="76" t="s">
        <v>11198</v>
      </c>
    </row>
    <row r="7153" spans="1:2" ht="15">
      <c r="A7153" s="77" t="s">
        <v>11036</v>
      </c>
      <c r="B7153" s="76" t="s">
        <v>11198</v>
      </c>
    </row>
    <row r="7154" spans="1:2" ht="15">
      <c r="A7154" s="77" t="s">
        <v>11037</v>
      </c>
      <c r="B7154" s="76" t="s">
        <v>11198</v>
      </c>
    </row>
    <row r="7155" spans="1:2" ht="15">
      <c r="A7155" s="77" t="s">
        <v>11038</v>
      </c>
      <c r="B7155" s="76" t="s">
        <v>11198</v>
      </c>
    </row>
    <row r="7156" spans="1:2" ht="15">
      <c r="A7156" s="77" t="s">
        <v>11039</v>
      </c>
      <c r="B7156" s="76" t="s">
        <v>11198</v>
      </c>
    </row>
    <row r="7157" spans="1:2" ht="15">
      <c r="A7157" s="77" t="s">
        <v>11040</v>
      </c>
      <c r="B7157" s="76" t="s">
        <v>11198</v>
      </c>
    </row>
    <row r="7158" spans="1:2" ht="15">
      <c r="A7158" s="77" t="s">
        <v>11041</v>
      </c>
      <c r="B7158" s="76" t="s">
        <v>11198</v>
      </c>
    </row>
    <row r="7159" spans="1:2" ht="15">
      <c r="A7159" s="77" t="s">
        <v>11042</v>
      </c>
      <c r="B7159" s="76" t="s">
        <v>11198</v>
      </c>
    </row>
    <row r="7160" spans="1:2" ht="15">
      <c r="A7160" s="77" t="s">
        <v>11043</v>
      </c>
      <c r="B7160" s="76" t="s">
        <v>11198</v>
      </c>
    </row>
    <row r="7161" spans="1:2" ht="15">
      <c r="A7161" s="77" t="s">
        <v>11044</v>
      </c>
      <c r="B7161" s="76" t="s">
        <v>11198</v>
      </c>
    </row>
    <row r="7162" spans="1:2" ht="15">
      <c r="A7162" s="77" t="s">
        <v>11045</v>
      </c>
      <c r="B7162" s="76" t="s">
        <v>11198</v>
      </c>
    </row>
    <row r="7163" spans="1:2" ht="15">
      <c r="A7163" s="77" t="s">
        <v>11046</v>
      </c>
      <c r="B7163" s="76" t="s">
        <v>11198</v>
      </c>
    </row>
    <row r="7164" spans="1:2" ht="15">
      <c r="A7164" s="77" t="s">
        <v>11047</v>
      </c>
      <c r="B7164" s="76" t="s">
        <v>11198</v>
      </c>
    </row>
    <row r="7165" spans="1:2" ht="15">
      <c r="A7165" s="77" t="s">
        <v>11048</v>
      </c>
      <c r="B7165" s="76" t="s">
        <v>11198</v>
      </c>
    </row>
    <row r="7166" spans="1:2" ht="15">
      <c r="A7166" s="77" t="s">
        <v>11049</v>
      </c>
      <c r="B7166" s="76" t="s">
        <v>11198</v>
      </c>
    </row>
    <row r="7167" spans="1:2" ht="15">
      <c r="A7167" s="77" t="s">
        <v>11050</v>
      </c>
      <c r="B7167" s="76" t="s">
        <v>11198</v>
      </c>
    </row>
    <row r="7168" spans="1:2" ht="15">
      <c r="A7168" s="77" t="s">
        <v>11051</v>
      </c>
      <c r="B7168" s="76" t="s">
        <v>11198</v>
      </c>
    </row>
    <row r="7169" spans="1:2" ht="15">
      <c r="A7169" s="77" t="s">
        <v>11052</v>
      </c>
      <c r="B7169" s="76" t="s">
        <v>11198</v>
      </c>
    </row>
    <row r="7170" spans="1:2" ht="15">
      <c r="A7170" s="77" t="s">
        <v>11053</v>
      </c>
      <c r="B7170" s="76" t="s">
        <v>11198</v>
      </c>
    </row>
    <row r="7171" spans="1:2" ht="15">
      <c r="A7171" s="77" t="s">
        <v>11054</v>
      </c>
      <c r="B7171" s="76" t="s">
        <v>11198</v>
      </c>
    </row>
    <row r="7172" spans="1:2" ht="15">
      <c r="A7172" s="77" t="s">
        <v>11055</v>
      </c>
      <c r="B7172" s="76" t="s">
        <v>11198</v>
      </c>
    </row>
    <row r="7173" spans="1:2" ht="15">
      <c r="A7173" s="77" t="s">
        <v>11056</v>
      </c>
      <c r="B7173" s="76" t="s">
        <v>11198</v>
      </c>
    </row>
    <row r="7174" spans="1:2" ht="15">
      <c r="A7174" s="77" t="s">
        <v>11057</v>
      </c>
      <c r="B7174" s="76" t="s">
        <v>11198</v>
      </c>
    </row>
    <row r="7175" spans="1:2" ht="15">
      <c r="A7175" s="77" t="s">
        <v>11058</v>
      </c>
      <c r="B7175" s="76" t="s">
        <v>11198</v>
      </c>
    </row>
    <row r="7176" spans="1:2" ht="15">
      <c r="A7176" s="77" t="s">
        <v>11059</v>
      </c>
      <c r="B7176" s="76" t="s">
        <v>11198</v>
      </c>
    </row>
    <row r="7177" spans="1:2" ht="15">
      <c r="A7177" s="77" t="s">
        <v>11060</v>
      </c>
      <c r="B7177" s="76" t="s">
        <v>11198</v>
      </c>
    </row>
    <row r="7178" spans="1:2" ht="15">
      <c r="A7178" s="77" t="s">
        <v>11061</v>
      </c>
      <c r="B7178" s="76" t="s">
        <v>11198</v>
      </c>
    </row>
    <row r="7179" spans="1:2" ht="15">
      <c r="A7179" s="77" t="s">
        <v>11062</v>
      </c>
      <c r="B7179" s="76" t="s">
        <v>11198</v>
      </c>
    </row>
    <row r="7180" spans="1:2" ht="15">
      <c r="A7180" s="77" t="s">
        <v>11063</v>
      </c>
      <c r="B7180" s="76" t="s">
        <v>11198</v>
      </c>
    </row>
    <row r="7181" spans="1:2" ht="15">
      <c r="A7181" s="77" t="s">
        <v>11064</v>
      </c>
      <c r="B7181" s="76" t="s">
        <v>11198</v>
      </c>
    </row>
    <row r="7182" spans="1:2" ht="15">
      <c r="A7182" s="77" t="s">
        <v>11065</v>
      </c>
      <c r="B7182" s="76" t="s">
        <v>11198</v>
      </c>
    </row>
    <row r="7183" spans="1:2" ht="15">
      <c r="A7183" s="77" t="s">
        <v>11066</v>
      </c>
      <c r="B7183" s="76" t="s">
        <v>11198</v>
      </c>
    </row>
    <row r="7184" spans="1:2" ht="15">
      <c r="A7184" s="77" t="s">
        <v>11067</v>
      </c>
      <c r="B7184" s="76" t="s">
        <v>11198</v>
      </c>
    </row>
    <row r="7185" spans="1:2" ht="15">
      <c r="A7185" s="77" t="s">
        <v>11068</v>
      </c>
      <c r="B7185" s="76" t="s">
        <v>11198</v>
      </c>
    </row>
    <row r="7186" spans="1:2" ht="15">
      <c r="A7186" s="77" t="s">
        <v>11069</v>
      </c>
      <c r="B7186" s="76" t="s">
        <v>11198</v>
      </c>
    </row>
    <row r="7187" spans="1:2" ht="15">
      <c r="A7187" s="77" t="s">
        <v>11070</v>
      </c>
      <c r="B7187" s="76" t="s">
        <v>11198</v>
      </c>
    </row>
    <row r="7188" spans="1:2" ht="15">
      <c r="A7188" s="77" t="s">
        <v>11071</v>
      </c>
      <c r="B7188" s="76" t="s">
        <v>11198</v>
      </c>
    </row>
    <row r="7189" spans="1:2" ht="15">
      <c r="A7189" s="77" t="s">
        <v>11072</v>
      </c>
      <c r="B7189" s="76" t="s">
        <v>11198</v>
      </c>
    </row>
    <row r="7190" spans="1:2" ht="15">
      <c r="A7190" s="77" t="s">
        <v>11073</v>
      </c>
      <c r="B7190" s="76" t="s">
        <v>11198</v>
      </c>
    </row>
    <row r="7191" spans="1:2" ht="15">
      <c r="A7191" s="77" t="s">
        <v>11074</v>
      </c>
      <c r="B7191" s="76" t="s">
        <v>11198</v>
      </c>
    </row>
    <row r="7192" spans="1:2" ht="15">
      <c r="A7192" s="77" t="s">
        <v>11075</v>
      </c>
      <c r="B7192" s="76" t="s">
        <v>11198</v>
      </c>
    </row>
    <row r="7193" spans="1:2" ht="15">
      <c r="A7193" s="77" t="s">
        <v>11076</v>
      </c>
      <c r="B7193" s="76" t="s">
        <v>11198</v>
      </c>
    </row>
    <row r="7194" spans="1:2" ht="15">
      <c r="A7194" s="77" t="s">
        <v>11077</v>
      </c>
      <c r="B7194" s="76" t="s">
        <v>11198</v>
      </c>
    </row>
    <row r="7195" spans="1:2" ht="15">
      <c r="A7195" s="77" t="s">
        <v>11078</v>
      </c>
      <c r="B7195" s="76" t="s">
        <v>11198</v>
      </c>
    </row>
    <row r="7196" spans="1:2" ht="15">
      <c r="A7196" s="77" t="s">
        <v>11079</v>
      </c>
      <c r="B7196" s="76" t="s">
        <v>11198</v>
      </c>
    </row>
    <row r="7197" spans="1:2" ht="15">
      <c r="A7197" s="77" t="s">
        <v>11080</v>
      </c>
      <c r="B7197" s="76" t="s">
        <v>11198</v>
      </c>
    </row>
    <row r="7198" spans="1:2" ht="15">
      <c r="A7198" s="77" t="s">
        <v>11081</v>
      </c>
      <c r="B7198" s="76" t="s">
        <v>11198</v>
      </c>
    </row>
    <row r="7199" spans="1:2" ht="15">
      <c r="A7199" s="77" t="s">
        <v>11082</v>
      </c>
      <c r="B7199" s="76" t="s">
        <v>11198</v>
      </c>
    </row>
    <row r="7200" spans="1:2" ht="15">
      <c r="A7200" s="77" t="s">
        <v>11083</v>
      </c>
      <c r="B7200" s="76" t="s">
        <v>11198</v>
      </c>
    </row>
    <row r="7201" spans="1:2" ht="15">
      <c r="A7201" s="77" t="s">
        <v>11084</v>
      </c>
      <c r="B7201" s="76" t="s">
        <v>11198</v>
      </c>
    </row>
    <row r="7202" spans="1:2" ht="15">
      <c r="A7202" s="77" t="s">
        <v>11085</v>
      </c>
      <c r="B7202" s="76" t="s">
        <v>11198</v>
      </c>
    </row>
    <row r="7203" spans="1:2" ht="15">
      <c r="A7203" s="77" t="s">
        <v>11086</v>
      </c>
      <c r="B7203" s="76" t="s">
        <v>11198</v>
      </c>
    </row>
    <row r="7204" spans="1:2" ht="15">
      <c r="A7204" s="77" t="s">
        <v>11087</v>
      </c>
      <c r="B7204" s="76" t="s">
        <v>11198</v>
      </c>
    </row>
    <row r="7205" spans="1:2" ht="15">
      <c r="A7205" s="77" t="s">
        <v>11088</v>
      </c>
      <c r="B7205" s="76" t="s">
        <v>11198</v>
      </c>
    </row>
    <row r="7206" spans="1:2" ht="15">
      <c r="A7206" s="77" t="s">
        <v>11089</v>
      </c>
      <c r="B7206" s="76" t="s">
        <v>11198</v>
      </c>
    </row>
    <row r="7207" spans="1:2" ht="15">
      <c r="A7207" s="77" t="s">
        <v>11090</v>
      </c>
      <c r="B7207" s="76" t="s">
        <v>11198</v>
      </c>
    </row>
    <row r="7208" spans="1:2" ht="15">
      <c r="A7208" s="77" t="s">
        <v>11091</v>
      </c>
      <c r="B7208" s="76" t="s">
        <v>11198</v>
      </c>
    </row>
    <row r="7209" spans="1:2" ht="15">
      <c r="A7209" s="77" t="s">
        <v>11092</v>
      </c>
      <c r="B7209" s="76" t="s">
        <v>11198</v>
      </c>
    </row>
    <row r="7210" spans="1:2" ht="15">
      <c r="A7210" s="77" t="s">
        <v>11093</v>
      </c>
      <c r="B7210" s="76" t="s">
        <v>11198</v>
      </c>
    </row>
    <row r="7211" spans="1:2" ht="15">
      <c r="A7211" s="77" t="s">
        <v>11094</v>
      </c>
      <c r="B7211" s="76" t="s">
        <v>11198</v>
      </c>
    </row>
    <row r="7212" spans="1:2" ht="15">
      <c r="A7212" s="77" t="s">
        <v>11095</v>
      </c>
      <c r="B7212" s="76" t="s">
        <v>11198</v>
      </c>
    </row>
    <row r="7213" spans="1:2" ht="15">
      <c r="A7213" s="77" t="s">
        <v>11096</v>
      </c>
      <c r="B7213" s="76" t="s">
        <v>11198</v>
      </c>
    </row>
    <row r="7214" spans="1:2" ht="15">
      <c r="A7214" s="77" t="s">
        <v>11097</v>
      </c>
      <c r="B7214" s="76" t="s">
        <v>11198</v>
      </c>
    </row>
    <row r="7215" spans="1:2" ht="15">
      <c r="A7215" s="77" t="s">
        <v>11098</v>
      </c>
      <c r="B7215" s="76" t="s">
        <v>11198</v>
      </c>
    </row>
    <row r="7216" spans="1:2" ht="15">
      <c r="A7216" s="77" t="s">
        <v>11099</v>
      </c>
      <c r="B7216" s="76" t="s">
        <v>11198</v>
      </c>
    </row>
    <row r="7217" spans="1:2" ht="15">
      <c r="A7217" s="77" t="s">
        <v>11100</v>
      </c>
      <c r="B7217" s="76" t="s">
        <v>11198</v>
      </c>
    </row>
    <row r="7218" spans="1:2" ht="15">
      <c r="A7218" s="77" t="s">
        <v>11101</v>
      </c>
      <c r="B7218" s="76" t="s">
        <v>11198</v>
      </c>
    </row>
    <row r="7219" spans="1:2" ht="15">
      <c r="A7219" s="77" t="s">
        <v>11102</v>
      </c>
      <c r="B7219" s="76" t="s">
        <v>11198</v>
      </c>
    </row>
    <row r="7220" spans="1:2" ht="15">
      <c r="A7220" s="77" t="s">
        <v>11103</v>
      </c>
      <c r="B7220" s="76" t="s">
        <v>11198</v>
      </c>
    </row>
    <row r="7221" spans="1:2" ht="15">
      <c r="A7221" s="77" t="s">
        <v>11104</v>
      </c>
      <c r="B7221" s="76" t="s">
        <v>11198</v>
      </c>
    </row>
    <row r="7222" spans="1:2" ht="15">
      <c r="A7222" s="77" t="s">
        <v>11105</v>
      </c>
      <c r="B7222" s="76" t="s">
        <v>11198</v>
      </c>
    </row>
    <row r="7223" spans="1:2" ht="15">
      <c r="A7223" s="77" t="s">
        <v>11106</v>
      </c>
      <c r="B7223" s="76" t="s">
        <v>11198</v>
      </c>
    </row>
    <row r="7224" spans="1:2" ht="15">
      <c r="A7224" s="77" t="s">
        <v>11107</v>
      </c>
      <c r="B7224" s="76" t="s">
        <v>11198</v>
      </c>
    </row>
    <row r="7225" spans="1:2" ht="15">
      <c r="A7225" s="77" t="s">
        <v>11108</v>
      </c>
      <c r="B7225" s="76" t="s">
        <v>11198</v>
      </c>
    </row>
    <row r="7226" spans="1:2" ht="15">
      <c r="A7226" s="77" t="s">
        <v>11109</v>
      </c>
      <c r="B7226" s="76" t="s">
        <v>11198</v>
      </c>
    </row>
    <row r="7227" spans="1:2" ht="15">
      <c r="A7227" s="77" t="s">
        <v>11110</v>
      </c>
      <c r="B7227" s="76" t="s">
        <v>11198</v>
      </c>
    </row>
    <row r="7228" spans="1:2" ht="15">
      <c r="A7228" s="77" t="s">
        <v>11111</v>
      </c>
      <c r="B7228" s="76" t="s">
        <v>11198</v>
      </c>
    </row>
    <row r="7229" spans="1:2" ht="15">
      <c r="A7229" s="77" t="s">
        <v>11112</v>
      </c>
      <c r="B7229" s="76" t="s">
        <v>11198</v>
      </c>
    </row>
    <row r="7230" spans="1:2" ht="15">
      <c r="A7230" s="77" t="s">
        <v>11113</v>
      </c>
      <c r="B7230" s="76" t="s">
        <v>11198</v>
      </c>
    </row>
    <row r="7231" spans="1:2" ht="15">
      <c r="A7231" s="77" t="s">
        <v>11114</v>
      </c>
      <c r="B7231" s="76" t="s">
        <v>11198</v>
      </c>
    </row>
    <row r="7232" spans="1:2" ht="15">
      <c r="A7232" s="77" t="s">
        <v>11115</v>
      </c>
      <c r="B7232" s="76" t="s">
        <v>11198</v>
      </c>
    </row>
    <row r="7233" spans="1:2" ht="15">
      <c r="A7233" s="77" t="s">
        <v>11116</v>
      </c>
      <c r="B7233" s="76" t="s">
        <v>11198</v>
      </c>
    </row>
    <row r="7234" spans="1:2" ht="15">
      <c r="A7234" s="77" t="s">
        <v>11117</v>
      </c>
      <c r="B7234" s="76" t="s">
        <v>11198</v>
      </c>
    </row>
    <row r="7235" spans="1:2" ht="15">
      <c r="A7235" s="77" t="s">
        <v>11118</v>
      </c>
      <c r="B7235" s="76" t="s">
        <v>11198</v>
      </c>
    </row>
    <row r="7236" spans="1:2" ht="15">
      <c r="A7236" s="77" t="s">
        <v>11119</v>
      </c>
      <c r="B7236" s="76" t="s">
        <v>11198</v>
      </c>
    </row>
    <row r="7237" spans="1:2" ht="15">
      <c r="A7237" s="77" t="s">
        <v>11120</v>
      </c>
      <c r="B7237" s="76" t="s">
        <v>11198</v>
      </c>
    </row>
    <row r="7238" spans="1:2" ht="15">
      <c r="A7238" s="77" t="s">
        <v>11121</v>
      </c>
      <c r="B7238" s="76" t="s">
        <v>11198</v>
      </c>
    </row>
    <row r="7239" spans="1:2" ht="15">
      <c r="A7239" s="77" t="s">
        <v>11122</v>
      </c>
      <c r="B7239" s="76" t="s">
        <v>11198</v>
      </c>
    </row>
    <row r="7240" spans="1:2" ht="15">
      <c r="A7240" s="77" t="s">
        <v>11123</v>
      </c>
      <c r="B7240" s="76" t="s">
        <v>11198</v>
      </c>
    </row>
    <row r="7241" spans="1:2" ht="15">
      <c r="A7241" s="77" t="s">
        <v>11124</v>
      </c>
      <c r="B7241" s="76" t="s">
        <v>11198</v>
      </c>
    </row>
    <row r="7242" spans="1:2" ht="15">
      <c r="A7242" s="77" t="s">
        <v>11125</v>
      </c>
      <c r="B7242" s="76" t="s">
        <v>11198</v>
      </c>
    </row>
    <row r="7243" spans="1:2" ht="15">
      <c r="A7243" s="77" t="s">
        <v>11126</v>
      </c>
      <c r="B7243" s="76" t="s">
        <v>11198</v>
      </c>
    </row>
    <row r="7244" spans="1:2" ht="15">
      <c r="A7244" s="77" t="s">
        <v>11127</v>
      </c>
      <c r="B7244" s="76" t="s">
        <v>11198</v>
      </c>
    </row>
    <row r="7245" spans="1:2" ht="15">
      <c r="A7245" s="77" t="s">
        <v>11128</v>
      </c>
      <c r="B7245" s="76" t="s">
        <v>11198</v>
      </c>
    </row>
    <row r="7246" spans="1:2" ht="15">
      <c r="A7246" s="77" t="s">
        <v>11129</v>
      </c>
      <c r="B7246" s="76" t="s">
        <v>11198</v>
      </c>
    </row>
    <row r="7247" spans="1:2" ht="15">
      <c r="A7247" s="77" t="s">
        <v>11130</v>
      </c>
      <c r="B7247" s="76" t="s">
        <v>11198</v>
      </c>
    </row>
    <row r="7248" spans="1:2" ht="15">
      <c r="A7248" s="77" t="s">
        <v>11131</v>
      </c>
      <c r="B7248" s="76" t="s">
        <v>11198</v>
      </c>
    </row>
    <row r="7249" spans="1:2" ht="15">
      <c r="A7249" s="77" t="s">
        <v>11132</v>
      </c>
      <c r="B7249" s="76" t="s">
        <v>11198</v>
      </c>
    </row>
    <row r="7250" spans="1:2" ht="15">
      <c r="A7250" s="77" t="s">
        <v>11133</v>
      </c>
      <c r="B7250" s="76" t="s">
        <v>11198</v>
      </c>
    </row>
    <row r="7251" spans="1:2" ht="15">
      <c r="A7251" s="77" t="s">
        <v>11134</v>
      </c>
      <c r="B7251" s="76" t="s">
        <v>11198</v>
      </c>
    </row>
    <row r="7252" spans="1:2" ht="15">
      <c r="A7252" s="77" t="s">
        <v>11135</v>
      </c>
      <c r="B7252" s="76" t="s">
        <v>11198</v>
      </c>
    </row>
    <row r="7253" spans="1:2" ht="15">
      <c r="A7253" s="77" t="s">
        <v>11136</v>
      </c>
      <c r="B7253" s="76" t="s">
        <v>11198</v>
      </c>
    </row>
    <row r="7254" spans="1:2" ht="15">
      <c r="A7254" s="77" t="s">
        <v>11137</v>
      </c>
      <c r="B7254" s="76" t="s">
        <v>11198</v>
      </c>
    </row>
    <row r="7255" spans="1:2" ht="15">
      <c r="A7255" s="77" t="s">
        <v>11138</v>
      </c>
      <c r="B7255" s="76" t="s">
        <v>11198</v>
      </c>
    </row>
    <row r="7256" spans="1:2" ht="15">
      <c r="A7256" s="77" t="s">
        <v>11139</v>
      </c>
      <c r="B7256" s="76" t="s">
        <v>11198</v>
      </c>
    </row>
    <row r="7257" spans="1:2" ht="15">
      <c r="A7257" s="77" t="s">
        <v>11140</v>
      </c>
      <c r="B7257" s="76" t="s">
        <v>11198</v>
      </c>
    </row>
    <row r="7258" spans="1:2" ht="15">
      <c r="A7258" s="77" t="s">
        <v>11141</v>
      </c>
      <c r="B7258" s="76" t="s">
        <v>11198</v>
      </c>
    </row>
    <row r="7259" spans="1:2" ht="15">
      <c r="A7259" s="77" t="s">
        <v>11142</v>
      </c>
      <c r="B7259" s="76" t="s">
        <v>11198</v>
      </c>
    </row>
    <row r="7260" spans="1:2" ht="15">
      <c r="A7260" s="77" t="s">
        <v>11143</v>
      </c>
      <c r="B7260" s="76" t="s">
        <v>11198</v>
      </c>
    </row>
    <row r="7261" spans="1:2" ht="15">
      <c r="A7261" s="77" t="s">
        <v>11144</v>
      </c>
      <c r="B7261" s="76" t="s">
        <v>11198</v>
      </c>
    </row>
    <row r="7262" spans="1:2" ht="15">
      <c r="A7262" s="77" t="s">
        <v>11145</v>
      </c>
      <c r="B7262" s="76" t="s">
        <v>11198</v>
      </c>
    </row>
    <row r="7263" spans="1:2" ht="15">
      <c r="A7263" s="77" t="s">
        <v>11146</v>
      </c>
      <c r="B7263" s="76" t="s">
        <v>11198</v>
      </c>
    </row>
    <row r="7264" spans="1:2" ht="15">
      <c r="A7264" s="77" t="s">
        <v>11147</v>
      </c>
      <c r="B7264" s="76" t="s">
        <v>11198</v>
      </c>
    </row>
    <row r="7265" spans="1:2" ht="15">
      <c r="A7265" s="77" t="s">
        <v>11148</v>
      </c>
      <c r="B7265" s="76" t="s">
        <v>11198</v>
      </c>
    </row>
    <row r="7266" spans="1:2" ht="15">
      <c r="A7266" s="77" t="s">
        <v>11149</v>
      </c>
      <c r="B7266" s="76" t="s">
        <v>11198</v>
      </c>
    </row>
    <row r="7267" spans="1:2" ht="15">
      <c r="A7267" s="77" t="s">
        <v>11150</v>
      </c>
      <c r="B7267" s="76" t="s">
        <v>11198</v>
      </c>
    </row>
    <row r="7268" spans="1:2" ht="15">
      <c r="A7268" s="77" t="s">
        <v>11151</v>
      </c>
      <c r="B7268" s="76" t="s">
        <v>11198</v>
      </c>
    </row>
    <row r="7269" spans="1:2" ht="15">
      <c r="A7269" s="77" t="s">
        <v>11152</v>
      </c>
      <c r="B7269" s="76" t="s">
        <v>11198</v>
      </c>
    </row>
    <row r="7270" spans="1:2" ht="15">
      <c r="A7270" s="77" t="s">
        <v>11153</v>
      </c>
      <c r="B7270" s="76" t="s">
        <v>11198</v>
      </c>
    </row>
    <row r="7271" spans="1:2" ht="15">
      <c r="A7271" s="77" t="s">
        <v>11154</v>
      </c>
      <c r="B7271" s="76" t="s">
        <v>11198</v>
      </c>
    </row>
    <row r="7272" spans="1:2" ht="15">
      <c r="A7272" s="77" t="s">
        <v>11155</v>
      </c>
      <c r="B7272" s="76" t="s">
        <v>11198</v>
      </c>
    </row>
    <row r="7273" spans="1:2" ht="15">
      <c r="A7273" s="77" t="s">
        <v>11156</v>
      </c>
      <c r="B7273" s="76" t="s">
        <v>11198</v>
      </c>
    </row>
    <row r="7274" spans="1:2" ht="15">
      <c r="A7274" s="77" t="s">
        <v>11157</v>
      </c>
      <c r="B7274" s="76" t="s">
        <v>11198</v>
      </c>
    </row>
    <row r="7275" spans="1:2" ht="15">
      <c r="A7275" s="77" t="s">
        <v>11158</v>
      </c>
      <c r="B7275" s="76" t="s">
        <v>11198</v>
      </c>
    </row>
    <row r="7276" spans="1:2" ht="15">
      <c r="A7276" s="77" t="s">
        <v>11159</v>
      </c>
      <c r="B7276" s="76" t="s">
        <v>11198</v>
      </c>
    </row>
    <row r="7277" spans="1:2" ht="15">
      <c r="A7277" s="77" t="s">
        <v>11160</v>
      </c>
      <c r="B7277" s="76" t="s">
        <v>11198</v>
      </c>
    </row>
    <row r="7278" spans="1:2" ht="15">
      <c r="A7278" s="77" t="s">
        <v>11161</v>
      </c>
      <c r="B7278" s="76" t="s">
        <v>11198</v>
      </c>
    </row>
    <row r="7279" spans="1:2" ht="15">
      <c r="A7279" s="77" t="s">
        <v>11162</v>
      </c>
      <c r="B7279" s="76" t="s">
        <v>11198</v>
      </c>
    </row>
    <row r="7280" spans="1:2" ht="15">
      <c r="A7280" s="77" t="s">
        <v>11163</v>
      </c>
      <c r="B7280" s="76" t="s">
        <v>11198</v>
      </c>
    </row>
    <row r="7281" spans="1:2" ht="15">
      <c r="A7281" s="77" t="s">
        <v>11164</v>
      </c>
      <c r="B7281" s="76" t="s">
        <v>11198</v>
      </c>
    </row>
    <row r="7282" spans="1:2" ht="15">
      <c r="A7282" s="77" t="s">
        <v>11165</v>
      </c>
      <c r="B7282" s="76" t="s">
        <v>11198</v>
      </c>
    </row>
    <row r="7283" spans="1:2" ht="15">
      <c r="A7283" s="77" t="s">
        <v>11166</v>
      </c>
      <c r="B7283" s="76" t="s">
        <v>11198</v>
      </c>
    </row>
    <row r="7284" spans="1:2" ht="15">
      <c r="A7284" s="77" t="s">
        <v>11167</v>
      </c>
      <c r="B7284" s="76" t="s">
        <v>11198</v>
      </c>
    </row>
    <row r="7285" spans="1:2" ht="15">
      <c r="A7285" s="77" t="s">
        <v>11168</v>
      </c>
      <c r="B7285" s="76" t="s">
        <v>11198</v>
      </c>
    </row>
    <row r="7286" spans="1:2" ht="15">
      <c r="A7286" s="77" t="s">
        <v>11169</v>
      </c>
      <c r="B7286" s="76" t="s">
        <v>11198</v>
      </c>
    </row>
    <row r="7287" spans="1:2" ht="15">
      <c r="A7287" s="77" t="s">
        <v>11170</v>
      </c>
      <c r="B7287" s="76" t="s">
        <v>11198</v>
      </c>
    </row>
    <row r="7288" spans="1:2" ht="15">
      <c r="A7288" s="77" t="s">
        <v>11171</v>
      </c>
      <c r="B7288" s="76" t="s">
        <v>11198</v>
      </c>
    </row>
    <row r="7289" spans="1:2" ht="15">
      <c r="A7289" s="77" t="s">
        <v>11172</v>
      </c>
      <c r="B7289" s="76" t="s">
        <v>11198</v>
      </c>
    </row>
    <row r="7290" spans="1:2" ht="15">
      <c r="A7290" s="77" t="s">
        <v>11173</v>
      </c>
      <c r="B7290" s="76" t="s">
        <v>11198</v>
      </c>
    </row>
    <row r="7291" spans="1:2" ht="15">
      <c r="A7291" s="77" t="s">
        <v>11174</v>
      </c>
      <c r="B7291" s="76" t="s">
        <v>11198</v>
      </c>
    </row>
    <row r="7292" spans="1:2" ht="15">
      <c r="A7292" s="77" t="s">
        <v>11175</v>
      </c>
      <c r="B7292" s="76" t="s">
        <v>11198</v>
      </c>
    </row>
    <row r="7293" spans="1:2" ht="15">
      <c r="A7293" s="77" t="s">
        <v>11176</v>
      </c>
      <c r="B7293" s="76" t="s">
        <v>11198</v>
      </c>
    </row>
    <row r="7294" spans="1:2" ht="15">
      <c r="A7294" s="77" t="s">
        <v>11177</v>
      </c>
      <c r="B7294" s="76" t="s">
        <v>11198</v>
      </c>
    </row>
    <row r="7295" spans="1:2" ht="15">
      <c r="A7295" s="77" t="s">
        <v>11178</v>
      </c>
      <c r="B7295" s="76" t="s">
        <v>11198</v>
      </c>
    </row>
    <row r="7296" spans="1:2" ht="15">
      <c r="A7296" s="77" t="s">
        <v>11179</v>
      </c>
      <c r="B7296" s="76" t="s">
        <v>11198</v>
      </c>
    </row>
    <row r="7297" spans="1:2" ht="15">
      <c r="A7297" s="77" t="s">
        <v>11180</v>
      </c>
      <c r="B7297" s="76" t="s">
        <v>11198</v>
      </c>
    </row>
    <row r="7298" spans="1:2" ht="15">
      <c r="A7298" s="77" t="s">
        <v>11181</v>
      </c>
      <c r="B7298" s="76" t="s">
        <v>11198</v>
      </c>
    </row>
    <row r="7299" spans="1:2" ht="15">
      <c r="A7299" s="77" t="s">
        <v>11182</v>
      </c>
      <c r="B7299" s="76" t="s">
        <v>11198</v>
      </c>
    </row>
    <row r="7300" spans="1:2" ht="15">
      <c r="A7300" s="77" t="s">
        <v>11183</v>
      </c>
      <c r="B7300" s="76" t="s">
        <v>11198</v>
      </c>
    </row>
    <row r="7301" spans="1:2" ht="15">
      <c r="A7301" s="77" t="s">
        <v>3174</v>
      </c>
      <c r="B7301" s="76" t="s">
        <v>11198</v>
      </c>
    </row>
    <row r="7302" spans="1:2" ht="15">
      <c r="A7302" s="77" t="s">
        <v>11184</v>
      </c>
      <c r="B7302" s="76" t="s">
        <v>11198</v>
      </c>
    </row>
    <row r="7303" spans="1:2" ht="15">
      <c r="A7303" s="77" t="s">
        <v>11185</v>
      </c>
      <c r="B7303" s="76" t="s">
        <v>11198</v>
      </c>
    </row>
    <row r="7304" spans="1:2" ht="15">
      <c r="A7304" s="77" t="s">
        <v>11186</v>
      </c>
      <c r="B7304" s="76" t="s">
        <v>11198</v>
      </c>
    </row>
    <row r="7305" spans="1:2" ht="15">
      <c r="A7305" s="77" t="s">
        <v>11187</v>
      </c>
      <c r="B7305" s="76" t="s">
        <v>11198</v>
      </c>
    </row>
    <row r="7306" spans="1:2" ht="15">
      <c r="A7306" s="77" t="s">
        <v>11188</v>
      </c>
      <c r="B7306" s="76" t="s">
        <v>11198</v>
      </c>
    </row>
    <row r="7307" spans="1:2" ht="15">
      <c r="A7307" s="77" t="s">
        <v>11189</v>
      </c>
      <c r="B7307" s="76" t="s">
        <v>11198</v>
      </c>
    </row>
    <row r="7308" spans="1:2" ht="15">
      <c r="A7308" s="77" t="s">
        <v>11190</v>
      </c>
      <c r="B7308" s="76" t="s">
        <v>11198</v>
      </c>
    </row>
    <row r="7309" spans="1:2" ht="15">
      <c r="A7309" s="77" t="s">
        <v>11191</v>
      </c>
      <c r="B7309" s="76" t="s">
        <v>11198</v>
      </c>
    </row>
    <row r="7310" spans="1:2" ht="15">
      <c r="A7310" s="77" t="s">
        <v>11192</v>
      </c>
      <c r="B7310" s="76" t="s">
        <v>11198</v>
      </c>
    </row>
    <row r="7311" spans="1:2" ht="15">
      <c r="A7311" s="77" t="s">
        <v>11193</v>
      </c>
      <c r="B7311" s="76" t="s">
        <v>11198</v>
      </c>
    </row>
    <row r="7312" spans="1:2" ht="15">
      <c r="A7312" s="77" t="s">
        <v>11194</v>
      </c>
      <c r="B7312" s="76" t="s">
        <v>11198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AF8C2-C89C-429A-B7BF-A3A2C9CACBC9}">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11199</v>
      </c>
      <c r="B2" s="110" t="s">
        <v>11200</v>
      </c>
      <c r="C2" s="50" t="s">
        <v>11201</v>
      </c>
    </row>
    <row r="3" spans="1:3" ht="15">
      <c r="A3" s="109" t="s">
        <v>3013</v>
      </c>
      <c r="B3" s="109" t="s">
        <v>3013</v>
      </c>
      <c r="C3" s="31">
        <v>146</v>
      </c>
    </row>
    <row r="4" spans="1:3" ht="15">
      <c r="A4" s="109" t="s">
        <v>3013</v>
      </c>
      <c r="B4" s="109" t="s">
        <v>1457</v>
      </c>
      <c r="C4" s="31">
        <v>21</v>
      </c>
    </row>
    <row r="5" spans="1:3" ht="15">
      <c r="A5" s="109" t="s">
        <v>3013</v>
      </c>
      <c r="B5" s="109" t="s">
        <v>3014</v>
      </c>
      <c r="C5" s="31">
        <v>5</v>
      </c>
    </row>
    <row r="6" spans="1:3" ht="15">
      <c r="A6" s="109" t="s">
        <v>3013</v>
      </c>
      <c r="B6" s="109" t="s">
        <v>3015</v>
      </c>
      <c r="C6" s="31">
        <v>1</v>
      </c>
    </row>
    <row r="7" spans="1:3" ht="15">
      <c r="A7" s="109" t="s">
        <v>3013</v>
      </c>
      <c r="B7" s="109" t="s">
        <v>3016</v>
      </c>
      <c r="C7" s="31">
        <v>1</v>
      </c>
    </row>
    <row r="8" spans="1:3" ht="15">
      <c r="A8" s="109" t="s">
        <v>3013</v>
      </c>
      <c r="B8" s="109" t="s">
        <v>3017</v>
      </c>
      <c r="C8" s="31">
        <v>6</v>
      </c>
    </row>
    <row r="9" spans="1:3" ht="15">
      <c r="A9" s="109" t="s">
        <v>3013</v>
      </c>
      <c r="B9" s="109" t="s">
        <v>3020</v>
      </c>
      <c r="C9" s="31">
        <v>5</v>
      </c>
    </row>
    <row r="10" spans="1:3" ht="15">
      <c r="A10" s="109" t="s">
        <v>1457</v>
      </c>
      <c r="B10" s="109" t="s">
        <v>3013</v>
      </c>
      <c r="C10" s="31">
        <v>4</v>
      </c>
    </row>
    <row r="11" spans="1:3" ht="15">
      <c r="A11" s="109" t="s">
        <v>1457</v>
      </c>
      <c r="B11" s="109" t="s">
        <v>1457</v>
      </c>
      <c r="C11" s="31">
        <v>75</v>
      </c>
    </row>
    <row r="12" spans="1:3" ht="15">
      <c r="A12" s="109" t="s">
        <v>1457</v>
      </c>
      <c r="B12" s="109" t="s">
        <v>3014</v>
      </c>
      <c r="C12" s="31">
        <v>3</v>
      </c>
    </row>
    <row r="13" spans="1:3" ht="15">
      <c r="A13" s="109" t="s">
        <v>1457</v>
      </c>
      <c r="B13" s="109" t="s">
        <v>3020</v>
      </c>
      <c r="C13" s="31">
        <v>1</v>
      </c>
    </row>
    <row r="14" spans="1:3" ht="15">
      <c r="A14" s="109" t="s">
        <v>3014</v>
      </c>
      <c r="B14" s="109" t="s">
        <v>1457</v>
      </c>
      <c r="C14" s="31">
        <v>1</v>
      </c>
    </row>
    <row r="15" spans="1:3" ht="15">
      <c r="A15" s="109" t="s">
        <v>3014</v>
      </c>
      <c r="B15" s="109" t="s">
        <v>3014</v>
      </c>
      <c r="C15" s="31">
        <v>48</v>
      </c>
    </row>
    <row r="16" spans="1:3" ht="15">
      <c r="A16" s="109" t="s">
        <v>3014</v>
      </c>
      <c r="B16" s="109" t="s">
        <v>3019</v>
      </c>
      <c r="C16" s="31">
        <v>2</v>
      </c>
    </row>
    <row r="17" spans="1:3" ht="15">
      <c r="A17" s="109" t="s">
        <v>3015</v>
      </c>
      <c r="B17" s="109" t="s">
        <v>1457</v>
      </c>
      <c r="C17" s="31">
        <v>7</v>
      </c>
    </row>
    <row r="18" spans="1:3" ht="15">
      <c r="A18" s="109" t="s">
        <v>3015</v>
      </c>
      <c r="B18" s="109" t="s">
        <v>3015</v>
      </c>
      <c r="C18" s="31">
        <v>122</v>
      </c>
    </row>
    <row r="19" spans="1:3" ht="15">
      <c r="A19" s="109" t="s">
        <v>3015</v>
      </c>
      <c r="B19" s="109" t="s">
        <v>3016</v>
      </c>
      <c r="C19" s="31">
        <v>6</v>
      </c>
    </row>
    <row r="20" spans="1:3" ht="15">
      <c r="A20" s="109" t="s">
        <v>3016</v>
      </c>
      <c r="B20" s="109" t="s">
        <v>1457</v>
      </c>
      <c r="C20" s="31">
        <v>2</v>
      </c>
    </row>
    <row r="21" spans="1:3" ht="15">
      <c r="A21" s="109" t="s">
        <v>3016</v>
      </c>
      <c r="B21" s="109" t="s">
        <v>3016</v>
      </c>
      <c r="C21" s="31">
        <v>21</v>
      </c>
    </row>
    <row r="22" spans="1:3" ht="15">
      <c r="A22" s="109" t="s">
        <v>3017</v>
      </c>
      <c r="B22" s="109" t="s">
        <v>1457</v>
      </c>
      <c r="C22" s="31">
        <v>2</v>
      </c>
    </row>
    <row r="23" spans="1:3" ht="15">
      <c r="A23" s="109" t="s">
        <v>3017</v>
      </c>
      <c r="B23" s="109" t="s">
        <v>3017</v>
      </c>
      <c r="C23" s="31">
        <v>20</v>
      </c>
    </row>
    <row r="24" spans="1:3" ht="15">
      <c r="A24" s="109" t="s">
        <v>3018</v>
      </c>
      <c r="B24" s="109" t="s">
        <v>1457</v>
      </c>
      <c r="C24" s="31">
        <v>15</v>
      </c>
    </row>
    <row r="25" spans="1:3" ht="15">
      <c r="A25" s="109" t="s">
        <v>3018</v>
      </c>
      <c r="B25" s="109" t="s">
        <v>3018</v>
      </c>
      <c r="C25" s="31">
        <v>154</v>
      </c>
    </row>
    <row r="26" spans="1:3" ht="15">
      <c r="A26" s="109" t="s">
        <v>3019</v>
      </c>
      <c r="B26" s="109" t="s">
        <v>1457</v>
      </c>
      <c r="C26" s="31">
        <v>5</v>
      </c>
    </row>
    <row r="27" spans="1:3" ht="15">
      <c r="A27" s="109" t="s">
        <v>3019</v>
      </c>
      <c r="B27" s="109" t="s">
        <v>3019</v>
      </c>
      <c r="C27" s="31">
        <v>67</v>
      </c>
    </row>
    <row r="28" spans="1:3" ht="15">
      <c r="A28" s="109" t="s">
        <v>3020</v>
      </c>
      <c r="B28" s="109" t="s">
        <v>1457</v>
      </c>
      <c r="C28" s="31">
        <v>8</v>
      </c>
    </row>
    <row r="29" spans="1:3" ht="15">
      <c r="A29" s="109" t="s">
        <v>3020</v>
      </c>
      <c r="B29" s="109" t="s">
        <v>3016</v>
      </c>
      <c r="C29" s="31">
        <v>1</v>
      </c>
    </row>
    <row r="30" spans="1:3" ht="15">
      <c r="A30" s="109" t="s">
        <v>3020</v>
      </c>
      <c r="B30" s="109" t="s">
        <v>3020</v>
      </c>
      <c r="C30" s="31">
        <v>27</v>
      </c>
    </row>
    <row r="31" spans="1:3" ht="15">
      <c r="A31" s="109" t="s">
        <v>3021</v>
      </c>
      <c r="B31" s="109" t="s">
        <v>1457</v>
      </c>
      <c r="C31" s="31">
        <v>1</v>
      </c>
    </row>
    <row r="32" spans="1:3" ht="15">
      <c r="A32" s="109" t="s">
        <v>3021</v>
      </c>
      <c r="B32" s="109" t="s">
        <v>3021</v>
      </c>
      <c r="C32" s="31">
        <v>10</v>
      </c>
    </row>
    <row r="33" spans="1:3" ht="15">
      <c r="A33" s="109" t="s">
        <v>3022</v>
      </c>
      <c r="B33" s="109" t="s">
        <v>3022</v>
      </c>
      <c r="C33" s="31">
        <v>10</v>
      </c>
    </row>
    <row r="34" spans="1:3" ht="15">
      <c r="A34" s="109" t="s">
        <v>3023</v>
      </c>
      <c r="B34" s="109" t="s">
        <v>3023</v>
      </c>
      <c r="C34" s="31">
        <v>5</v>
      </c>
    </row>
    <row r="35" spans="1:3" ht="15">
      <c r="A35" s="109" t="s">
        <v>3024</v>
      </c>
      <c r="B35" s="109" t="s">
        <v>3024</v>
      </c>
      <c r="C35" s="31">
        <v>2</v>
      </c>
    </row>
    <row r="36" spans="1:3" ht="15">
      <c r="A36" s="109" t="s">
        <v>3025</v>
      </c>
      <c r="B36" s="109" t="s">
        <v>3025</v>
      </c>
      <c r="C36" s="31">
        <v>1</v>
      </c>
    </row>
    <row r="37" spans="1:3" ht="15">
      <c r="A37" s="109" t="s">
        <v>3026</v>
      </c>
      <c r="B37" s="109" t="s">
        <v>3026</v>
      </c>
      <c r="C37"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B7052-9B97-40DA-A480-E6DFE87929B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11225</v>
      </c>
      <c r="B1" s="7" t="s">
        <v>17</v>
      </c>
    </row>
    <row r="2" spans="1:2" ht="15">
      <c r="A2" s="76" t="s">
        <v>11226</v>
      </c>
      <c r="B2" s="76" t="s">
        <v>11231</v>
      </c>
    </row>
    <row r="3" spans="1:2" ht="15">
      <c r="A3" s="77" t="s">
        <v>11227</v>
      </c>
      <c r="B3" s="76" t="s">
        <v>11232</v>
      </c>
    </row>
    <row r="4" spans="1:2" ht="15">
      <c r="A4" s="77" t="s">
        <v>11228</v>
      </c>
      <c r="B4" s="76" t="s">
        <v>11233</v>
      </c>
    </row>
    <row r="5" spans="1:2" ht="15">
      <c r="A5" s="77" t="s">
        <v>11229</v>
      </c>
      <c r="B5" s="76" t="s">
        <v>11234</v>
      </c>
    </row>
    <row r="6" spans="1:2" ht="15">
      <c r="A6" s="77" t="s">
        <v>11230</v>
      </c>
      <c r="B6" s="76" t="s">
        <v>11235</v>
      </c>
    </row>
    <row r="7" spans="1:2" ht="15">
      <c r="A7" s="77" t="s">
        <v>1234</v>
      </c>
      <c r="B7" s="7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C231D-7DAF-42E9-94DC-501F13A7D09E}">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11236</v>
      </c>
      <c r="B1" s="7" t="s">
        <v>34</v>
      </c>
    </row>
    <row r="2" spans="1:2" ht="15">
      <c r="A2" s="102" t="s">
        <v>228</v>
      </c>
      <c r="B2" s="76">
        <v>54506.123249</v>
      </c>
    </row>
    <row r="3" spans="1:2" ht="15">
      <c r="A3" s="105" t="s">
        <v>229</v>
      </c>
      <c r="B3" s="76">
        <v>49065.217265</v>
      </c>
    </row>
    <row r="4" spans="1:2" ht="15">
      <c r="A4" s="105" t="s">
        <v>238</v>
      </c>
      <c r="B4" s="76">
        <v>20742.338655</v>
      </c>
    </row>
    <row r="5" spans="1:2" ht="15">
      <c r="A5" s="105" t="s">
        <v>227</v>
      </c>
      <c r="B5" s="76">
        <v>16412.790909</v>
      </c>
    </row>
    <row r="6" spans="1:2" ht="15">
      <c r="A6" s="105" t="s">
        <v>239</v>
      </c>
      <c r="B6" s="76">
        <v>10876.533333</v>
      </c>
    </row>
    <row r="7" spans="1:2" ht="15">
      <c r="A7" s="105" t="s">
        <v>244</v>
      </c>
      <c r="B7" s="76">
        <v>5937.34902</v>
      </c>
    </row>
    <row r="8" spans="1:2" ht="15">
      <c r="A8" s="105" t="s">
        <v>248</v>
      </c>
      <c r="B8" s="76">
        <v>5790</v>
      </c>
    </row>
    <row r="9" spans="1:2" ht="15">
      <c r="A9" s="105" t="s">
        <v>237</v>
      </c>
      <c r="B9" s="76">
        <v>5790</v>
      </c>
    </row>
    <row r="10" spans="1:2" ht="15">
      <c r="A10" s="105" t="s">
        <v>259</v>
      </c>
      <c r="B10" s="76">
        <v>4117.196639</v>
      </c>
    </row>
    <row r="11" spans="1:2" ht="15">
      <c r="A11" s="105" t="s">
        <v>250</v>
      </c>
      <c r="B11" s="76">
        <v>3736.661905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DEBDA-6DED-4D6E-892F-4544E0C58730}">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11237</v>
      </c>
      <c r="B1" s="7" t="s">
        <v>11248</v>
      </c>
      <c r="C1" s="7" t="s">
        <v>11249</v>
      </c>
      <c r="D1" s="7" t="s">
        <v>11260</v>
      </c>
      <c r="E1" s="7" t="s">
        <v>11259</v>
      </c>
      <c r="F1" s="7" t="s">
        <v>11268</v>
      </c>
      <c r="G1" s="7" t="s">
        <v>11267</v>
      </c>
      <c r="H1" s="7" t="s">
        <v>11274</v>
      </c>
      <c r="I1" s="7" t="s">
        <v>11273</v>
      </c>
      <c r="J1" s="7" t="s">
        <v>11286</v>
      </c>
      <c r="K1" s="7" t="s">
        <v>11285</v>
      </c>
      <c r="L1" s="7" t="s">
        <v>11290</v>
      </c>
      <c r="M1" s="7" t="s">
        <v>11289</v>
      </c>
      <c r="N1" s="7" t="s">
        <v>11293</v>
      </c>
      <c r="O1" s="7" t="s">
        <v>11292</v>
      </c>
      <c r="P1" s="7" t="s">
        <v>11297</v>
      </c>
      <c r="Q1" s="76" t="s">
        <v>11296</v>
      </c>
      <c r="R1" s="76" t="s">
        <v>11299</v>
      </c>
      <c r="S1" s="7" t="s">
        <v>11298</v>
      </c>
      <c r="T1" s="7" t="s">
        <v>11304</v>
      </c>
      <c r="U1" s="76" t="s">
        <v>11303</v>
      </c>
      <c r="V1" s="76" t="s">
        <v>11305</v>
      </c>
    </row>
    <row r="2" spans="1:22" ht="15">
      <c r="A2" s="82" t="s">
        <v>11238</v>
      </c>
      <c r="B2" s="76">
        <v>2</v>
      </c>
      <c r="C2" s="82" t="s">
        <v>11239</v>
      </c>
      <c r="D2" s="76">
        <v>2</v>
      </c>
      <c r="E2" s="82" t="s">
        <v>11240</v>
      </c>
      <c r="F2" s="76">
        <v>2</v>
      </c>
      <c r="G2" s="82" t="s">
        <v>11238</v>
      </c>
      <c r="H2" s="76">
        <v>2</v>
      </c>
      <c r="I2" s="82" t="s">
        <v>11275</v>
      </c>
      <c r="J2" s="76">
        <v>1</v>
      </c>
      <c r="K2" s="82" t="s">
        <v>11287</v>
      </c>
      <c r="L2" s="76">
        <v>1</v>
      </c>
      <c r="M2" s="82" t="s">
        <v>11291</v>
      </c>
      <c r="N2" s="76">
        <v>1</v>
      </c>
      <c r="O2" s="82" t="s">
        <v>11242</v>
      </c>
      <c r="P2" s="76">
        <v>1</v>
      </c>
      <c r="Q2" s="76"/>
      <c r="R2" s="76"/>
      <c r="S2" s="82" t="s">
        <v>11300</v>
      </c>
      <c r="T2" s="76">
        <v>1</v>
      </c>
      <c r="U2" s="76"/>
      <c r="V2" s="76"/>
    </row>
    <row r="3" spans="1:22" ht="15">
      <c r="A3" s="83" t="s">
        <v>11239</v>
      </c>
      <c r="B3" s="76">
        <v>2</v>
      </c>
      <c r="C3" s="82" t="s">
        <v>11250</v>
      </c>
      <c r="D3" s="76">
        <v>1</v>
      </c>
      <c r="E3" s="82" t="s">
        <v>11261</v>
      </c>
      <c r="F3" s="76">
        <v>1</v>
      </c>
      <c r="G3" s="82" t="s">
        <v>11269</v>
      </c>
      <c r="H3" s="76">
        <v>1</v>
      </c>
      <c r="I3" s="82" t="s">
        <v>11276</v>
      </c>
      <c r="J3" s="76">
        <v>1</v>
      </c>
      <c r="K3" s="82" t="s">
        <v>11288</v>
      </c>
      <c r="L3" s="76">
        <v>1</v>
      </c>
      <c r="M3" s="76"/>
      <c r="N3" s="76"/>
      <c r="O3" s="82" t="s">
        <v>11294</v>
      </c>
      <c r="P3" s="76">
        <v>1</v>
      </c>
      <c r="Q3" s="76"/>
      <c r="R3" s="76"/>
      <c r="S3" s="82" t="s">
        <v>11301</v>
      </c>
      <c r="T3" s="76">
        <v>1</v>
      </c>
      <c r="U3" s="76"/>
      <c r="V3" s="76"/>
    </row>
    <row r="4" spans="1:22" ht="15">
      <c r="A4" s="83" t="s">
        <v>11240</v>
      </c>
      <c r="B4" s="76">
        <v>2</v>
      </c>
      <c r="C4" s="82" t="s">
        <v>11251</v>
      </c>
      <c r="D4" s="76">
        <v>1</v>
      </c>
      <c r="E4" s="82" t="s">
        <v>11262</v>
      </c>
      <c r="F4" s="76">
        <v>1</v>
      </c>
      <c r="G4" s="82" t="s">
        <v>11270</v>
      </c>
      <c r="H4" s="76">
        <v>1</v>
      </c>
      <c r="I4" s="82" t="s">
        <v>11277</v>
      </c>
      <c r="J4" s="76">
        <v>1</v>
      </c>
      <c r="K4" s="76"/>
      <c r="L4" s="76"/>
      <c r="M4" s="76"/>
      <c r="N4" s="76"/>
      <c r="O4" s="82" t="s">
        <v>11295</v>
      </c>
      <c r="P4" s="76">
        <v>1</v>
      </c>
      <c r="Q4" s="76"/>
      <c r="R4" s="76"/>
      <c r="S4" s="82" t="s">
        <v>11302</v>
      </c>
      <c r="T4" s="76">
        <v>1</v>
      </c>
      <c r="U4" s="76"/>
      <c r="V4" s="76"/>
    </row>
    <row r="5" spans="1:22" ht="15">
      <c r="A5" s="83" t="s">
        <v>11241</v>
      </c>
      <c r="B5" s="76">
        <v>2</v>
      </c>
      <c r="C5" s="82" t="s">
        <v>11252</v>
      </c>
      <c r="D5" s="76">
        <v>1</v>
      </c>
      <c r="E5" s="82" t="s">
        <v>11263</v>
      </c>
      <c r="F5" s="76">
        <v>1</v>
      </c>
      <c r="G5" s="82" t="s">
        <v>11271</v>
      </c>
      <c r="H5" s="76">
        <v>1</v>
      </c>
      <c r="I5" s="82" t="s">
        <v>11278</v>
      </c>
      <c r="J5" s="76">
        <v>1</v>
      </c>
      <c r="K5" s="76"/>
      <c r="L5" s="76"/>
      <c r="M5" s="76"/>
      <c r="N5" s="76"/>
      <c r="O5" s="82" t="s">
        <v>11247</v>
      </c>
      <c r="P5" s="76">
        <v>1</v>
      </c>
      <c r="Q5" s="76"/>
      <c r="R5" s="76"/>
      <c r="S5" s="76"/>
      <c r="T5" s="76"/>
      <c r="U5" s="76"/>
      <c r="V5" s="76"/>
    </row>
    <row r="6" spans="1:22" ht="15">
      <c r="A6" s="83" t="s">
        <v>11242</v>
      </c>
      <c r="B6" s="76">
        <v>1</v>
      </c>
      <c r="C6" s="82" t="s">
        <v>11253</v>
      </c>
      <c r="D6" s="76">
        <v>1</v>
      </c>
      <c r="E6" s="82" t="s">
        <v>11264</v>
      </c>
      <c r="F6" s="76">
        <v>1</v>
      </c>
      <c r="G6" s="82" t="s">
        <v>11272</v>
      </c>
      <c r="H6" s="76">
        <v>1</v>
      </c>
      <c r="I6" s="82" t="s">
        <v>11279</v>
      </c>
      <c r="J6" s="76">
        <v>1</v>
      </c>
      <c r="K6" s="76"/>
      <c r="L6" s="76"/>
      <c r="M6" s="76"/>
      <c r="N6" s="76"/>
      <c r="O6" s="82" t="s">
        <v>11246</v>
      </c>
      <c r="P6" s="76">
        <v>1</v>
      </c>
      <c r="Q6" s="76"/>
      <c r="R6" s="76"/>
      <c r="S6" s="76"/>
      <c r="T6" s="76"/>
      <c r="U6" s="76"/>
      <c r="V6" s="76"/>
    </row>
    <row r="7" spans="1:22" ht="15">
      <c r="A7" s="83" t="s">
        <v>11243</v>
      </c>
      <c r="B7" s="76">
        <v>1</v>
      </c>
      <c r="C7" s="82" t="s">
        <v>11254</v>
      </c>
      <c r="D7" s="76">
        <v>1</v>
      </c>
      <c r="E7" s="82" t="s">
        <v>11265</v>
      </c>
      <c r="F7" s="76">
        <v>1</v>
      </c>
      <c r="G7" s="76"/>
      <c r="H7" s="76"/>
      <c r="I7" s="82" t="s">
        <v>11280</v>
      </c>
      <c r="J7" s="76">
        <v>1</v>
      </c>
      <c r="K7" s="76"/>
      <c r="L7" s="76"/>
      <c r="M7" s="76"/>
      <c r="N7" s="76"/>
      <c r="O7" s="82" t="s">
        <v>11245</v>
      </c>
      <c r="P7" s="76">
        <v>1</v>
      </c>
      <c r="Q7" s="76"/>
      <c r="R7" s="76"/>
      <c r="S7" s="76"/>
      <c r="T7" s="76"/>
      <c r="U7" s="76"/>
      <c r="V7" s="76"/>
    </row>
    <row r="8" spans="1:22" ht="15">
      <c r="A8" s="83" t="s">
        <v>11244</v>
      </c>
      <c r="B8" s="76">
        <v>1</v>
      </c>
      <c r="C8" s="82" t="s">
        <v>11255</v>
      </c>
      <c r="D8" s="76">
        <v>1</v>
      </c>
      <c r="E8" s="82" t="s">
        <v>11266</v>
      </c>
      <c r="F8" s="76">
        <v>1</v>
      </c>
      <c r="G8" s="76"/>
      <c r="H8" s="76"/>
      <c r="I8" s="82" t="s">
        <v>11281</v>
      </c>
      <c r="J8" s="76">
        <v>1</v>
      </c>
      <c r="K8" s="76"/>
      <c r="L8" s="76"/>
      <c r="M8" s="76"/>
      <c r="N8" s="76"/>
      <c r="O8" s="82" t="s">
        <v>11244</v>
      </c>
      <c r="P8" s="76">
        <v>1</v>
      </c>
      <c r="Q8" s="76"/>
      <c r="R8" s="76"/>
      <c r="S8" s="76"/>
      <c r="T8" s="76"/>
      <c r="U8" s="76"/>
      <c r="V8" s="76"/>
    </row>
    <row r="9" spans="1:22" ht="15">
      <c r="A9" s="83" t="s">
        <v>11245</v>
      </c>
      <c r="B9" s="76">
        <v>1</v>
      </c>
      <c r="C9" s="82" t="s">
        <v>11256</v>
      </c>
      <c r="D9" s="76">
        <v>1</v>
      </c>
      <c r="E9" s="76"/>
      <c r="F9" s="76"/>
      <c r="G9" s="76"/>
      <c r="H9" s="76"/>
      <c r="I9" s="82" t="s">
        <v>11282</v>
      </c>
      <c r="J9" s="76">
        <v>1</v>
      </c>
      <c r="K9" s="76"/>
      <c r="L9" s="76"/>
      <c r="M9" s="76"/>
      <c r="N9" s="76"/>
      <c r="O9" s="82" t="s">
        <v>11243</v>
      </c>
      <c r="P9" s="76">
        <v>1</v>
      </c>
      <c r="Q9" s="76"/>
      <c r="R9" s="76"/>
      <c r="S9" s="76"/>
      <c r="T9" s="76"/>
      <c r="U9" s="76"/>
      <c r="V9" s="76"/>
    </row>
    <row r="10" spans="1:22" ht="15">
      <c r="A10" s="83" t="s">
        <v>11246</v>
      </c>
      <c r="B10" s="76">
        <v>1</v>
      </c>
      <c r="C10" s="82" t="s">
        <v>11257</v>
      </c>
      <c r="D10" s="76">
        <v>1</v>
      </c>
      <c r="E10" s="76"/>
      <c r="F10" s="76"/>
      <c r="G10" s="76"/>
      <c r="H10" s="76"/>
      <c r="I10" s="82" t="s">
        <v>11283</v>
      </c>
      <c r="J10" s="76">
        <v>1</v>
      </c>
      <c r="K10" s="76"/>
      <c r="L10" s="76"/>
      <c r="M10" s="76"/>
      <c r="N10" s="76"/>
      <c r="O10" s="76"/>
      <c r="P10" s="76"/>
      <c r="Q10" s="76"/>
      <c r="R10" s="76"/>
      <c r="S10" s="76"/>
      <c r="T10" s="76"/>
      <c r="U10" s="76"/>
      <c r="V10" s="76"/>
    </row>
    <row r="11" spans="1:22" ht="15">
      <c r="A11" s="83" t="s">
        <v>11247</v>
      </c>
      <c r="B11" s="76">
        <v>1</v>
      </c>
      <c r="C11" s="82" t="s">
        <v>11258</v>
      </c>
      <c r="D11" s="76">
        <v>1</v>
      </c>
      <c r="E11" s="76"/>
      <c r="F11" s="76"/>
      <c r="G11" s="76"/>
      <c r="H11" s="76"/>
      <c r="I11" s="82" t="s">
        <v>11284</v>
      </c>
      <c r="J11" s="76">
        <v>1</v>
      </c>
      <c r="K11" s="76"/>
      <c r="L11" s="76"/>
      <c r="M11" s="76"/>
      <c r="N11" s="76"/>
      <c r="O11" s="76"/>
      <c r="P11" s="76"/>
      <c r="Q11" s="76"/>
      <c r="R11" s="76"/>
      <c r="S11" s="76"/>
      <c r="T11" s="76"/>
      <c r="U11" s="76"/>
      <c r="V11" s="76"/>
    </row>
    <row r="14" spans="1:22" ht="15" customHeight="1">
      <c r="A14" s="7" t="s">
        <v>11316</v>
      </c>
      <c r="B14" s="7" t="s">
        <v>11248</v>
      </c>
      <c r="C14" s="7" t="s">
        <v>11317</v>
      </c>
      <c r="D14" s="7" t="s">
        <v>11260</v>
      </c>
      <c r="E14" s="7" t="s">
        <v>11318</v>
      </c>
      <c r="F14" s="7" t="s">
        <v>11268</v>
      </c>
      <c r="G14" s="7" t="s">
        <v>11319</v>
      </c>
      <c r="H14" s="7" t="s">
        <v>11274</v>
      </c>
      <c r="I14" s="7" t="s">
        <v>11320</v>
      </c>
      <c r="J14" s="7" t="s">
        <v>11286</v>
      </c>
      <c r="K14" s="7" t="s">
        <v>11322</v>
      </c>
      <c r="L14" s="7" t="s">
        <v>11290</v>
      </c>
      <c r="M14" s="7" t="s">
        <v>11323</v>
      </c>
      <c r="N14" s="7" t="s">
        <v>11293</v>
      </c>
      <c r="O14" s="7" t="s">
        <v>11324</v>
      </c>
      <c r="P14" s="7" t="s">
        <v>11297</v>
      </c>
      <c r="Q14" s="76" t="s">
        <v>11325</v>
      </c>
      <c r="R14" s="76" t="s">
        <v>11299</v>
      </c>
      <c r="S14" s="7" t="s">
        <v>11326</v>
      </c>
      <c r="T14" s="7" t="s">
        <v>11304</v>
      </c>
      <c r="U14" s="76" t="s">
        <v>11327</v>
      </c>
      <c r="V14" s="76" t="s">
        <v>11305</v>
      </c>
    </row>
    <row r="15" spans="1:22" ht="15">
      <c r="A15" s="76" t="s">
        <v>740</v>
      </c>
      <c r="B15" s="76">
        <v>27</v>
      </c>
      <c r="C15" s="76" t="s">
        <v>740</v>
      </c>
      <c r="D15" s="76">
        <v>12</v>
      </c>
      <c r="E15" s="76" t="s">
        <v>740</v>
      </c>
      <c r="F15" s="76">
        <v>4</v>
      </c>
      <c r="G15" s="76" t="s">
        <v>740</v>
      </c>
      <c r="H15" s="76">
        <v>5</v>
      </c>
      <c r="I15" s="76" t="s">
        <v>733</v>
      </c>
      <c r="J15" s="76">
        <v>6</v>
      </c>
      <c r="K15" s="76" t="s">
        <v>740</v>
      </c>
      <c r="L15" s="76">
        <v>2</v>
      </c>
      <c r="M15" s="76" t="s">
        <v>740</v>
      </c>
      <c r="N15" s="76">
        <v>1</v>
      </c>
      <c r="O15" s="76" t="s">
        <v>749</v>
      </c>
      <c r="P15" s="76">
        <v>8</v>
      </c>
      <c r="Q15" s="76"/>
      <c r="R15" s="76"/>
      <c r="S15" s="76" t="s">
        <v>732</v>
      </c>
      <c r="T15" s="76">
        <v>1</v>
      </c>
      <c r="U15" s="76"/>
      <c r="V15" s="76"/>
    </row>
    <row r="16" spans="1:22" ht="15">
      <c r="A16" s="77" t="s">
        <v>749</v>
      </c>
      <c r="B16" s="76">
        <v>8</v>
      </c>
      <c r="C16" s="76" t="s">
        <v>739</v>
      </c>
      <c r="D16" s="76">
        <v>2</v>
      </c>
      <c r="E16" s="76" t="s">
        <v>744</v>
      </c>
      <c r="F16" s="76">
        <v>2</v>
      </c>
      <c r="G16" s="76" t="s">
        <v>744</v>
      </c>
      <c r="H16" s="76">
        <v>1</v>
      </c>
      <c r="I16" s="76" t="s">
        <v>738</v>
      </c>
      <c r="J16" s="76">
        <v>5</v>
      </c>
      <c r="K16" s="76"/>
      <c r="L16" s="76"/>
      <c r="M16" s="76"/>
      <c r="N16" s="76"/>
      <c r="O16" s="76"/>
      <c r="P16" s="76"/>
      <c r="Q16" s="76"/>
      <c r="R16" s="76"/>
      <c r="S16" s="76" t="s">
        <v>747</v>
      </c>
      <c r="T16" s="76">
        <v>1</v>
      </c>
      <c r="U16" s="76"/>
      <c r="V16" s="76"/>
    </row>
    <row r="17" spans="1:22" ht="15">
      <c r="A17" s="77" t="s">
        <v>732</v>
      </c>
      <c r="B17" s="76">
        <v>7</v>
      </c>
      <c r="C17" s="76" t="s">
        <v>732</v>
      </c>
      <c r="D17" s="76">
        <v>2</v>
      </c>
      <c r="E17" s="76" t="s">
        <v>743</v>
      </c>
      <c r="F17" s="76">
        <v>1</v>
      </c>
      <c r="G17" s="76"/>
      <c r="H17" s="76"/>
      <c r="I17" s="76" t="s">
        <v>739</v>
      </c>
      <c r="J17" s="76">
        <v>4</v>
      </c>
      <c r="K17" s="76"/>
      <c r="L17" s="76"/>
      <c r="M17" s="76"/>
      <c r="N17" s="76"/>
      <c r="O17" s="76"/>
      <c r="P17" s="76"/>
      <c r="Q17" s="76"/>
      <c r="R17" s="76"/>
      <c r="S17" s="76" t="s">
        <v>746</v>
      </c>
      <c r="T17" s="76">
        <v>1</v>
      </c>
      <c r="U17" s="76"/>
      <c r="V17" s="76"/>
    </row>
    <row r="18" spans="1:22" ht="15">
      <c r="A18" s="77" t="s">
        <v>733</v>
      </c>
      <c r="B18" s="76">
        <v>7</v>
      </c>
      <c r="C18" s="76" t="s">
        <v>741</v>
      </c>
      <c r="D18" s="76">
        <v>2</v>
      </c>
      <c r="E18" s="76" t="s">
        <v>733</v>
      </c>
      <c r="F18" s="76">
        <v>1</v>
      </c>
      <c r="G18" s="76"/>
      <c r="H18" s="76"/>
      <c r="I18" s="76" t="s">
        <v>2370</v>
      </c>
      <c r="J18" s="76">
        <v>3</v>
      </c>
      <c r="K18" s="76"/>
      <c r="L18" s="76"/>
      <c r="M18" s="76"/>
      <c r="N18" s="76"/>
      <c r="O18" s="76"/>
      <c r="P18" s="76"/>
      <c r="Q18" s="76"/>
      <c r="R18" s="76"/>
      <c r="S18" s="76"/>
      <c r="T18" s="76"/>
      <c r="U18" s="76"/>
      <c r="V18" s="76"/>
    </row>
    <row r="19" spans="1:22" ht="15">
      <c r="A19" s="77" t="s">
        <v>739</v>
      </c>
      <c r="B19" s="76">
        <v>6</v>
      </c>
      <c r="C19" s="76"/>
      <c r="D19" s="76"/>
      <c r="E19" s="76"/>
      <c r="F19" s="76"/>
      <c r="G19" s="76"/>
      <c r="H19" s="76"/>
      <c r="I19" s="76" t="s">
        <v>732</v>
      </c>
      <c r="J19" s="76">
        <v>3</v>
      </c>
      <c r="K19" s="76"/>
      <c r="L19" s="76"/>
      <c r="M19" s="76"/>
      <c r="N19" s="76"/>
      <c r="O19" s="76"/>
      <c r="P19" s="76"/>
      <c r="Q19" s="76"/>
      <c r="R19" s="76"/>
      <c r="S19" s="76"/>
      <c r="T19" s="76"/>
      <c r="U19" s="76"/>
      <c r="V19" s="76"/>
    </row>
    <row r="20" spans="1:22" ht="15">
      <c r="A20" s="77" t="s">
        <v>738</v>
      </c>
      <c r="B20" s="76">
        <v>5</v>
      </c>
      <c r="C20" s="76"/>
      <c r="D20" s="76"/>
      <c r="E20" s="76"/>
      <c r="F20" s="76"/>
      <c r="G20" s="76"/>
      <c r="H20" s="76"/>
      <c r="I20" s="76" t="s">
        <v>11321</v>
      </c>
      <c r="J20" s="76">
        <v>1</v>
      </c>
      <c r="K20" s="76"/>
      <c r="L20" s="76"/>
      <c r="M20" s="76"/>
      <c r="N20" s="76"/>
      <c r="O20" s="76"/>
      <c r="P20" s="76"/>
      <c r="Q20" s="76"/>
      <c r="R20" s="76"/>
      <c r="S20" s="76"/>
      <c r="T20" s="76"/>
      <c r="U20" s="76"/>
      <c r="V20" s="76"/>
    </row>
    <row r="21" spans="1:22" ht="15">
      <c r="A21" s="77" t="s">
        <v>744</v>
      </c>
      <c r="B21" s="76">
        <v>3</v>
      </c>
      <c r="C21" s="76"/>
      <c r="D21" s="76"/>
      <c r="E21" s="76"/>
      <c r="F21" s="76"/>
      <c r="G21" s="76"/>
      <c r="H21" s="76"/>
      <c r="I21" s="76"/>
      <c r="J21" s="76"/>
      <c r="K21" s="76"/>
      <c r="L21" s="76"/>
      <c r="M21" s="76"/>
      <c r="N21" s="76"/>
      <c r="O21" s="76"/>
      <c r="P21" s="76"/>
      <c r="Q21" s="76"/>
      <c r="R21" s="76"/>
      <c r="S21" s="76"/>
      <c r="T21" s="76"/>
      <c r="U21" s="76"/>
      <c r="V21" s="76"/>
    </row>
    <row r="22" spans="1:22" ht="15">
      <c r="A22" s="77" t="s">
        <v>2370</v>
      </c>
      <c r="B22" s="76">
        <v>3</v>
      </c>
      <c r="C22" s="76"/>
      <c r="D22" s="76"/>
      <c r="E22" s="76"/>
      <c r="F22" s="76"/>
      <c r="G22" s="76"/>
      <c r="H22" s="76"/>
      <c r="I22" s="76"/>
      <c r="J22" s="76"/>
      <c r="K22" s="76"/>
      <c r="L22" s="76"/>
      <c r="M22" s="76"/>
      <c r="N22" s="76"/>
      <c r="O22" s="76"/>
      <c r="P22" s="76"/>
      <c r="Q22" s="76"/>
      <c r="R22" s="76"/>
      <c r="S22" s="76"/>
      <c r="T22" s="76"/>
      <c r="U22" s="76"/>
      <c r="V22" s="76"/>
    </row>
    <row r="23" spans="1:22" ht="15">
      <c r="A23" s="77" t="s">
        <v>741</v>
      </c>
      <c r="B23" s="76">
        <v>2</v>
      </c>
      <c r="C23" s="76"/>
      <c r="D23" s="76"/>
      <c r="E23" s="76"/>
      <c r="F23" s="76"/>
      <c r="G23" s="76"/>
      <c r="H23" s="76"/>
      <c r="I23" s="76"/>
      <c r="J23" s="76"/>
      <c r="K23" s="76"/>
      <c r="L23" s="76"/>
      <c r="M23" s="76"/>
      <c r="N23" s="76"/>
      <c r="O23" s="76"/>
      <c r="P23" s="76"/>
      <c r="Q23" s="76"/>
      <c r="R23" s="76"/>
      <c r="S23" s="76"/>
      <c r="T23" s="76"/>
      <c r="U23" s="76"/>
      <c r="V23" s="76"/>
    </row>
    <row r="24" spans="1:22" ht="15">
      <c r="A24" s="77" t="s">
        <v>748</v>
      </c>
      <c r="B24" s="76">
        <v>1</v>
      </c>
      <c r="C24" s="76"/>
      <c r="D24" s="76"/>
      <c r="E24" s="76"/>
      <c r="F24" s="76"/>
      <c r="G24" s="76"/>
      <c r="H24" s="76"/>
      <c r="I24" s="76"/>
      <c r="J24" s="76"/>
      <c r="K24" s="76"/>
      <c r="L24" s="76"/>
      <c r="M24" s="76"/>
      <c r="N24" s="76"/>
      <c r="O24" s="76"/>
      <c r="P24" s="76"/>
      <c r="Q24" s="76"/>
      <c r="R24" s="76"/>
      <c r="S24" s="76"/>
      <c r="T24" s="76"/>
      <c r="U24" s="76"/>
      <c r="V24" s="76"/>
    </row>
    <row r="27" spans="1:22" ht="15" customHeight="1">
      <c r="A27" s="7" t="s">
        <v>11335</v>
      </c>
      <c r="B27" s="7" t="s">
        <v>11248</v>
      </c>
      <c r="C27" s="7" t="s">
        <v>11336</v>
      </c>
      <c r="D27" s="7" t="s">
        <v>11260</v>
      </c>
      <c r="E27" s="7" t="s">
        <v>11337</v>
      </c>
      <c r="F27" s="7" t="s">
        <v>11268</v>
      </c>
      <c r="G27" s="7" t="s">
        <v>11338</v>
      </c>
      <c r="H27" s="7" t="s">
        <v>11274</v>
      </c>
      <c r="I27" s="7" t="s">
        <v>11339</v>
      </c>
      <c r="J27" s="7" t="s">
        <v>11286</v>
      </c>
      <c r="K27" s="7" t="s">
        <v>11340</v>
      </c>
      <c r="L27" s="7" t="s">
        <v>11290</v>
      </c>
      <c r="M27" s="7" t="s">
        <v>11341</v>
      </c>
      <c r="N27" s="7" t="s">
        <v>11293</v>
      </c>
      <c r="O27" s="7" t="s">
        <v>11342</v>
      </c>
      <c r="P27" s="7" t="s">
        <v>11297</v>
      </c>
      <c r="Q27" s="7" t="s">
        <v>11343</v>
      </c>
      <c r="R27" s="7" t="s">
        <v>11299</v>
      </c>
      <c r="S27" s="7" t="s">
        <v>11344</v>
      </c>
      <c r="T27" s="7" t="s">
        <v>11304</v>
      </c>
      <c r="U27" s="76" t="s">
        <v>11345</v>
      </c>
      <c r="V27" s="76" t="s">
        <v>11305</v>
      </c>
    </row>
    <row r="28" spans="1:22" ht="15">
      <c r="A28" s="76" t="s">
        <v>724</v>
      </c>
      <c r="B28" s="76">
        <v>9</v>
      </c>
      <c r="C28" s="76" t="s">
        <v>702</v>
      </c>
      <c r="D28" s="76">
        <v>8</v>
      </c>
      <c r="E28" s="76" t="s">
        <v>693</v>
      </c>
      <c r="F28" s="76">
        <v>7</v>
      </c>
      <c r="G28" s="76" t="s">
        <v>699</v>
      </c>
      <c r="H28" s="76">
        <v>5</v>
      </c>
      <c r="I28" s="76" t="s">
        <v>3665</v>
      </c>
      <c r="J28" s="76">
        <v>2</v>
      </c>
      <c r="K28" s="76" t="s">
        <v>490</v>
      </c>
      <c r="L28" s="76">
        <v>4</v>
      </c>
      <c r="M28" s="76" t="s">
        <v>3729</v>
      </c>
      <c r="N28" s="76">
        <v>2</v>
      </c>
      <c r="O28" s="76" t="s">
        <v>724</v>
      </c>
      <c r="P28" s="76">
        <v>8</v>
      </c>
      <c r="Q28" s="76" t="s">
        <v>3448</v>
      </c>
      <c r="R28" s="76">
        <v>1</v>
      </c>
      <c r="S28" s="76" t="s">
        <v>3124</v>
      </c>
      <c r="T28" s="76">
        <v>1</v>
      </c>
      <c r="U28" s="76"/>
      <c r="V28" s="76"/>
    </row>
    <row r="29" spans="1:22" ht="15">
      <c r="A29" s="77" t="s">
        <v>228</v>
      </c>
      <c r="B29" s="76">
        <v>8</v>
      </c>
      <c r="C29" s="76" t="s">
        <v>3211</v>
      </c>
      <c r="D29" s="76">
        <v>6</v>
      </c>
      <c r="E29" s="76" t="s">
        <v>3290</v>
      </c>
      <c r="F29" s="76">
        <v>5</v>
      </c>
      <c r="G29" s="76" t="s">
        <v>3598</v>
      </c>
      <c r="H29" s="76">
        <v>3</v>
      </c>
      <c r="I29" s="76" t="s">
        <v>3263</v>
      </c>
      <c r="J29" s="76">
        <v>1</v>
      </c>
      <c r="K29" s="76" t="s">
        <v>3503</v>
      </c>
      <c r="L29" s="76">
        <v>4</v>
      </c>
      <c r="M29" s="76" t="s">
        <v>3728</v>
      </c>
      <c r="N29" s="76">
        <v>2</v>
      </c>
      <c r="O29" s="76" t="s">
        <v>3601</v>
      </c>
      <c r="P29" s="76">
        <v>4</v>
      </c>
      <c r="Q29" s="76" t="s">
        <v>3447</v>
      </c>
      <c r="R29" s="76">
        <v>1</v>
      </c>
      <c r="S29" s="76" t="s">
        <v>228</v>
      </c>
      <c r="T29" s="76">
        <v>1</v>
      </c>
      <c r="U29" s="76"/>
      <c r="V29" s="76"/>
    </row>
    <row r="30" spans="1:22" ht="15">
      <c r="A30" s="77" t="s">
        <v>702</v>
      </c>
      <c r="B30" s="76">
        <v>8</v>
      </c>
      <c r="C30" s="76" t="s">
        <v>3523</v>
      </c>
      <c r="D30" s="76">
        <v>5</v>
      </c>
      <c r="E30" s="76" t="s">
        <v>234</v>
      </c>
      <c r="F30" s="76">
        <v>4</v>
      </c>
      <c r="G30" s="76" t="s">
        <v>3290</v>
      </c>
      <c r="H30" s="76">
        <v>2</v>
      </c>
      <c r="I30" s="76" t="s">
        <v>3262</v>
      </c>
      <c r="J30" s="76">
        <v>1</v>
      </c>
      <c r="K30" s="76" t="s">
        <v>3472</v>
      </c>
      <c r="L30" s="76">
        <v>2</v>
      </c>
      <c r="M30" s="76" t="s">
        <v>3727</v>
      </c>
      <c r="N30" s="76">
        <v>1</v>
      </c>
      <c r="O30" s="76" t="s">
        <v>3328</v>
      </c>
      <c r="P30" s="76">
        <v>3</v>
      </c>
      <c r="Q30" s="76" t="s">
        <v>3446</v>
      </c>
      <c r="R30" s="76">
        <v>1</v>
      </c>
      <c r="S30" s="76"/>
      <c r="T30" s="76"/>
      <c r="U30" s="76"/>
      <c r="V30" s="76"/>
    </row>
    <row r="31" spans="1:22" ht="15">
      <c r="A31" s="77" t="s">
        <v>699</v>
      </c>
      <c r="B31" s="76">
        <v>8</v>
      </c>
      <c r="C31" s="76" t="s">
        <v>368</v>
      </c>
      <c r="D31" s="76">
        <v>4</v>
      </c>
      <c r="E31" s="76" t="s">
        <v>699</v>
      </c>
      <c r="F31" s="76">
        <v>3</v>
      </c>
      <c r="G31" s="76" t="s">
        <v>3469</v>
      </c>
      <c r="H31" s="76">
        <v>1</v>
      </c>
      <c r="I31" s="76" t="s">
        <v>3261</v>
      </c>
      <c r="J31" s="76">
        <v>1</v>
      </c>
      <c r="K31" s="76" t="s">
        <v>3502</v>
      </c>
      <c r="L31" s="76">
        <v>2</v>
      </c>
      <c r="M31" s="76" t="s">
        <v>3726</v>
      </c>
      <c r="N31" s="76">
        <v>1</v>
      </c>
      <c r="O31" s="76" t="s">
        <v>3365</v>
      </c>
      <c r="P31" s="76">
        <v>3</v>
      </c>
      <c r="Q31" s="76"/>
      <c r="R31" s="76"/>
      <c r="S31" s="76"/>
      <c r="T31" s="76"/>
      <c r="U31" s="76"/>
      <c r="V31" s="76"/>
    </row>
    <row r="32" spans="1:22" ht="15">
      <c r="A32" s="77" t="s">
        <v>3290</v>
      </c>
      <c r="B32" s="76">
        <v>7</v>
      </c>
      <c r="C32" s="76" t="s">
        <v>3572</v>
      </c>
      <c r="D32" s="76">
        <v>3</v>
      </c>
      <c r="E32" s="76" t="s">
        <v>3879</v>
      </c>
      <c r="F32" s="76">
        <v>2</v>
      </c>
      <c r="G32" s="76" t="s">
        <v>3846</v>
      </c>
      <c r="H32" s="76">
        <v>1</v>
      </c>
      <c r="I32" s="76" t="s">
        <v>3260</v>
      </c>
      <c r="J32" s="76">
        <v>1</v>
      </c>
      <c r="K32" s="76" t="s">
        <v>278</v>
      </c>
      <c r="L32" s="76">
        <v>1</v>
      </c>
      <c r="M32" s="76"/>
      <c r="N32" s="76"/>
      <c r="O32" s="76" t="s">
        <v>3615</v>
      </c>
      <c r="P32" s="76">
        <v>2</v>
      </c>
      <c r="Q32" s="76"/>
      <c r="R32" s="76"/>
      <c r="S32" s="76"/>
      <c r="T32" s="76"/>
      <c r="U32" s="76"/>
      <c r="V32" s="76"/>
    </row>
    <row r="33" spans="1:22" ht="15">
      <c r="A33" s="77" t="s">
        <v>693</v>
      </c>
      <c r="B33" s="76">
        <v>7</v>
      </c>
      <c r="C33" s="76" t="s">
        <v>3521</v>
      </c>
      <c r="D33" s="76">
        <v>3</v>
      </c>
      <c r="E33" s="76" t="s">
        <v>3632</v>
      </c>
      <c r="F33" s="76">
        <v>2</v>
      </c>
      <c r="G33" s="76" t="s">
        <v>3289</v>
      </c>
      <c r="H33" s="76">
        <v>1</v>
      </c>
      <c r="I33" s="76" t="s">
        <v>3259</v>
      </c>
      <c r="J33" s="76">
        <v>1</v>
      </c>
      <c r="K33" s="76" t="s">
        <v>3447</v>
      </c>
      <c r="L33" s="76">
        <v>1</v>
      </c>
      <c r="M33" s="76"/>
      <c r="N33" s="76"/>
      <c r="O33" s="76" t="s">
        <v>3507</v>
      </c>
      <c r="P33" s="76">
        <v>2</v>
      </c>
      <c r="Q33" s="76"/>
      <c r="R33" s="76"/>
      <c r="S33" s="76"/>
      <c r="T33" s="76"/>
      <c r="U33" s="76"/>
      <c r="V33" s="76"/>
    </row>
    <row r="34" spans="1:22" ht="15">
      <c r="A34" s="77" t="s">
        <v>3211</v>
      </c>
      <c r="B34" s="76">
        <v>6</v>
      </c>
      <c r="C34" s="76" t="s">
        <v>3486</v>
      </c>
      <c r="D34" s="76">
        <v>3</v>
      </c>
      <c r="E34" s="76" t="s">
        <v>3291</v>
      </c>
      <c r="F34" s="76">
        <v>2</v>
      </c>
      <c r="G34" s="76" t="s">
        <v>3845</v>
      </c>
      <c r="H34" s="76">
        <v>1</v>
      </c>
      <c r="I34" s="76" t="s">
        <v>3258</v>
      </c>
      <c r="J34" s="76">
        <v>1</v>
      </c>
      <c r="K34" s="76" t="s">
        <v>3132</v>
      </c>
      <c r="L34" s="76">
        <v>1</v>
      </c>
      <c r="M34" s="76"/>
      <c r="N34" s="76"/>
      <c r="O34" s="76" t="s">
        <v>3602</v>
      </c>
      <c r="P34" s="76">
        <v>2</v>
      </c>
      <c r="Q34" s="76"/>
      <c r="R34" s="76"/>
      <c r="S34" s="76"/>
      <c r="T34" s="76"/>
      <c r="U34" s="76"/>
      <c r="V34" s="76"/>
    </row>
    <row r="35" spans="1:22" ht="15">
      <c r="A35" s="77" t="s">
        <v>3601</v>
      </c>
      <c r="B35" s="76">
        <v>5</v>
      </c>
      <c r="C35" s="76" t="s">
        <v>3708</v>
      </c>
      <c r="D35" s="76">
        <v>2</v>
      </c>
      <c r="E35" s="76" t="s">
        <v>3876</v>
      </c>
      <c r="F35" s="76">
        <v>1</v>
      </c>
      <c r="G35" s="76" t="s">
        <v>3291</v>
      </c>
      <c r="H35" s="76">
        <v>1</v>
      </c>
      <c r="I35" s="76" t="s">
        <v>3255</v>
      </c>
      <c r="J35" s="76">
        <v>1</v>
      </c>
      <c r="K35" s="76" t="s">
        <v>3074</v>
      </c>
      <c r="L35" s="76">
        <v>1</v>
      </c>
      <c r="M35" s="76"/>
      <c r="N35" s="76"/>
      <c r="O35" s="76" t="s">
        <v>3896</v>
      </c>
      <c r="P35" s="76">
        <v>1</v>
      </c>
      <c r="Q35" s="76"/>
      <c r="R35" s="76"/>
      <c r="S35" s="76"/>
      <c r="T35" s="76"/>
      <c r="U35" s="76"/>
      <c r="V35" s="76"/>
    </row>
    <row r="36" spans="1:22" ht="15">
      <c r="A36" s="77" t="s">
        <v>3523</v>
      </c>
      <c r="B36" s="76">
        <v>5</v>
      </c>
      <c r="C36" s="76" t="s">
        <v>376</v>
      </c>
      <c r="D36" s="76">
        <v>2</v>
      </c>
      <c r="E36" s="76" t="s">
        <v>452</v>
      </c>
      <c r="F36" s="76">
        <v>1</v>
      </c>
      <c r="G36" s="76" t="s">
        <v>3183</v>
      </c>
      <c r="H36" s="76">
        <v>1</v>
      </c>
      <c r="I36" s="76" t="s">
        <v>671</v>
      </c>
      <c r="J36" s="76">
        <v>1</v>
      </c>
      <c r="K36" s="76" t="s">
        <v>3501</v>
      </c>
      <c r="L36" s="76">
        <v>1</v>
      </c>
      <c r="M36" s="76"/>
      <c r="N36" s="76"/>
      <c r="O36" s="76" t="s">
        <v>3895</v>
      </c>
      <c r="P36" s="76">
        <v>1</v>
      </c>
      <c r="Q36" s="76"/>
      <c r="R36" s="76"/>
      <c r="S36" s="76"/>
      <c r="T36" s="76"/>
      <c r="U36" s="76"/>
      <c r="V36" s="76"/>
    </row>
    <row r="37" spans="1:22" ht="15">
      <c r="A37" s="77" t="s">
        <v>490</v>
      </c>
      <c r="B37" s="76">
        <v>4</v>
      </c>
      <c r="C37" s="76" t="s">
        <v>3524</v>
      </c>
      <c r="D37" s="76">
        <v>2</v>
      </c>
      <c r="E37" s="76" t="s">
        <v>3875</v>
      </c>
      <c r="F37" s="76">
        <v>1</v>
      </c>
      <c r="G37" s="76" t="s">
        <v>3271</v>
      </c>
      <c r="H37" s="76">
        <v>1</v>
      </c>
      <c r="I37" s="76" t="s">
        <v>3666</v>
      </c>
      <c r="J37" s="76">
        <v>1</v>
      </c>
      <c r="K37" s="76" t="s">
        <v>3500</v>
      </c>
      <c r="L37" s="76">
        <v>1</v>
      </c>
      <c r="M37" s="76"/>
      <c r="N37" s="76"/>
      <c r="O37" s="76" t="s">
        <v>3626</v>
      </c>
      <c r="P37" s="76">
        <v>1</v>
      </c>
      <c r="Q37" s="76"/>
      <c r="R37" s="76"/>
      <c r="S37" s="76"/>
      <c r="T37" s="76"/>
      <c r="U37" s="76"/>
      <c r="V37" s="76"/>
    </row>
    <row r="40" spans="1:22" ht="15" customHeight="1">
      <c r="A40" s="7" t="s">
        <v>11356</v>
      </c>
      <c r="B40" s="7" t="s">
        <v>11248</v>
      </c>
      <c r="C40" s="7" t="s">
        <v>11357</v>
      </c>
      <c r="D40" s="7" t="s">
        <v>11260</v>
      </c>
      <c r="E40" s="7" t="s">
        <v>11358</v>
      </c>
      <c r="F40" s="7" t="s">
        <v>11268</v>
      </c>
      <c r="G40" s="7" t="s">
        <v>11359</v>
      </c>
      <c r="H40" s="7" t="s">
        <v>11274</v>
      </c>
      <c r="I40" s="7" t="s">
        <v>11360</v>
      </c>
      <c r="J40" s="7" t="s">
        <v>11286</v>
      </c>
      <c r="K40" s="7" t="s">
        <v>11361</v>
      </c>
      <c r="L40" s="7" t="s">
        <v>11290</v>
      </c>
      <c r="M40" s="7" t="s">
        <v>11362</v>
      </c>
      <c r="N40" s="7" t="s">
        <v>11293</v>
      </c>
      <c r="O40" s="7" t="s">
        <v>11363</v>
      </c>
      <c r="P40" s="7" t="s">
        <v>11297</v>
      </c>
      <c r="Q40" s="7" t="s">
        <v>11364</v>
      </c>
      <c r="R40" s="7" t="s">
        <v>11299</v>
      </c>
      <c r="S40" s="7" t="s">
        <v>11365</v>
      </c>
      <c r="T40" s="7" t="s">
        <v>11304</v>
      </c>
      <c r="U40" s="76" t="s">
        <v>11366</v>
      </c>
      <c r="V40" s="76" t="s">
        <v>11305</v>
      </c>
    </row>
    <row r="41" spans="1:22" ht="15">
      <c r="A41" s="80" t="s">
        <v>228</v>
      </c>
      <c r="B41" s="80">
        <v>107</v>
      </c>
      <c r="C41" s="80" t="s">
        <v>228</v>
      </c>
      <c r="D41" s="80">
        <v>28</v>
      </c>
      <c r="E41" s="80" t="s">
        <v>228</v>
      </c>
      <c r="F41" s="80">
        <v>14</v>
      </c>
      <c r="G41" s="80" t="s">
        <v>228</v>
      </c>
      <c r="H41" s="80">
        <v>6</v>
      </c>
      <c r="I41" s="80" t="s">
        <v>3054</v>
      </c>
      <c r="J41" s="80">
        <v>10</v>
      </c>
      <c r="K41" s="80" t="s">
        <v>3078</v>
      </c>
      <c r="L41" s="80">
        <v>4</v>
      </c>
      <c r="M41" s="80" t="s">
        <v>228</v>
      </c>
      <c r="N41" s="80">
        <v>3</v>
      </c>
      <c r="O41" s="80" t="s">
        <v>535</v>
      </c>
      <c r="P41" s="80">
        <v>15</v>
      </c>
      <c r="Q41" s="80" t="s">
        <v>496</v>
      </c>
      <c r="R41" s="80">
        <v>5</v>
      </c>
      <c r="S41" s="80" t="s">
        <v>228</v>
      </c>
      <c r="T41" s="80">
        <v>17</v>
      </c>
      <c r="U41" s="80"/>
      <c r="V41" s="80"/>
    </row>
    <row r="42" spans="1:22" ht="15">
      <c r="A42" s="81" t="s">
        <v>3052</v>
      </c>
      <c r="B42" s="80">
        <v>24</v>
      </c>
      <c r="C42" s="80" t="s">
        <v>3052</v>
      </c>
      <c r="D42" s="80">
        <v>12</v>
      </c>
      <c r="E42" s="80" t="s">
        <v>234</v>
      </c>
      <c r="F42" s="80">
        <v>8</v>
      </c>
      <c r="G42" s="80" t="s">
        <v>3059</v>
      </c>
      <c r="H42" s="80">
        <v>5</v>
      </c>
      <c r="I42" s="80" t="s">
        <v>3056</v>
      </c>
      <c r="J42" s="80">
        <v>9</v>
      </c>
      <c r="K42" s="80" t="s">
        <v>3079</v>
      </c>
      <c r="L42" s="80">
        <v>4</v>
      </c>
      <c r="M42" s="80" t="s">
        <v>248</v>
      </c>
      <c r="N42" s="80">
        <v>2</v>
      </c>
      <c r="O42" s="80" t="s">
        <v>228</v>
      </c>
      <c r="P42" s="80">
        <v>15</v>
      </c>
      <c r="Q42" s="80" t="s">
        <v>498</v>
      </c>
      <c r="R42" s="80">
        <v>5</v>
      </c>
      <c r="S42" s="80" t="s">
        <v>3054</v>
      </c>
      <c r="T42" s="80">
        <v>10</v>
      </c>
      <c r="U42" s="80"/>
      <c r="V42" s="80"/>
    </row>
    <row r="43" spans="1:22" ht="15">
      <c r="A43" s="81" t="s">
        <v>3053</v>
      </c>
      <c r="B43" s="80">
        <v>23</v>
      </c>
      <c r="C43" s="80" t="s">
        <v>3053</v>
      </c>
      <c r="D43" s="80">
        <v>12</v>
      </c>
      <c r="E43" s="80" t="s">
        <v>3063</v>
      </c>
      <c r="F43" s="80">
        <v>7</v>
      </c>
      <c r="G43" s="80" t="s">
        <v>3052</v>
      </c>
      <c r="H43" s="80">
        <v>4</v>
      </c>
      <c r="I43" s="80" t="s">
        <v>300</v>
      </c>
      <c r="J43" s="80">
        <v>8</v>
      </c>
      <c r="K43" s="80" t="s">
        <v>3191</v>
      </c>
      <c r="L43" s="80">
        <v>2</v>
      </c>
      <c r="M43" s="80" t="s">
        <v>520</v>
      </c>
      <c r="N43" s="80">
        <v>2</v>
      </c>
      <c r="O43" s="80" t="s">
        <v>532</v>
      </c>
      <c r="P43" s="80">
        <v>15</v>
      </c>
      <c r="Q43" s="80" t="s">
        <v>259</v>
      </c>
      <c r="R43" s="80">
        <v>5</v>
      </c>
      <c r="S43" s="80" t="s">
        <v>3080</v>
      </c>
      <c r="T43" s="80">
        <v>4</v>
      </c>
      <c r="U43" s="80"/>
      <c r="V43" s="80"/>
    </row>
    <row r="44" spans="1:22" ht="15">
      <c r="A44" s="81" t="s">
        <v>3054</v>
      </c>
      <c r="B44" s="80">
        <v>21</v>
      </c>
      <c r="C44" s="80" t="s">
        <v>3058</v>
      </c>
      <c r="D44" s="80">
        <v>8</v>
      </c>
      <c r="E44" s="80" t="s">
        <v>3055</v>
      </c>
      <c r="F44" s="80">
        <v>6</v>
      </c>
      <c r="G44" s="80" t="s">
        <v>3053</v>
      </c>
      <c r="H44" s="80">
        <v>4</v>
      </c>
      <c r="I44" s="80" t="s">
        <v>228</v>
      </c>
      <c r="J44" s="80">
        <v>7</v>
      </c>
      <c r="K44" s="80" t="s">
        <v>228</v>
      </c>
      <c r="L44" s="80">
        <v>2</v>
      </c>
      <c r="M44" s="80" t="s">
        <v>376</v>
      </c>
      <c r="N44" s="80">
        <v>2</v>
      </c>
      <c r="O44" s="80" t="s">
        <v>533</v>
      </c>
      <c r="P44" s="80">
        <v>15</v>
      </c>
      <c r="Q44" s="80" t="s">
        <v>494</v>
      </c>
      <c r="R44" s="80">
        <v>5</v>
      </c>
      <c r="S44" s="80" t="s">
        <v>471</v>
      </c>
      <c r="T44" s="80">
        <v>4</v>
      </c>
      <c r="U44" s="80"/>
      <c r="V44" s="80"/>
    </row>
    <row r="45" spans="1:22" ht="15">
      <c r="A45" s="81" t="s">
        <v>529</v>
      </c>
      <c r="B45" s="80">
        <v>15</v>
      </c>
      <c r="C45" s="80" t="s">
        <v>376</v>
      </c>
      <c r="D45" s="80">
        <v>8</v>
      </c>
      <c r="E45" s="80" t="s">
        <v>3062</v>
      </c>
      <c r="F45" s="80">
        <v>5</v>
      </c>
      <c r="G45" s="80" t="s">
        <v>3095</v>
      </c>
      <c r="H45" s="80">
        <v>3</v>
      </c>
      <c r="I45" s="80" t="s">
        <v>302</v>
      </c>
      <c r="J45" s="80">
        <v>6</v>
      </c>
      <c r="K45" s="80" t="s">
        <v>3118</v>
      </c>
      <c r="L45" s="80">
        <v>2</v>
      </c>
      <c r="M45" s="80" t="s">
        <v>3180</v>
      </c>
      <c r="N45" s="80">
        <v>2</v>
      </c>
      <c r="O45" s="80" t="s">
        <v>529</v>
      </c>
      <c r="P45" s="80">
        <v>15</v>
      </c>
      <c r="Q45" s="80" t="s">
        <v>492</v>
      </c>
      <c r="R45" s="80">
        <v>5</v>
      </c>
      <c r="S45" s="80" t="s">
        <v>278</v>
      </c>
      <c r="T45" s="80">
        <v>4</v>
      </c>
      <c r="U45" s="80"/>
      <c r="V45" s="80"/>
    </row>
    <row r="46" spans="1:22" ht="15">
      <c r="A46" s="81" t="s">
        <v>533</v>
      </c>
      <c r="B46" s="80">
        <v>15</v>
      </c>
      <c r="C46" s="80" t="s">
        <v>414</v>
      </c>
      <c r="D46" s="80">
        <v>6</v>
      </c>
      <c r="E46" s="80" t="s">
        <v>3060</v>
      </c>
      <c r="F46" s="80">
        <v>4</v>
      </c>
      <c r="G46" s="80" t="s">
        <v>467</v>
      </c>
      <c r="H46" s="80">
        <v>2</v>
      </c>
      <c r="I46" s="80" t="s">
        <v>290</v>
      </c>
      <c r="J46" s="80">
        <v>6</v>
      </c>
      <c r="K46" s="80" t="s">
        <v>3053</v>
      </c>
      <c r="L46" s="80">
        <v>2</v>
      </c>
      <c r="M46" s="80" t="s">
        <v>521</v>
      </c>
      <c r="N46" s="80">
        <v>2</v>
      </c>
      <c r="O46" s="80" t="s">
        <v>538</v>
      </c>
      <c r="P46" s="80">
        <v>15</v>
      </c>
      <c r="Q46" s="80" t="s">
        <v>500</v>
      </c>
      <c r="R46" s="80">
        <v>5</v>
      </c>
      <c r="S46" s="80" t="s">
        <v>509</v>
      </c>
      <c r="T46" s="80">
        <v>3</v>
      </c>
      <c r="U46" s="80"/>
      <c r="V46" s="80"/>
    </row>
    <row r="47" spans="1:22" ht="15">
      <c r="A47" s="81" t="s">
        <v>535</v>
      </c>
      <c r="B47" s="80">
        <v>15</v>
      </c>
      <c r="C47" s="80" t="s">
        <v>3065</v>
      </c>
      <c r="D47" s="80">
        <v>6</v>
      </c>
      <c r="E47" s="80" t="s">
        <v>229</v>
      </c>
      <c r="F47" s="80">
        <v>4</v>
      </c>
      <c r="G47" s="80" t="s">
        <v>3062</v>
      </c>
      <c r="H47" s="80">
        <v>2</v>
      </c>
      <c r="I47" s="80" t="s">
        <v>255</v>
      </c>
      <c r="J47" s="80">
        <v>6</v>
      </c>
      <c r="K47" s="80" t="s">
        <v>3087</v>
      </c>
      <c r="L47" s="80">
        <v>2</v>
      </c>
      <c r="M47" s="80" t="s">
        <v>3122</v>
      </c>
      <c r="N47" s="80">
        <v>2</v>
      </c>
      <c r="O47" s="80" t="s">
        <v>537</v>
      </c>
      <c r="P47" s="80">
        <v>12</v>
      </c>
      <c r="Q47" s="80" t="s">
        <v>501</v>
      </c>
      <c r="R47" s="80">
        <v>5</v>
      </c>
      <c r="S47" s="80" t="s">
        <v>3084</v>
      </c>
      <c r="T47" s="80">
        <v>3</v>
      </c>
      <c r="U47" s="80"/>
      <c r="V47" s="80"/>
    </row>
    <row r="48" spans="1:22" ht="15">
      <c r="A48" s="81" t="s">
        <v>532</v>
      </c>
      <c r="B48" s="80">
        <v>15</v>
      </c>
      <c r="C48" s="80" t="s">
        <v>3069</v>
      </c>
      <c r="D48" s="80">
        <v>5</v>
      </c>
      <c r="E48" s="80" t="s">
        <v>3071</v>
      </c>
      <c r="F48" s="80">
        <v>4</v>
      </c>
      <c r="G48" s="80" t="s">
        <v>468</v>
      </c>
      <c r="H48" s="80">
        <v>2</v>
      </c>
      <c r="I48" s="80" t="s">
        <v>301</v>
      </c>
      <c r="J48" s="80">
        <v>6</v>
      </c>
      <c r="K48" s="80" t="s">
        <v>3052</v>
      </c>
      <c r="L48" s="80">
        <v>2</v>
      </c>
      <c r="M48" s="80"/>
      <c r="N48" s="80"/>
      <c r="O48" s="80" t="s">
        <v>530</v>
      </c>
      <c r="P48" s="80">
        <v>12</v>
      </c>
      <c r="Q48" s="80" t="s">
        <v>228</v>
      </c>
      <c r="R48" s="80">
        <v>5</v>
      </c>
      <c r="S48" s="80" t="s">
        <v>3100</v>
      </c>
      <c r="T48" s="80">
        <v>3</v>
      </c>
      <c r="U48" s="80"/>
      <c r="V48" s="80"/>
    </row>
    <row r="49" spans="1:22" ht="15">
      <c r="A49" s="81" t="s">
        <v>538</v>
      </c>
      <c r="B49" s="80">
        <v>15</v>
      </c>
      <c r="C49" s="80" t="s">
        <v>253</v>
      </c>
      <c r="D49" s="80">
        <v>5</v>
      </c>
      <c r="E49" s="80" t="s">
        <v>3053</v>
      </c>
      <c r="F49" s="80">
        <v>4</v>
      </c>
      <c r="G49" s="80" t="s">
        <v>466</v>
      </c>
      <c r="H49" s="80">
        <v>2</v>
      </c>
      <c r="I49" s="80" t="s">
        <v>3067</v>
      </c>
      <c r="J49" s="80">
        <v>5</v>
      </c>
      <c r="K49" s="80" t="s">
        <v>3120</v>
      </c>
      <c r="L49" s="80">
        <v>2</v>
      </c>
      <c r="M49" s="80"/>
      <c r="N49" s="80"/>
      <c r="O49" s="80" t="s">
        <v>531</v>
      </c>
      <c r="P49" s="80">
        <v>11</v>
      </c>
      <c r="Q49" s="80" t="s">
        <v>495</v>
      </c>
      <c r="R49" s="80">
        <v>5</v>
      </c>
      <c r="S49" s="80" t="s">
        <v>3102</v>
      </c>
      <c r="T49" s="80">
        <v>3</v>
      </c>
      <c r="U49" s="80"/>
      <c r="V49" s="80"/>
    </row>
    <row r="50" spans="1:22" ht="15">
      <c r="A50" s="81" t="s">
        <v>3055</v>
      </c>
      <c r="B50" s="80">
        <v>12</v>
      </c>
      <c r="C50" s="80" t="s">
        <v>238</v>
      </c>
      <c r="D50" s="80">
        <v>5</v>
      </c>
      <c r="E50" s="80" t="s">
        <v>3052</v>
      </c>
      <c r="F50" s="80">
        <v>4</v>
      </c>
      <c r="G50" s="80" t="s">
        <v>469</v>
      </c>
      <c r="H50" s="80">
        <v>2</v>
      </c>
      <c r="I50" s="80" t="s">
        <v>298</v>
      </c>
      <c r="J50" s="80">
        <v>5</v>
      </c>
      <c r="K50" s="80"/>
      <c r="L50" s="80"/>
      <c r="M50" s="80"/>
      <c r="N50" s="80"/>
      <c r="O50" s="80" t="s">
        <v>534</v>
      </c>
      <c r="P50" s="80">
        <v>10</v>
      </c>
      <c r="Q50" s="80" t="s">
        <v>493</v>
      </c>
      <c r="R50" s="80">
        <v>5</v>
      </c>
      <c r="S50" s="80" t="s">
        <v>3111</v>
      </c>
      <c r="T50" s="80">
        <v>2</v>
      </c>
      <c r="U50" s="80"/>
      <c r="V50" s="80"/>
    </row>
    <row r="53" spans="1:22" ht="15" customHeight="1">
      <c r="A53" s="7" t="s">
        <v>11379</v>
      </c>
      <c r="B53" s="7" t="s">
        <v>11248</v>
      </c>
      <c r="C53" s="7" t="s">
        <v>11390</v>
      </c>
      <c r="D53" s="7" t="s">
        <v>11260</v>
      </c>
      <c r="E53" s="7" t="s">
        <v>11400</v>
      </c>
      <c r="F53" s="7" t="s">
        <v>11268</v>
      </c>
      <c r="G53" s="7" t="s">
        <v>11410</v>
      </c>
      <c r="H53" s="7" t="s">
        <v>11274</v>
      </c>
      <c r="I53" s="7" t="s">
        <v>11420</v>
      </c>
      <c r="J53" s="7" t="s">
        <v>11286</v>
      </c>
      <c r="K53" s="7" t="s">
        <v>11431</v>
      </c>
      <c r="L53" s="7" t="s">
        <v>11290</v>
      </c>
      <c r="M53" s="7" t="s">
        <v>11434</v>
      </c>
      <c r="N53" s="7" t="s">
        <v>11293</v>
      </c>
      <c r="O53" s="7" t="s">
        <v>11438</v>
      </c>
      <c r="P53" s="7" t="s">
        <v>11297</v>
      </c>
      <c r="Q53" s="7" t="s">
        <v>11440</v>
      </c>
      <c r="R53" s="7" t="s">
        <v>11299</v>
      </c>
      <c r="S53" s="7" t="s">
        <v>11451</v>
      </c>
      <c r="T53" s="7" t="s">
        <v>11304</v>
      </c>
      <c r="U53" s="76" t="s">
        <v>11456</v>
      </c>
      <c r="V53" s="76" t="s">
        <v>11305</v>
      </c>
    </row>
    <row r="54" spans="1:22" ht="15">
      <c r="A54" s="80" t="s">
        <v>11380</v>
      </c>
      <c r="B54" s="80">
        <v>23</v>
      </c>
      <c r="C54" s="80" t="s">
        <v>11380</v>
      </c>
      <c r="D54" s="80">
        <v>12</v>
      </c>
      <c r="E54" s="80" t="s">
        <v>11380</v>
      </c>
      <c r="F54" s="80">
        <v>4</v>
      </c>
      <c r="G54" s="80" t="s">
        <v>11380</v>
      </c>
      <c r="H54" s="80">
        <v>4</v>
      </c>
      <c r="I54" s="80" t="s">
        <v>11421</v>
      </c>
      <c r="J54" s="80">
        <v>8</v>
      </c>
      <c r="K54" s="80" t="s">
        <v>11432</v>
      </c>
      <c r="L54" s="80">
        <v>2</v>
      </c>
      <c r="M54" s="80" t="s">
        <v>11435</v>
      </c>
      <c r="N54" s="80">
        <v>2</v>
      </c>
      <c r="O54" s="80" t="s">
        <v>11381</v>
      </c>
      <c r="P54" s="80">
        <v>14</v>
      </c>
      <c r="Q54" s="80" t="s">
        <v>11441</v>
      </c>
      <c r="R54" s="80">
        <v>5</v>
      </c>
      <c r="S54" s="80" t="s">
        <v>11452</v>
      </c>
      <c r="T54" s="80">
        <v>2</v>
      </c>
      <c r="U54" s="80"/>
      <c r="V54" s="80"/>
    </row>
    <row r="55" spans="1:22" ht="15">
      <c r="A55" s="81" t="s">
        <v>11381</v>
      </c>
      <c r="B55" s="80">
        <v>14</v>
      </c>
      <c r="C55" s="80" t="s">
        <v>11391</v>
      </c>
      <c r="D55" s="80">
        <v>4</v>
      </c>
      <c r="E55" s="80" t="s">
        <v>11401</v>
      </c>
      <c r="F55" s="80">
        <v>3</v>
      </c>
      <c r="G55" s="80" t="s">
        <v>11411</v>
      </c>
      <c r="H55" s="80">
        <v>2</v>
      </c>
      <c r="I55" s="80" t="s">
        <v>11422</v>
      </c>
      <c r="J55" s="80">
        <v>6</v>
      </c>
      <c r="K55" s="80" t="s">
        <v>11380</v>
      </c>
      <c r="L55" s="80">
        <v>2</v>
      </c>
      <c r="M55" s="80" t="s">
        <v>11436</v>
      </c>
      <c r="N55" s="80">
        <v>2</v>
      </c>
      <c r="O55" s="80" t="s">
        <v>11382</v>
      </c>
      <c r="P55" s="80">
        <v>12</v>
      </c>
      <c r="Q55" s="80" t="s">
        <v>11442</v>
      </c>
      <c r="R55" s="80">
        <v>5</v>
      </c>
      <c r="S55" s="80" t="s">
        <v>11453</v>
      </c>
      <c r="T55" s="80">
        <v>2</v>
      </c>
      <c r="U55" s="80"/>
      <c r="V55" s="80"/>
    </row>
    <row r="56" spans="1:22" ht="15">
      <c r="A56" s="81" t="s">
        <v>11382</v>
      </c>
      <c r="B56" s="80">
        <v>12</v>
      </c>
      <c r="C56" s="80" t="s">
        <v>11392</v>
      </c>
      <c r="D56" s="80">
        <v>4</v>
      </c>
      <c r="E56" s="80" t="s">
        <v>11402</v>
      </c>
      <c r="F56" s="80">
        <v>3</v>
      </c>
      <c r="G56" s="80" t="s">
        <v>11412</v>
      </c>
      <c r="H56" s="80">
        <v>2</v>
      </c>
      <c r="I56" s="80" t="s">
        <v>11423</v>
      </c>
      <c r="J56" s="80">
        <v>6</v>
      </c>
      <c r="K56" s="80" t="s">
        <v>11433</v>
      </c>
      <c r="L56" s="80">
        <v>2</v>
      </c>
      <c r="M56" s="80" t="s">
        <v>11437</v>
      </c>
      <c r="N56" s="80">
        <v>2</v>
      </c>
      <c r="O56" s="80" t="s">
        <v>11383</v>
      </c>
      <c r="P56" s="80">
        <v>12</v>
      </c>
      <c r="Q56" s="80" t="s">
        <v>11443</v>
      </c>
      <c r="R56" s="80">
        <v>5</v>
      </c>
      <c r="S56" s="80" t="s">
        <v>11454</v>
      </c>
      <c r="T56" s="80">
        <v>2</v>
      </c>
      <c r="U56" s="80"/>
      <c r="V56" s="80"/>
    </row>
    <row r="57" spans="1:22" ht="15">
      <c r="A57" s="81" t="s">
        <v>11383</v>
      </c>
      <c r="B57" s="80">
        <v>12</v>
      </c>
      <c r="C57" s="80" t="s">
        <v>11393</v>
      </c>
      <c r="D57" s="80">
        <v>4</v>
      </c>
      <c r="E57" s="80" t="s">
        <v>11403</v>
      </c>
      <c r="F57" s="80">
        <v>3</v>
      </c>
      <c r="G57" s="80" t="s">
        <v>11413</v>
      </c>
      <c r="H57" s="80">
        <v>2</v>
      </c>
      <c r="I57" s="80" t="s">
        <v>11424</v>
      </c>
      <c r="J57" s="80">
        <v>6</v>
      </c>
      <c r="K57" s="80"/>
      <c r="L57" s="80"/>
      <c r="M57" s="80"/>
      <c r="N57" s="80"/>
      <c r="O57" s="80" t="s">
        <v>11384</v>
      </c>
      <c r="P57" s="80">
        <v>11</v>
      </c>
      <c r="Q57" s="80" t="s">
        <v>11444</v>
      </c>
      <c r="R57" s="80">
        <v>5</v>
      </c>
      <c r="S57" s="80" t="s">
        <v>11455</v>
      </c>
      <c r="T57" s="80">
        <v>2</v>
      </c>
      <c r="U57" s="80"/>
      <c r="V57" s="80"/>
    </row>
    <row r="58" spans="1:22" ht="15">
      <c r="A58" s="81" t="s">
        <v>11384</v>
      </c>
      <c r="B58" s="80">
        <v>11</v>
      </c>
      <c r="C58" s="80" t="s">
        <v>11394</v>
      </c>
      <c r="D58" s="80">
        <v>4</v>
      </c>
      <c r="E58" s="80" t="s">
        <v>11404</v>
      </c>
      <c r="F58" s="80">
        <v>3</v>
      </c>
      <c r="G58" s="80" t="s">
        <v>11414</v>
      </c>
      <c r="H58" s="80">
        <v>2</v>
      </c>
      <c r="I58" s="80" t="s">
        <v>11425</v>
      </c>
      <c r="J58" s="80">
        <v>6</v>
      </c>
      <c r="K58" s="80"/>
      <c r="L58" s="80"/>
      <c r="M58" s="80"/>
      <c r="N58" s="80"/>
      <c r="O58" s="80" t="s">
        <v>11385</v>
      </c>
      <c r="P58" s="80">
        <v>10</v>
      </c>
      <c r="Q58" s="80" t="s">
        <v>11445</v>
      </c>
      <c r="R58" s="80">
        <v>5</v>
      </c>
      <c r="S58" s="80"/>
      <c r="T58" s="80"/>
      <c r="U58" s="80"/>
      <c r="V58" s="80"/>
    </row>
    <row r="59" spans="1:22" ht="15">
      <c r="A59" s="81" t="s">
        <v>11385</v>
      </c>
      <c r="B59" s="80">
        <v>10</v>
      </c>
      <c r="C59" s="80" t="s">
        <v>11395</v>
      </c>
      <c r="D59" s="80">
        <v>4</v>
      </c>
      <c r="E59" s="80" t="s">
        <v>11405</v>
      </c>
      <c r="F59" s="80">
        <v>3</v>
      </c>
      <c r="G59" s="80" t="s">
        <v>11415</v>
      </c>
      <c r="H59" s="80">
        <v>2</v>
      </c>
      <c r="I59" s="80" t="s">
        <v>11426</v>
      </c>
      <c r="J59" s="80">
        <v>5</v>
      </c>
      <c r="K59" s="80"/>
      <c r="L59" s="80"/>
      <c r="M59" s="80"/>
      <c r="N59" s="80"/>
      <c r="O59" s="80" t="s">
        <v>11386</v>
      </c>
      <c r="P59" s="80">
        <v>10</v>
      </c>
      <c r="Q59" s="80" t="s">
        <v>11446</v>
      </c>
      <c r="R59" s="80">
        <v>5</v>
      </c>
      <c r="S59" s="80"/>
      <c r="T59" s="80"/>
      <c r="U59" s="80"/>
      <c r="V59" s="80"/>
    </row>
    <row r="60" spans="1:22" ht="15">
      <c r="A60" s="81" t="s">
        <v>11386</v>
      </c>
      <c r="B60" s="80">
        <v>10</v>
      </c>
      <c r="C60" s="80" t="s">
        <v>11396</v>
      </c>
      <c r="D60" s="80">
        <v>4</v>
      </c>
      <c r="E60" s="80" t="s">
        <v>11406</v>
      </c>
      <c r="F60" s="80">
        <v>2</v>
      </c>
      <c r="G60" s="80" t="s">
        <v>11416</v>
      </c>
      <c r="H60" s="80">
        <v>2</v>
      </c>
      <c r="I60" s="80" t="s">
        <v>11427</v>
      </c>
      <c r="J60" s="80">
        <v>5</v>
      </c>
      <c r="K60" s="80"/>
      <c r="L60" s="80"/>
      <c r="M60" s="80"/>
      <c r="N60" s="80"/>
      <c r="O60" s="80" t="s">
        <v>11387</v>
      </c>
      <c r="P60" s="80">
        <v>10</v>
      </c>
      <c r="Q60" s="80" t="s">
        <v>11447</v>
      </c>
      <c r="R60" s="80">
        <v>5</v>
      </c>
      <c r="S60" s="80"/>
      <c r="T60" s="80"/>
      <c r="U60" s="80"/>
      <c r="V60" s="80"/>
    </row>
    <row r="61" spans="1:22" ht="15">
      <c r="A61" s="81" t="s">
        <v>11387</v>
      </c>
      <c r="B61" s="80">
        <v>10</v>
      </c>
      <c r="C61" s="80" t="s">
        <v>11397</v>
      </c>
      <c r="D61" s="80">
        <v>4</v>
      </c>
      <c r="E61" s="80" t="s">
        <v>11407</v>
      </c>
      <c r="F61" s="80">
        <v>2</v>
      </c>
      <c r="G61" s="80" t="s">
        <v>11417</v>
      </c>
      <c r="H61" s="80">
        <v>2</v>
      </c>
      <c r="I61" s="80" t="s">
        <v>11428</v>
      </c>
      <c r="J61" s="80">
        <v>5</v>
      </c>
      <c r="K61" s="80"/>
      <c r="L61" s="80"/>
      <c r="M61" s="80"/>
      <c r="N61" s="80"/>
      <c r="O61" s="80" t="s">
        <v>11388</v>
      </c>
      <c r="P61" s="80">
        <v>9</v>
      </c>
      <c r="Q61" s="80" t="s">
        <v>11448</v>
      </c>
      <c r="R61" s="80">
        <v>5</v>
      </c>
      <c r="S61" s="80"/>
      <c r="T61" s="80"/>
      <c r="U61" s="80"/>
      <c r="V61" s="80"/>
    </row>
    <row r="62" spans="1:22" ht="15">
      <c r="A62" s="81" t="s">
        <v>11388</v>
      </c>
      <c r="B62" s="80">
        <v>9</v>
      </c>
      <c r="C62" s="80" t="s">
        <v>11398</v>
      </c>
      <c r="D62" s="80">
        <v>4</v>
      </c>
      <c r="E62" s="80" t="s">
        <v>11408</v>
      </c>
      <c r="F62" s="80">
        <v>2</v>
      </c>
      <c r="G62" s="80" t="s">
        <v>11418</v>
      </c>
      <c r="H62" s="80">
        <v>2</v>
      </c>
      <c r="I62" s="80" t="s">
        <v>11429</v>
      </c>
      <c r="J62" s="80">
        <v>5</v>
      </c>
      <c r="K62" s="80"/>
      <c r="L62" s="80"/>
      <c r="M62" s="80"/>
      <c r="N62" s="80"/>
      <c r="O62" s="80" t="s">
        <v>11389</v>
      </c>
      <c r="P62" s="80">
        <v>9</v>
      </c>
      <c r="Q62" s="80" t="s">
        <v>11449</v>
      </c>
      <c r="R62" s="80">
        <v>4</v>
      </c>
      <c r="S62" s="80"/>
      <c r="T62" s="80"/>
      <c r="U62" s="80"/>
      <c r="V62" s="80"/>
    </row>
    <row r="63" spans="1:22" ht="15">
      <c r="A63" s="81" t="s">
        <v>11389</v>
      </c>
      <c r="B63" s="80">
        <v>9</v>
      </c>
      <c r="C63" s="80" t="s">
        <v>11399</v>
      </c>
      <c r="D63" s="80">
        <v>4</v>
      </c>
      <c r="E63" s="80" t="s">
        <v>11409</v>
      </c>
      <c r="F63" s="80">
        <v>2</v>
      </c>
      <c r="G63" s="80" t="s">
        <v>11419</v>
      </c>
      <c r="H63" s="80">
        <v>2</v>
      </c>
      <c r="I63" s="80" t="s">
        <v>11430</v>
      </c>
      <c r="J63" s="80">
        <v>5</v>
      </c>
      <c r="K63" s="80"/>
      <c r="L63" s="80"/>
      <c r="M63" s="80"/>
      <c r="N63" s="80"/>
      <c r="O63" s="80" t="s">
        <v>11439</v>
      </c>
      <c r="P63" s="80">
        <v>7</v>
      </c>
      <c r="Q63" s="80" t="s">
        <v>11450</v>
      </c>
      <c r="R63" s="80">
        <v>4</v>
      </c>
      <c r="S63" s="80"/>
      <c r="T63" s="80"/>
      <c r="U63" s="80"/>
      <c r="V63" s="80"/>
    </row>
    <row r="66" spans="1:22" ht="15" customHeight="1">
      <c r="A66" s="7" t="s">
        <v>11468</v>
      </c>
      <c r="B66" s="7" t="s">
        <v>11248</v>
      </c>
      <c r="C66" s="7" t="s">
        <v>11470</v>
      </c>
      <c r="D66" s="7" t="s">
        <v>11260</v>
      </c>
      <c r="E66" s="7" t="s">
        <v>11471</v>
      </c>
      <c r="F66" s="7" t="s">
        <v>11268</v>
      </c>
      <c r="G66" s="7" t="s">
        <v>11474</v>
      </c>
      <c r="H66" s="7" t="s">
        <v>11274</v>
      </c>
      <c r="I66" s="7" t="s">
        <v>11476</v>
      </c>
      <c r="J66" s="7" t="s">
        <v>11286</v>
      </c>
      <c r="K66" s="7" t="s">
        <v>11478</v>
      </c>
      <c r="L66" s="7" t="s">
        <v>11290</v>
      </c>
      <c r="M66" s="7" t="s">
        <v>11480</v>
      </c>
      <c r="N66" s="7" t="s">
        <v>11293</v>
      </c>
      <c r="O66" s="76" t="s">
        <v>11482</v>
      </c>
      <c r="P66" s="76" t="s">
        <v>11297</v>
      </c>
      <c r="Q66" s="7" t="s">
        <v>11484</v>
      </c>
      <c r="R66" s="7" t="s">
        <v>11299</v>
      </c>
      <c r="S66" s="7" t="s">
        <v>11486</v>
      </c>
      <c r="T66" s="7" t="s">
        <v>11304</v>
      </c>
      <c r="U66" s="7" t="s">
        <v>11488</v>
      </c>
      <c r="V66" s="7" t="s">
        <v>11305</v>
      </c>
    </row>
    <row r="67" spans="1:22" ht="15">
      <c r="A67" s="76" t="s">
        <v>229</v>
      </c>
      <c r="B67" s="76">
        <v>6</v>
      </c>
      <c r="C67" s="76" t="s">
        <v>253</v>
      </c>
      <c r="D67" s="76">
        <v>5</v>
      </c>
      <c r="E67" s="76" t="s">
        <v>229</v>
      </c>
      <c r="F67" s="76">
        <v>3</v>
      </c>
      <c r="G67" s="76" t="s">
        <v>235</v>
      </c>
      <c r="H67" s="76">
        <v>1</v>
      </c>
      <c r="I67" s="76" t="s">
        <v>302</v>
      </c>
      <c r="J67" s="76">
        <v>6</v>
      </c>
      <c r="K67" s="76" t="s">
        <v>806</v>
      </c>
      <c r="L67" s="76">
        <v>1</v>
      </c>
      <c r="M67" s="76" t="s">
        <v>249</v>
      </c>
      <c r="N67" s="76">
        <v>1</v>
      </c>
      <c r="O67" s="76"/>
      <c r="P67" s="76"/>
      <c r="Q67" s="76" t="s">
        <v>259</v>
      </c>
      <c r="R67" s="76">
        <v>3</v>
      </c>
      <c r="S67" s="76" t="s">
        <v>3482</v>
      </c>
      <c r="T67" s="76">
        <v>1</v>
      </c>
      <c r="U67" s="76" t="s">
        <v>432</v>
      </c>
      <c r="V67" s="76">
        <v>1</v>
      </c>
    </row>
    <row r="68" spans="1:22" ht="15">
      <c r="A68" s="77" t="s">
        <v>302</v>
      </c>
      <c r="B68" s="76">
        <v>6</v>
      </c>
      <c r="C68" s="76" t="s">
        <v>229</v>
      </c>
      <c r="D68" s="76">
        <v>3</v>
      </c>
      <c r="E68" s="76" t="s">
        <v>252</v>
      </c>
      <c r="F68" s="76">
        <v>1</v>
      </c>
      <c r="G68" s="76"/>
      <c r="H68" s="76"/>
      <c r="I68" s="76" t="s">
        <v>3264</v>
      </c>
      <c r="J68" s="76">
        <v>1</v>
      </c>
      <c r="K68" s="76"/>
      <c r="L68" s="76"/>
      <c r="M68" s="76" t="s">
        <v>250</v>
      </c>
      <c r="N68" s="76">
        <v>1</v>
      </c>
      <c r="O68" s="76"/>
      <c r="P68" s="76"/>
      <c r="Q68" s="76" t="s">
        <v>260</v>
      </c>
      <c r="R68" s="76">
        <v>1</v>
      </c>
      <c r="S68" s="76"/>
      <c r="T68" s="76"/>
      <c r="U68" s="76"/>
      <c r="V68" s="76"/>
    </row>
    <row r="69" spans="1:22" ht="15">
      <c r="A69" s="77" t="s">
        <v>253</v>
      </c>
      <c r="B69" s="76">
        <v>5</v>
      </c>
      <c r="C69" s="76" t="s">
        <v>252</v>
      </c>
      <c r="D69" s="76">
        <v>2</v>
      </c>
      <c r="E69" s="76" t="s">
        <v>235</v>
      </c>
      <c r="F69" s="76">
        <v>1</v>
      </c>
      <c r="G69" s="76"/>
      <c r="H69" s="76"/>
      <c r="I69" s="76" t="s">
        <v>300</v>
      </c>
      <c r="J69" s="76">
        <v>1</v>
      </c>
      <c r="K69" s="76"/>
      <c r="L69" s="76"/>
      <c r="M69" s="76"/>
      <c r="N69" s="76"/>
      <c r="O69" s="76"/>
      <c r="P69" s="76"/>
      <c r="Q69" s="76"/>
      <c r="R69" s="76"/>
      <c r="S69" s="76"/>
      <c r="T69" s="76"/>
      <c r="U69" s="76"/>
      <c r="V69" s="76"/>
    </row>
    <row r="70" spans="1:22" ht="15">
      <c r="A70" s="77" t="s">
        <v>252</v>
      </c>
      <c r="B70" s="76">
        <v>3</v>
      </c>
      <c r="C70" s="76" t="s">
        <v>230</v>
      </c>
      <c r="D70" s="76">
        <v>1</v>
      </c>
      <c r="E70" s="76" t="s">
        <v>228</v>
      </c>
      <c r="F70" s="76">
        <v>1</v>
      </c>
      <c r="G70" s="76"/>
      <c r="H70" s="76"/>
      <c r="I70" s="76"/>
      <c r="J70" s="76"/>
      <c r="K70" s="76"/>
      <c r="L70" s="76"/>
      <c r="M70" s="76"/>
      <c r="N70" s="76"/>
      <c r="O70" s="76"/>
      <c r="P70" s="76"/>
      <c r="Q70" s="76"/>
      <c r="R70" s="76"/>
      <c r="S70" s="76"/>
      <c r="T70" s="76"/>
      <c r="U70" s="76"/>
      <c r="V70" s="76"/>
    </row>
    <row r="71" spans="1:22" ht="15">
      <c r="A71" s="77" t="s">
        <v>259</v>
      </c>
      <c r="B71" s="76">
        <v>3</v>
      </c>
      <c r="C71" s="76" t="s">
        <v>368</v>
      </c>
      <c r="D71" s="76">
        <v>1</v>
      </c>
      <c r="E71" s="76"/>
      <c r="F71" s="76"/>
      <c r="G71" s="76"/>
      <c r="H71" s="76"/>
      <c r="I71" s="76"/>
      <c r="J71" s="76"/>
      <c r="K71" s="76"/>
      <c r="L71" s="76"/>
      <c r="M71" s="76"/>
      <c r="N71" s="76"/>
      <c r="O71" s="76"/>
      <c r="P71" s="76"/>
      <c r="Q71" s="76"/>
      <c r="R71" s="76"/>
      <c r="S71" s="76"/>
      <c r="T71" s="76"/>
      <c r="U71" s="76"/>
      <c r="V71" s="76"/>
    </row>
    <row r="72" spans="1:22" ht="15">
      <c r="A72" s="77" t="s">
        <v>235</v>
      </c>
      <c r="B72" s="76">
        <v>2</v>
      </c>
      <c r="C72" s="76"/>
      <c r="D72" s="76"/>
      <c r="E72" s="76"/>
      <c r="F72" s="76"/>
      <c r="G72" s="76"/>
      <c r="H72" s="76"/>
      <c r="I72" s="76"/>
      <c r="J72" s="76"/>
      <c r="K72" s="76"/>
      <c r="L72" s="76"/>
      <c r="M72" s="76"/>
      <c r="N72" s="76"/>
      <c r="O72" s="76"/>
      <c r="P72" s="76"/>
      <c r="Q72" s="76"/>
      <c r="R72" s="76"/>
      <c r="S72" s="76"/>
      <c r="T72" s="76"/>
      <c r="U72" s="76"/>
      <c r="V72" s="76"/>
    </row>
    <row r="73" spans="1:22" ht="15">
      <c r="A73" s="77" t="s">
        <v>525</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249</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250</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3482</v>
      </c>
      <c r="B76" s="76">
        <v>1</v>
      </c>
      <c r="C76" s="76"/>
      <c r="D76" s="76"/>
      <c r="E76" s="76"/>
      <c r="F76" s="76"/>
      <c r="G76" s="76"/>
      <c r="H76" s="76"/>
      <c r="I76" s="76"/>
      <c r="J76" s="76"/>
      <c r="K76" s="76"/>
      <c r="L76" s="76"/>
      <c r="M76" s="76"/>
      <c r="N76" s="76"/>
      <c r="O76" s="76"/>
      <c r="P76" s="76"/>
      <c r="Q76" s="76"/>
      <c r="R76" s="76"/>
      <c r="S76" s="76"/>
      <c r="T76" s="76"/>
      <c r="U76" s="76"/>
      <c r="V76" s="76"/>
    </row>
    <row r="79" spans="1:22" ht="15" customHeight="1">
      <c r="A79" s="7" t="s">
        <v>11469</v>
      </c>
      <c r="B79" s="7" t="s">
        <v>11248</v>
      </c>
      <c r="C79" s="7" t="s">
        <v>11472</v>
      </c>
      <c r="D79" s="7" t="s">
        <v>11260</v>
      </c>
      <c r="E79" s="7" t="s">
        <v>11473</v>
      </c>
      <c r="F79" s="7" t="s">
        <v>11268</v>
      </c>
      <c r="G79" s="7" t="s">
        <v>11475</v>
      </c>
      <c r="H79" s="7" t="s">
        <v>11274</v>
      </c>
      <c r="I79" s="7" t="s">
        <v>11477</v>
      </c>
      <c r="J79" s="7" t="s">
        <v>11286</v>
      </c>
      <c r="K79" s="7" t="s">
        <v>11479</v>
      </c>
      <c r="L79" s="7" t="s">
        <v>11290</v>
      </c>
      <c r="M79" s="7" t="s">
        <v>11481</v>
      </c>
      <c r="N79" s="7" t="s">
        <v>11293</v>
      </c>
      <c r="O79" s="7" t="s">
        <v>11483</v>
      </c>
      <c r="P79" s="7" t="s">
        <v>11297</v>
      </c>
      <c r="Q79" s="7" t="s">
        <v>11485</v>
      </c>
      <c r="R79" s="7" t="s">
        <v>11299</v>
      </c>
      <c r="S79" s="7" t="s">
        <v>11487</v>
      </c>
      <c r="T79" s="7" t="s">
        <v>11304</v>
      </c>
      <c r="U79" s="7" t="s">
        <v>11489</v>
      </c>
      <c r="V79" s="7" t="s">
        <v>11305</v>
      </c>
    </row>
    <row r="80" spans="1:22" ht="15">
      <c r="A80" s="76" t="s">
        <v>228</v>
      </c>
      <c r="B80" s="76">
        <v>60</v>
      </c>
      <c r="C80" s="76" t="s">
        <v>228</v>
      </c>
      <c r="D80" s="76">
        <v>13</v>
      </c>
      <c r="E80" s="76" t="s">
        <v>228</v>
      </c>
      <c r="F80" s="76">
        <v>8</v>
      </c>
      <c r="G80" s="76" t="s">
        <v>470</v>
      </c>
      <c r="H80" s="76">
        <v>2</v>
      </c>
      <c r="I80" s="76" t="s">
        <v>298</v>
      </c>
      <c r="J80" s="76">
        <v>6</v>
      </c>
      <c r="K80" s="76" t="s">
        <v>228</v>
      </c>
      <c r="L80" s="76">
        <v>2</v>
      </c>
      <c r="M80" s="76" t="s">
        <v>521</v>
      </c>
      <c r="N80" s="76">
        <v>2</v>
      </c>
      <c r="O80" s="76" t="s">
        <v>538</v>
      </c>
      <c r="P80" s="76">
        <v>15</v>
      </c>
      <c r="Q80" s="76" t="s">
        <v>501</v>
      </c>
      <c r="R80" s="76">
        <v>5</v>
      </c>
      <c r="S80" s="76" t="s">
        <v>228</v>
      </c>
      <c r="T80" s="76">
        <v>8</v>
      </c>
      <c r="U80" s="76" t="s">
        <v>228</v>
      </c>
      <c r="V80" s="76">
        <v>1</v>
      </c>
    </row>
    <row r="81" spans="1:22" ht="15">
      <c r="A81" s="77" t="s">
        <v>538</v>
      </c>
      <c r="B81" s="76">
        <v>15</v>
      </c>
      <c r="C81" s="76" t="s">
        <v>414</v>
      </c>
      <c r="D81" s="76">
        <v>6</v>
      </c>
      <c r="E81" s="76" t="s">
        <v>234</v>
      </c>
      <c r="F81" s="76">
        <v>5</v>
      </c>
      <c r="G81" s="76" t="s">
        <v>469</v>
      </c>
      <c r="H81" s="76">
        <v>2</v>
      </c>
      <c r="I81" s="76" t="s">
        <v>255</v>
      </c>
      <c r="J81" s="76">
        <v>6</v>
      </c>
      <c r="K81" s="76" t="s">
        <v>490</v>
      </c>
      <c r="L81" s="76">
        <v>1</v>
      </c>
      <c r="M81" s="76" t="s">
        <v>376</v>
      </c>
      <c r="N81" s="76">
        <v>2</v>
      </c>
      <c r="O81" s="76" t="s">
        <v>535</v>
      </c>
      <c r="P81" s="76">
        <v>15</v>
      </c>
      <c r="Q81" s="76" t="s">
        <v>500</v>
      </c>
      <c r="R81" s="76">
        <v>5</v>
      </c>
      <c r="S81" s="76" t="s">
        <v>471</v>
      </c>
      <c r="T81" s="76">
        <v>4</v>
      </c>
      <c r="U81" s="76" t="s">
        <v>431</v>
      </c>
      <c r="V81" s="76">
        <v>1</v>
      </c>
    </row>
    <row r="82" spans="1:22" ht="15">
      <c r="A82" s="77" t="s">
        <v>535</v>
      </c>
      <c r="B82" s="76">
        <v>15</v>
      </c>
      <c r="C82" s="76" t="s">
        <v>376</v>
      </c>
      <c r="D82" s="76">
        <v>5</v>
      </c>
      <c r="E82" s="76" t="s">
        <v>273</v>
      </c>
      <c r="F82" s="76">
        <v>3</v>
      </c>
      <c r="G82" s="76" t="s">
        <v>259</v>
      </c>
      <c r="H82" s="76">
        <v>2</v>
      </c>
      <c r="I82" s="76" t="s">
        <v>301</v>
      </c>
      <c r="J82" s="76">
        <v>6</v>
      </c>
      <c r="K82" s="76" t="s">
        <v>489</v>
      </c>
      <c r="L82" s="76">
        <v>1</v>
      </c>
      <c r="M82" s="76" t="s">
        <v>520</v>
      </c>
      <c r="N82" s="76">
        <v>2</v>
      </c>
      <c r="O82" s="76" t="s">
        <v>533</v>
      </c>
      <c r="P82" s="76">
        <v>15</v>
      </c>
      <c r="Q82" s="76" t="s">
        <v>499</v>
      </c>
      <c r="R82" s="76">
        <v>5</v>
      </c>
      <c r="S82" s="76" t="s">
        <v>509</v>
      </c>
      <c r="T82" s="76">
        <v>3</v>
      </c>
      <c r="U82" s="76" t="s">
        <v>430</v>
      </c>
      <c r="V82" s="76">
        <v>1</v>
      </c>
    </row>
    <row r="83" spans="1:22" ht="15">
      <c r="A83" s="77" t="s">
        <v>533</v>
      </c>
      <c r="B83" s="76">
        <v>15</v>
      </c>
      <c r="C83" s="76" t="s">
        <v>375</v>
      </c>
      <c r="D83" s="76">
        <v>4</v>
      </c>
      <c r="E83" s="76" t="s">
        <v>272</v>
      </c>
      <c r="F83" s="76">
        <v>3</v>
      </c>
      <c r="G83" s="76" t="s">
        <v>468</v>
      </c>
      <c r="H83" s="76">
        <v>2</v>
      </c>
      <c r="I83" s="76" t="s">
        <v>300</v>
      </c>
      <c r="J83" s="76">
        <v>6</v>
      </c>
      <c r="K83" s="76" t="s">
        <v>488</v>
      </c>
      <c r="L83" s="76">
        <v>1</v>
      </c>
      <c r="M83" s="76" t="s">
        <v>248</v>
      </c>
      <c r="N83" s="76">
        <v>2</v>
      </c>
      <c r="O83" s="76" t="s">
        <v>532</v>
      </c>
      <c r="P83" s="76">
        <v>15</v>
      </c>
      <c r="Q83" s="76" t="s">
        <v>498</v>
      </c>
      <c r="R83" s="76">
        <v>5</v>
      </c>
      <c r="S83" s="76" t="s">
        <v>507</v>
      </c>
      <c r="T83" s="76">
        <v>1</v>
      </c>
      <c r="U83" s="76" t="s">
        <v>429</v>
      </c>
      <c r="V83" s="76">
        <v>1</v>
      </c>
    </row>
    <row r="84" spans="1:22" ht="15">
      <c r="A84" s="77" t="s">
        <v>532</v>
      </c>
      <c r="B84" s="76">
        <v>15</v>
      </c>
      <c r="C84" s="76" t="s">
        <v>374</v>
      </c>
      <c r="D84" s="76">
        <v>4</v>
      </c>
      <c r="E84" s="76" t="s">
        <v>268</v>
      </c>
      <c r="F84" s="76">
        <v>3</v>
      </c>
      <c r="G84" s="76" t="s">
        <v>467</v>
      </c>
      <c r="H84" s="76">
        <v>2</v>
      </c>
      <c r="I84" s="76" t="s">
        <v>228</v>
      </c>
      <c r="J84" s="76">
        <v>6</v>
      </c>
      <c r="K84" s="76" t="s">
        <v>255</v>
      </c>
      <c r="L84" s="76">
        <v>1</v>
      </c>
      <c r="M84" s="76" t="s">
        <v>228</v>
      </c>
      <c r="N84" s="76">
        <v>2</v>
      </c>
      <c r="O84" s="76" t="s">
        <v>529</v>
      </c>
      <c r="P84" s="76">
        <v>15</v>
      </c>
      <c r="Q84" s="76" t="s">
        <v>497</v>
      </c>
      <c r="R84" s="76">
        <v>5</v>
      </c>
      <c r="S84" s="76" t="s">
        <v>506</v>
      </c>
      <c r="T84" s="76">
        <v>1</v>
      </c>
      <c r="U84" s="76" t="s">
        <v>428</v>
      </c>
      <c r="V84" s="76">
        <v>1</v>
      </c>
    </row>
    <row r="85" spans="1:22" ht="15">
      <c r="A85" s="77" t="s">
        <v>529</v>
      </c>
      <c r="B85" s="76">
        <v>15</v>
      </c>
      <c r="C85" s="76" t="s">
        <v>373</v>
      </c>
      <c r="D85" s="76">
        <v>4</v>
      </c>
      <c r="E85" s="76" t="s">
        <v>267</v>
      </c>
      <c r="F85" s="76">
        <v>3</v>
      </c>
      <c r="G85" s="76" t="s">
        <v>466</v>
      </c>
      <c r="H85" s="76">
        <v>2</v>
      </c>
      <c r="I85" s="76" t="s">
        <v>299</v>
      </c>
      <c r="J85" s="76">
        <v>5</v>
      </c>
      <c r="K85" s="76" t="s">
        <v>487</v>
      </c>
      <c r="L85" s="76">
        <v>1</v>
      </c>
      <c r="M85" s="76" t="s">
        <v>519</v>
      </c>
      <c r="N85" s="76">
        <v>1</v>
      </c>
      <c r="O85" s="76" t="s">
        <v>228</v>
      </c>
      <c r="P85" s="76">
        <v>15</v>
      </c>
      <c r="Q85" s="76" t="s">
        <v>496</v>
      </c>
      <c r="R85" s="76">
        <v>5</v>
      </c>
      <c r="S85" s="76" t="s">
        <v>505</v>
      </c>
      <c r="T85" s="76">
        <v>1</v>
      </c>
      <c r="U85" s="76" t="s">
        <v>427</v>
      </c>
      <c r="V85" s="76">
        <v>1</v>
      </c>
    </row>
    <row r="86" spans="1:22" ht="15">
      <c r="A86" s="77" t="s">
        <v>537</v>
      </c>
      <c r="B86" s="76">
        <v>12</v>
      </c>
      <c r="C86" s="76" t="s">
        <v>372</v>
      </c>
      <c r="D86" s="76">
        <v>4</v>
      </c>
      <c r="E86" s="76" t="s">
        <v>266</v>
      </c>
      <c r="F86" s="76">
        <v>3</v>
      </c>
      <c r="G86" s="76" t="s">
        <v>465</v>
      </c>
      <c r="H86" s="76">
        <v>2</v>
      </c>
      <c r="I86" s="76" t="s">
        <v>297</v>
      </c>
      <c r="J86" s="76">
        <v>5</v>
      </c>
      <c r="K86" s="76" t="s">
        <v>486</v>
      </c>
      <c r="L86" s="76">
        <v>1</v>
      </c>
      <c r="M86" s="76" t="s">
        <v>518</v>
      </c>
      <c r="N86" s="76">
        <v>1</v>
      </c>
      <c r="O86" s="76" t="s">
        <v>537</v>
      </c>
      <c r="P86" s="76">
        <v>12</v>
      </c>
      <c r="Q86" s="76" t="s">
        <v>495</v>
      </c>
      <c r="R86" s="76">
        <v>5</v>
      </c>
      <c r="S86" s="76" t="s">
        <v>504</v>
      </c>
      <c r="T86" s="76">
        <v>1</v>
      </c>
      <c r="U86" s="76" t="s">
        <v>426</v>
      </c>
      <c r="V86" s="76">
        <v>1</v>
      </c>
    </row>
    <row r="87" spans="1:22" ht="15">
      <c r="A87" s="77" t="s">
        <v>530</v>
      </c>
      <c r="B87" s="76">
        <v>12</v>
      </c>
      <c r="C87" s="76" t="s">
        <v>371</v>
      </c>
      <c r="D87" s="76">
        <v>4</v>
      </c>
      <c r="E87" s="76" t="s">
        <v>271</v>
      </c>
      <c r="F87" s="76">
        <v>2</v>
      </c>
      <c r="G87" s="76" t="s">
        <v>464</v>
      </c>
      <c r="H87" s="76">
        <v>2</v>
      </c>
      <c r="I87" s="76" t="s">
        <v>296</v>
      </c>
      <c r="J87" s="76">
        <v>5</v>
      </c>
      <c r="K87" s="76" t="s">
        <v>485</v>
      </c>
      <c r="L87" s="76">
        <v>1</v>
      </c>
      <c r="M87" s="76" t="s">
        <v>517</v>
      </c>
      <c r="N87" s="76">
        <v>1</v>
      </c>
      <c r="O87" s="76" t="s">
        <v>530</v>
      </c>
      <c r="P87" s="76">
        <v>12</v>
      </c>
      <c r="Q87" s="76" t="s">
        <v>228</v>
      </c>
      <c r="R87" s="76">
        <v>5</v>
      </c>
      <c r="S87" s="76" t="s">
        <v>508</v>
      </c>
      <c r="T87" s="76">
        <v>1</v>
      </c>
      <c r="U87" s="76" t="s">
        <v>425</v>
      </c>
      <c r="V87" s="76">
        <v>1</v>
      </c>
    </row>
    <row r="88" spans="1:22" ht="15">
      <c r="A88" s="77" t="s">
        <v>531</v>
      </c>
      <c r="B88" s="76">
        <v>11</v>
      </c>
      <c r="C88" s="76" t="s">
        <v>370</v>
      </c>
      <c r="D88" s="76">
        <v>4</v>
      </c>
      <c r="E88" s="76" t="s">
        <v>270</v>
      </c>
      <c r="F88" s="76">
        <v>2</v>
      </c>
      <c r="G88" s="76" t="s">
        <v>463</v>
      </c>
      <c r="H88" s="76">
        <v>2</v>
      </c>
      <c r="I88" s="76" t="s">
        <v>295</v>
      </c>
      <c r="J88" s="76">
        <v>5</v>
      </c>
      <c r="K88" s="76" t="s">
        <v>484</v>
      </c>
      <c r="L88" s="76">
        <v>1</v>
      </c>
      <c r="M88" s="76" t="s">
        <v>516</v>
      </c>
      <c r="N88" s="76">
        <v>1</v>
      </c>
      <c r="O88" s="76" t="s">
        <v>531</v>
      </c>
      <c r="P88" s="76">
        <v>11</v>
      </c>
      <c r="Q88" s="76" t="s">
        <v>494</v>
      </c>
      <c r="R88" s="76">
        <v>5</v>
      </c>
      <c r="S88" s="76" t="s">
        <v>796</v>
      </c>
      <c r="T88" s="76">
        <v>1</v>
      </c>
      <c r="U88" s="76" t="s">
        <v>424</v>
      </c>
      <c r="V88" s="76">
        <v>1</v>
      </c>
    </row>
    <row r="89" spans="1:22" ht="15">
      <c r="A89" s="77" t="s">
        <v>534</v>
      </c>
      <c r="B89" s="76">
        <v>10</v>
      </c>
      <c r="C89" s="76" t="s">
        <v>369</v>
      </c>
      <c r="D89" s="76">
        <v>4</v>
      </c>
      <c r="E89" s="76" t="s">
        <v>269</v>
      </c>
      <c r="F89" s="76">
        <v>2</v>
      </c>
      <c r="G89" s="76" t="s">
        <v>235</v>
      </c>
      <c r="H89" s="76">
        <v>1</v>
      </c>
      <c r="I89" s="76" t="s">
        <v>3067</v>
      </c>
      <c r="J89" s="76">
        <v>5</v>
      </c>
      <c r="K89" s="76" t="s">
        <v>483</v>
      </c>
      <c r="L89" s="76">
        <v>1</v>
      </c>
      <c r="M89" s="76" t="s">
        <v>515</v>
      </c>
      <c r="N89" s="76">
        <v>1</v>
      </c>
      <c r="O89" s="76" t="s">
        <v>534</v>
      </c>
      <c r="P89" s="76">
        <v>10</v>
      </c>
      <c r="Q89" s="76" t="s">
        <v>493</v>
      </c>
      <c r="R89" s="76">
        <v>5</v>
      </c>
      <c r="S89" s="76"/>
      <c r="T89" s="76"/>
      <c r="U89" s="76" t="s">
        <v>423</v>
      </c>
      <c r="V89" s="76">
        <v>1</v>
      </c>
    </row>
    <row r="92" spans="1:22" ht="15" customHeight="1">
      <c r="A92" s="7" t="s">
        <v>11508</v>
      </c>
      <c r="B92" s="7" t="s">
        <v>11248</v>
      </c>
      <c r="C92" s="7" t="s">
        <v>11509</v>
      </c>
      <c r="D92" s="7" t="s">
        <v>11260</v>
      </c>
      <c r="E92" s="7" t="s">
        <v>11510</v>
      </c>
      <c r="F92" s="7" t="s">
        <v>11268</v>
      </c>
      <c r="G92" s="7" t="s">
        <v>11511</v>
      </c>
      <c r="H92" s="7" t="s">
        <v>11274</v>
      </c>
      <c r="I92" s="7" t="s">
        <v>11512</v>
      </c>
      <c r="J92" s="7" t="s">
        <v>11286</v>
      </c>
      <c r="K92" s="7" t="s">
        <v>11513</v>
      </c>
      <c r="L92" s="7" t="s">
        <v>11290</v>
      </c>
      <c r="M92" s="7" t="s">
        <v>11514</v>
      </c>
      <c r="N92" s="7" t="s">
        <v>11293</v>
      </c>
      <c r="O92" s="7" t="s">
        <v>11515</v>
      </c>
      <c r="P92" s="7" t="s">
        <v>11297</v>
      </c>
      <c r="Q92" s="7" t="s">
        <v>11516</v>
      </c>
      <c r="R92" s="7" t="s">
        <v>11299</v>
      </c>
      <c r="S92" s="7" t="s">
        <v>11517</v>
      </c>
      <c r="T92" s="7" t="s">
        <v>11304</v>
      </c>
      <c r="U92" s="7" t="s">
        <v>11518</v>
      </c>
      <c r="V92" s="7" t="s">
        <v>11305</v>
      </c>
    </row>
    <row r="93" spans="1:22" ht="15">
      <c r="A93" s="102" t="s">
        <v>404</v>
      </c>
      <c r="B93" s="76">
        <v>1059875</v>
      </c>
      <c r="C93" s="102" t="s">
        <v>404</v>
      </c>
      <c r="D93" s="76">
        <v>1059875</v>
      </c>
      <c r="E93" s="102" t="s">
        <v>310</v>
      </c>
      <c r="F93" s="76">
        <v>689121</v>
      </c>
      <c r="G93" s="102" t="s">
        <v>468</v>
      </c>
      <c r="H93" s="76">
        <v>296924</v>
      </c>
      <c r="I93" s="102" t="s">
        <v>293</v>
      </c>
      <c r="J93" s="76">
        <v>443504</v>
      </c>
      <c r="K93" s="102" t="s">
        <v>488</v>
      </c>
      <c r="L93" s="76">
        <v>310337</v>
      </c>
      <c r="M93" s="102" t="s">
        <v>517</v>
      </c>
      <c r="N93" s="76">
        <v>418416</v>
      </c>
      <c r="O93" s="102" t="s">
        <v>526</v>
      </c>
      <c r="P93" s="76">
        <v>131903</v>
      </c>
      <c r="Q93" s="102" t="s">
        <v>259</v>
      </c>
      <c r="R93" s="76">
        <v>213415</v>
      </c>
      <c r="S93" s="102" t="s">
        <v>243</v>
      </c>
      <c r="T93" s="76">
        <v>65049</v>
      </c>
      <c r="U93" s="102" t="s">
        <v>424</v>
      </c>
      <c r="V93" s="76">
        <v>439505</v>
      </c>
    </row>
    <row r="94" spans="1:22" ht="15">
      <c r="A94" s="105" t="s">
        <v>310</v>
      </c>
      <c r="B94" s="76">
        <v>689121</v>
      </c>
      <c r="C94" s="102" t="s">
        <v>413</v>
      </c>
      <c r="D94" s="76">
        <v>331330</v>
      </c>
      <c r="E94" s="102" t="s">
        <v>323</v>
      </c>
      <c r="F94" s="76">
        <v>253685</v>
      </c>
      <c r="G94" s="102" t="s">
        <v>444</v>
      </c>
      <c r="H94" s="76">
        <v>139831</v>
      </c>
      <c r="I94" s="102" t="s">
        <v>298</v>
      </c>
      <c r="J94" s="76">
        <v>184024</v>
      </c>
      <c r="K94" s="102" t="s">
        <v>479</v>
      </c>
      <c r="L94" s="76">
        <v>180245</v>
      </c>
      <c r="M94" s="102" t="s">
        <v>510</v>
      </c>
      <c r="N94" s="76">
        <v>311666</v>
      </c>
      <c r="O94" s="102" t="s">
        <v>531</v>
      </c>
      <c r="P94" s="76">
        <v>89803</v>
      </c>
      <c r="Q94" s="102" t="s">
        <v>496</v>
      </c>
      <c r="R94" s="76">
        <v>184562</v>
      </c>
      <c r="S94" s="102" t="s">
        <v>244</v>
      </c>
      <c r="T94" s="76">
        <v>60738</v>
      </c>
      <c r="U94" s="102" t="s">
        <v>430</v>
      </c>
      <c r="V94" s="76">
        <v>17439</v>
      </c>
    </row>
    <row r="95" spans="1:22" ht="15">
      <c r="A95" s="105" t="s">
        <v>293</v>
      </c>
      <c r="B95" s="76">
        <v>443504</v>
      </c>
      <c r="C95" s="102" t="s">
        <v>417</v>
      </c>
      <c r="D95" s="76">
        <v>270602</v>
      </c>
      <c r="E95" s="102" t="s">
        <v>235</v>
      </c>
      <c r="F95" s="76">
        <v>167337</v>
      </c>
      <c r="G95" s="102" t="s">
        <v>445</v>
      </c>
      <c r="H95" s="76">
        <v>129901</v>
      </c>
      <c r="I95" s="102" t="s">
        <v>227</v>
      </c>
      <c r="J95" s="76">
        <v>123393</v>
      </c>
      <c r="K95" s="102" t="s">
        <v>477</v>
      </c>
      <c r="L95" s="76">
        <v>55412</v>
      </c>
      <c r="M95" s="102" t="s">
        <v>514</v>
      </c>
      <c r="N95" s="76">
        <v>293323</v>
      </c>
      <c r="O95" s="102" t="s">
        <v>533</v>
      </c>
      <c r="P95" s="76">
        <v>48981</v>
      </c>
      <c r="Q95" s="102" t="s">
        <v>498</v>
      </c>
      <c r="R95" s="76">
        <v>145541</v>
      </c>
      <c r="S95" s="102" t="s">
        <v>509</v>
      </c>
      <c r="T95" s="76">
        <v>59120</v>
      </c>
      <c r="U95" s="102" t="s">
        <v>427</v>
      </c>
      <c r="V95" s="76">
        <v>10856</v>
      </c>
    </row>
    <row r="96" spans="1:22" ht="15">
      <c r="A96" s="105" t="s">
        <v>424</v>
      </c>
      <c r="B96" s="76">
        <v>439505</v>
      </c>
      <c r="C96" s="102" t="s">
        <v>414</v>
      </c>
      <c r="D96" s="76">
        <v>262144</v>
      </c>
      <c r="E96" s="102" t="s">
        <v>312</v>
      </c>
      <c r="F96" s="76">
        <v>132593</v>
      </c>
      <c r="G96" s="102" t="s">
        <v>470</v>
      </c>
      <c r="H96" s="76">
        <v>95252</v>
      </c>
      <c r="I96" s="102" t="s">
        <v>303</v>
      </c>
      <c r="J96" s="76">
        <v>56410</v>
      </c>
      <c r="K96" s="102" t="s">
        <v>484</v>
      </c>
      <c r="L96" s="76">
        <v>48726</v>
      </c>
      <c r="M96" s="102" t="s">
        <v>519</v>
      </c>
      <c r="N96" s="76">
        <v>155043</v>
      </c>
      <c r="O96" s="102" t="s">
        <v>535</v>
      </c>
      <c r="P96" s="76">
        <v>36873</v>
      </c>
      <c r="Q96" s="102" t="s">
        <v>495</v>
      </c>
      <c r="R96" s="76">
        <v>106343</v>
      </c>
      <c r="S96" s="102" t="s">
        <v>247</v>
      </c>
      <c r="T96" s="76">
        <v>47528</v>
      </c>
      <c r="U96" s="102" t="s">
        <v>429</v>
      </c>
      <c r="V96" s="76">
        <v>8943</v>
      </c>
    </row>
    <row r="97" spans="1:22" ht="15">
      <c r="A97" s="105" t="s">
        <v>517</v>
      </c>
      <c r="B97" s="76">
        <v>418416</v>
      </c>
      <c r="C97" s="102" t="s">
        <v>416</v>
      </c>
      <c r="D97" s="76">
        <v>88968</v>
      </c>
      <c r="E97" s="102" t="s">
        <v>319</v>
      </c>
      <c r="F97" s="76">
        <v>80526</v>
      </c>
      <c r="G97" s="102" t="s">
        <v>446</v>
      </c>
      <c r="H97" s="76">
        <v>69358</v>
      </c>
      <c r="I97" s="102" t="s">
        <v>279</v>
      </c>
      <c r="J97" s="76">
        <v>55184</v>
      </c>
      <c r="K97" s="102" t="s">
        <v>483</v>
      </c>
      <c r="L97" s="76">
        <v>43687</v>
      </c>
      <c r="M97" s="102" t="s">
        <v>518</v>
      </c>
      <c r="N97" s="76">
        <v>54089</v>
      </c>
      <c r="O97" s="102" t="s">
        <v>538</v>
      </c>
      <c r="P97" s="76">
        <v>33300</v>
      </c>
      <c r="Q97" s="102" t="s">
        <v>262</v>
      </c>
      <c r="R97" s="76">
        <v>101295</v>
      </c>
      <c r="S97" s="102" t="s">
        <v>508</v>
      </c>
      <c r="T97" s="76">
        <v>46933</v>
      </c>
      <c r="U97" s="102" t="s">
        <v>423</v>
      </c>
      <c r="V97" s="76">
        <v>5846</v>
      </c>
    </row>
    <row r="98" spans="1:22" ht="15">
      <c r="A98" s="105" t="s">
        <v>413</v>
      </c>
      <c r="B98" s="76">
        <v>331330</v>
      </c>
      <c r="C98" s="102" t="s">
        <v>374</v>
      </c>
      <c r="D98" s="76">
        <v>84197</v>
      </c>
      <c r="E98" s="102" t="s">
        <v>304</v>
      </c>
      <c r="F98" s="76">
        <v>79631</v>
      </c>
      <c r="G98" s="102" t="s">
        <v>469</v>
      </c>
      <c r="H98" s="76">
        <v>67151</v>
      </c>
      <c r="I98" s="102" t="s">
        <v>300</v>
      </c>
      <c r="J98" s="76">
        <v>37149</v>
      </c>
      <c r="K98" s="102" t="s">
        <v>487</v>
      </c>
      <c r="L98" s="76">
        <v>41472</v>
      </c>
      <c r="M98" s="102" t="s">
        <v>512</v>
      </c>
      <c r="N98" s="76">
        <v>21154</v>
      </c>
      <c r="O98" s="102" t="s">
        <v>532</v>
      </c>
      <c r="P98" s="76">
        <v>19544</v>
      </c>
      <c r="Q98" s="102" t="s">
        <v>500</v>
      </c>
      <c r="R98" s="76">
        <v>85195</v>
      </c>
      <c r="S98" s="102" t="s">
        <v>506</v>
      </c>
      <c r="T98" s="76">
        <v>18458</v>
      </c>
      <c r="U98" s="102" t="s">
        <v>428</v>
      </c>
      <c r="V98" s="76">
        <v>5506</v>
      </c>
    </row>
    <row r="99" spans="1:22" ht="15">
      <c r="A99" s="105" t="s">
        <v>510</v>
      </c>
      <c r="B99" s="76">
        <v>311666</v>
      </c>
      <c r="C99" s="102" t="s">
        <v>381</v>
      </c>
      <c r="D99" s="76">
        <v>75693</v>
      </c>
      <c r="E99" s="102" t="s">
        <v>422</v>
      </c>
      <c r="F99" s="76">
        <v>74535</v>
      </c>
      <c r="G99" s="102" t="s">
        <v>451</v>
      </c>
      <c r="H99" s="76">
        <v>63246</v>
      </c>
      <c r="I99" s="102" t="s">
        <v>274</v>
      </c>
      <c r="J99" s="76">
        <v>36367</v>
      </c>
      <c r="K99" s="102" t="s">
        <v>476</v>
      </c>
      <c r="L99" s="76">
        <v>35605</v>
      </c>
      <c r="M99" s="102" t="s">
        <v>511</v>
      </c>
      <c r="N99" s="76">
        <v>17895</v>
      </c>
      <c r="O99" s="102" t="s">
        <v>258</v>
      </c>
      <c r="P99" s="76">
        <v>15874</v>
      </c>
      <c r="Q99" s="102" t="s">
        <v>497</v>
      </c>
      <c r="R99" s="76">
        <v>78499</v>
      </c>
      <c r="S99" s="102" t="s">
        <v>245</v>
      </c>
      <c r="T99" s="76">
        <v>18273</v>
      </c>
      <c r="U99" s="102" t="s">
        <v>432</v>
      </c>
      <c r="V99" s="76">
        <v>3880</v>
      </c>
    </row>
    <row r="100" spans="1:22" ht="15">
      <c r="A100" s="105" t="s">
        <v>488</v>
      </c>
      <c r="B100" s="76">
        <v>310337</v>
      </c>
      <c r="C100" s="102" t="s">
        <v>334</v>
      </c>
      <c r="D100" s="76">
        <v>68196</v>
      </c>
      <c r="E100" s="102" t="s">
        <v>269</v>
      </c>
      <c r="F100" s="76">
        <v>62652</v>
      </c>
      <c r="G100" s="102" t="s">
        <v>439</v>
      </c>
      <c r="H100" s="76">
        <v>59193</v>
      </c>
      <c r="I100" s="102" t="s">
        <v>276</v>
      </c>
      <c r="J100" s="76">
        <v>32709</v>
      </c>
      <c r="K100" s="102" t="s">
        <v>481</v>
      </c>
      <c r="L100" s="76">
        <v>31564</v>
      </c>
      <c r="M100" s="102" t="s">
        <v>516</v>
      </c>
      <c r="N100" s="76">
        <v>11304</v>
      </c>
      <c r="O100" s="102" t="s">
        <v>257</v>
      </c>
      <c r="P100" s="76">
        <v>15032</v>
      </c>
      <c r="Q100" s="102" t="s">
        <v>241</v>
      </c>
      <c r="R100" s="76">
        <v>66280</v>
      </c>
      <c r="S100" s="102" t="s">
        <v>471</v>
      </c>
      <c r="T100" s="76">
        <v>13236</v>
      </c>
      <c r="U100" s="102" t="s">
        <v>426</v>
      </c>
      <c r="V100" s="76">
        <v>2705</v>
      </c>
    </row>
    <row r="101" spans="1:22" ht="15">
      <c r="A101" s="105" t="s">
        <v>468</v>
      </c>
      <c r="B101" s="76">
        <v>296924</v>
      </c>
      <c r="C101" s="102" t="s">
        <v>412</v>
      </c>
      <c r="D101" s="76">
        <v>66816</v>
      </c>
      <c r="E101" s="102" t="s">
        <v>226</v>
      </c>
      <c r="F101" s="76">
        <v>57700</v>
      </c>
      <c r="G101" s="102" t="s">
        <v>441</v>
      </c>
      <c r="H101" s="76">
        <v>38309</v>
      </c>
      <c r="I101" s="102" t="s">
        <v>281</v>
      </c>
      <c r="J101" s="76">
        <v>24521</v>
      </c>
      <c r="K101" s="102" t="s">
        <v>255</v>
      </c>
      <c r="L101" s="76">
        <v>30619</v>
      </c>
      <c r="M101" s="102" t="s">
        <v>513</v>
      </c>
      <c r="N101" s="76">
        <v>8784</v>
      </c>
      <c r="O101" s="102" t="s">
        <v>536</v>
      </c>
      <c r="P101" s="76">
        <v>12814</v>
      </c>
      <c r="Q101" s="102" t="s">
        <v>260</v>
      </c>
      <c r="R101" s="76">
        <v>58689</v>
      </c>
      <c r="S101" s="102" t="s">
        <v>507</v>
      </c>
      <c r="T101" s="76">
        <v>12704</v>
      </c>
      <c r="U101" s="102" t="s">
        <v>425</v>
      </c>
      <c r="V101" s="76">
        <v>484</v>
      </c>
    </row>
    <row r="102" spans="1:22" ht="15">
      <c r="A102" s="105" t="s">
        <v>514</v>
      </c>
      <c r="B102" s="76">
        <v>293323</v>
      </c>
      <c r="C102" s="102" t="s">
        <v>394</v>
      </c>
      <c r="D102" s="76">
        <v>64189</v>
      </c>
      <c r="E102" s="102" t="s">
        <v>308</v>
      </c>
      <c r="F102" s="76">
        <v>50414</v>
      </c>
      <c r="G102" s="102" t="s">
        <v>443</v>
      </c>
      <c r="H102" s="76">
        <v>37934</v>
      </c>
      <c r="I102" s="102" t="s">
        <v>299</v>
      </c>
      <c r="J102" s="76">
        <v>22794</v>
      </c>
      <c r="K102" s="102" t="s">
        <v>239</v>
      </c>
      <c r="L102" s="76">
        <v>25778</v>
      </c>
      <c r="M102" s="102" t="s">
        <v>515</v>
      </c>
      <c r="N102" s="76">
        <v>8620</v>
      </c>
      <c r="O102" s="102" t="s">
        <v>534</v>
      </c>
      <c r="P102" s="76">
        <v>5778</v>
      </c>
      <c r="Q102" s="102" t="s">
        <v>493</v>
      </c>
      <c r="R102" s="76">
        <v>39849</v>
      </c>
      <c r="S102" s="102" t="s">
        <v>246</v>
      </c>
      <c r="T102" s="76">
        <v>10992</v>
      </c>
      <c r="U102" s="102" t="s">
        <v>431</v>
      </c>
      <c r="V102" s="76">
        <v>240</v>
      </c>
    </row>
  </sheetData>
  <hyperlinks>
    <hyperlink ref="A2" r:id="rId1" display="https://bit.ly/3Z2OFCA"/>
    <hyperlink ref="A3" r:id="rId2" display="https://drive.google.com/file/d/1V8VDKgqRE3Ait1LOwdKrF73c0Y2BEvse/view?usp=sharing"/>
    <hyperlink ref="A4" r:id="rId3" display="https://app.powerbi.com/view?r=eyJrIjoiOTI4ZjIyMTAtZTViNi00YTU4LTk3MGMtZmNlMzYxMGU3MzRlIiwidCI6IjI5ZDRjMTFjLTA1N2MtNDg3Zi04ZmRhLWU4NmQ1OTkzOWU2NCIsImMiOjZ9"/>
    <hyperlink ref="A5" r:id="rId4" display="http://bit.ly/GetNodeXL"/>
    <hyperlink ref="A6" r:id="rId5" display="https://www.linkedin.com/posts/pinakilaskar_ailaw-generativeai-intellectualproperty-activity-7099956740313497600-Rrrw"/>
    <hyperlink ref="A7" r:id="rId6" display="https://www.linkedin.com/posts/pinakilaskar_aicommandments-aiforbusiness-aicompanies-activity-7100686984049831936-9XVM"/>
    <hyperlink ref="A8" r:id="rId7" display="https://www.linkedin.com/posts/pinakilaskar_ai-rationalsystem-aisystem-activity-7098499497281896448-n3mE"/>
    <hyperlink ref="A9" r:id="rId8" display="https://www.linkedin.com/posts/pinakilaskar_confidentialcomputing-generativeai-dataleakage-activity-7102874255679270912-H5ac"/>
    <hyperlink ref="A10" r:id="rId9" display="https://www.linkedin.com/posts/pinakilaskar_aisingularity-machineconsciousness-generalai-activity-7102149386310160384-Rm41"/>
    <hyperlink ref="A11" r:id="rId10" display="https://www.linkedin.com/posts/pinakilaskar_ai-ailiteracy-languageprocessing-activity-7098883303188918272-v6fM"/>
    <hyperlink ref="C2" r:id="rId11" display="https://drive.google.com/file/d/1V8VDKgqRE3Ait1LOwdKrF73c0Y2BEvse/view?usp=sharing"/>
    <hyperlink ref="C3" r:id="rId12" display="https://bit.ly/3E8a4Ax"/>
    <hyperlink ref="C4" r:id="rId13" display="https://bit.ly/47Lu0XB"/>
    <hyperlink ref="C5" r:id="rId14" display="https://bit.ly/3YIJPKw"/>
    <hyperlink ref="C6" r:id="rId15" display="https://bit.ly/44lcKFG"/>
    <hyperlink ref="C7" r:id="rId16" display="https://bit.ly/3qQa1q2"/>
    <hyperlink ref="C8" r:id="rId17" display="https://bit.ly/457scqc"/>
    <hyperlink ref="C9" r:id="rId18" display="https://bit.ly/3PdAVBo"/>
    <hyperlink ref="C10" r:id="rId19" display="https://bit.ly/3OSFbpT"/>
    <hyperlink ref="C11" r:id="rId20" display="https://bit.ly/3QQBRgg"/>
    <hyperlink ref="E2" r:id="rId21" display="https://app.powerbi.com/view?r=eyJrIjoiOTI4ZjIyMTAtZTViNi00YTU4LTk3MGMtZmNlMzYxMGU3MzRlIiwidCI6IjI5ZDRjMTFjLTA1N2MtNDg3Zi04ZmRhLWU4NmQ1OTkzOWU2NCIsImMiOjZ9"/>
    <hyperlink ref="E3" r:id="rId22" display="https://bit.ly/44sbaBT"/>
    <hyperlink ref="E4" r:id="rId23" display="https://bit.ly/3OxATCU"/>
    <hyperlink ref="E5" r:id="rId24" display="https://bit.ly/3QTnFDh"/>
    <hyperlink ref="E6" r:id="rId25" display="https://bit.ly/3QzmnNR"/>
    <hyperlink ref="E7" r:id="rId26" display="https://community.aejmc.org/conference/opportunities/2023-sponsors"/>
    <hyperlink ref="E8" r:id="rId27" display="https://twitter.com/NassimRETIERE/status/1582748701843329026?s=20"/>
    <hyperlink ref="G2" r:id="rId28" display="https://bit.ly/3Z2OFCA"/>
    <hyperlink ref="G3" r:id="rId29" display="https://app.powerbi.com/view?r=eyJrIjoiYWY1ODIyMTQtMmZkOC00N2ExLWE1MWItZTY0YTc1ODdjMmRkIiwidCI6IjI5ZDRjMTFjLTA1N2MtNDg3Zi04ZmRhLWU4NmQ1OTkzOWU2NCIsImMiOjZ9"/>
    <hyperlink ref="G4" r:id="rId30" display="https://bit.ly/45wr6UQ"/>
    <hyperlink ref="G5" r:id="rId31" display="https://bit.ly/3QS5HRz"/>
    <hyperlink ref="G6" r:id="rId32" display="https://bit.ly/3L4QsRH"/>
    <hyperlink ref="I2" r:id="rId33" display="https://www.google.com/search?q=QAnon&amp;oq=QAnon"/>
    <hyperlink ref="I3" r:id="rId34" display="http://g.co/kgs/R5Ao5j"/>
    <hyperlink ref="I4" r:id="rId35" display="http://plus.google.com/+ChristopherLeeHarper/posts/NiQGXc5DubT"/>
    <hyperlink ref="I5" r:id="rId36" display="http://g.co/kgs/fwsk6y"/>
    <hyperlink ref="I6" r:id="rId37" display="http://g.co/kgs/uQpGE9"/>
    <hyperlink ref="I7" r:id="rId38" display="http://plus.google.com/+ChristopherLeeHarper/posts/1M8kKg7AHMf"/>
    <hyperlink ref="I8" r:id="rId39" display="http://plus.google.com/+ChristopherLeeHarper/posts/ZHjAT5UXHMh"/>
    <hyperlink ref="I9" r:id="rId40" display="https://g.co/kgs/DaHyUP"/>
    <hyperlink ref="I10" r:id="rId41" display="http://wikipedia.org/wiki/Jack_Posobiec"/>
    <hyperlink ref="I11" r:id="rId42" display="https://whois.com/whois/truthsocial.com"/>
    <hyperlink ref="K2" r:id="rId43" display="https://bit.ly/3qRfJrM"/>
    <hyperlink ref="K3" r:id="rId44" display="https://bit.ly/3Pi0L7D"/>
    <hyperlink ref="M2" r:id="rId45" display="https://bit.ly/3OIsKeT"/>
    <hyperlink ref="O2" r:id="rId46" display="https://www.linkedin.com/posts/pinakilaskar_ailaw-generativeai-intellectualproperty-activity-7099956740313497600-Rrrw"/>
    <hyperlink ref="O3" r:id="rId47" display="https://www.linkedin.com/posts/pinakilaskar_aichips-edgeai-machinelearning-activity-7099246539562192897-nYgL"/>
    <hyperlink ref="O4" r:id="rId48" display="https://www.linkedin.com/pulse/what-you-need-machine-intelligence-metaphysics-pinaki-laskar"/>
    <hyperlink ref="O5" r:id="rId49" display="https://www.linkedin.com/posts/pinakilaskar_ai-ailiteracy-languageprocessing-activity-7098883303188918272-v6fM"/>
    <hyperlink ref="O6" r:id="rId50" display="https://www.linkedin.com/posts/pinakilaskar_aisingularity-machineconsciousness-generalai-activity-7102149386310160384-Rm41"/>
    <hyperlink ref="O7" r:id="rId51" display="https://www.linkedin.com/posts/pinakilaskar_confidentialcomputing-generativeai-dataleakage-activity-7102874255679270912-H5ac"/>
    <hyperlink ref="O8" r:id="rId52" display="https://www.linkedin.com/posts/pinakilaskar_ai-rationalsystem-aisystem-activity-7098499497281896448-n3mE"/>
    <hyperlink ref="O9" r:id="rId53" display="https://www.linkedin.com/posts/pinakilaskar_aicommandments-aiforbusiness-aicompanies-activity-7100686984049831936-9XVM"/>
    <hyperlink ref="S2" r:id="rId54" display="http://nodexlgraphgallery.org/"/>
    <hyperlink ref="S3" r:id="rId55" display="http://nodexgraphgallery.org/"/>
    <hyperlink ref="S4" r:id="rId56" display="https://www.coasttocoastam.com/article/british-woman-tormented-by-haunted-cell-phone/"/>
  </hyperlinks>
  <printOptions/>
  <pageMargins left="0.7" right="0.7" top="0.75" bottom="0.75" header="0.3" footer="0.3"/>
  <pageSetup orientation="portrait" paperSize="9"/>
  <tableParts>
    <tablePart r:id="rId62"/>
    <tablePart r:id="rId60"/>
    <tablePart r:id="rId57"/>
    <tablePart r:id="rId63"/>
    <tablePart r:id="rId58"/>
    <tablePart r:id="rId59"/>
    <tablePart r:id="rId64"/>
    <tablePart r:id="rId6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321"/>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2.00390625" style="0" bestFit="1" customWidth="1"/>
    <col min="33" max="33" width="11.57421875" style="0" bestFit="1" customWidth="1"/>
    <col min="34" max="34" width="9.7109375" style="0"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1215</v>
      </c>
      <c r="AE2" s="7" t="s">
        <v>1216</v>
      </c>
      <c r="AF2" s="7" t="s">
        <v>1217</v>
      </c>
      <c r="AG2" s="7" t="s">
        <v>1218</v>
      </c>
      <c r="AH2" s="7" t="s">
        <v>1219</v>
      </c>
      <c r="AI2" s="7" t="s">
        <v>1220</v>
      </c>
      <c r="AJ2" s="7" t="s">
        <v>1221</v>
      </c>
      <c r="AK2" s="7" t="s">
        <v>1222</v>
      </c>
      <c r="AL2" s="7" t="s">
        <v>1223</v>
      </c>
      <c r="AM2" s="7" t="s">
        <v>1224</v>
      </c>
      <c r="AN2" s="7" t="s">
        <v>1225</v>
      </c>
      <c r="AO2" s="7" t="s">
        <v>1226</v>
      </c>
      <c r="AP2" s="7" t="s">
        <v>1227</v>
      </c>
      <c r="AQ2" s="7" t="s">
        <v>1228</v>
      </c>
      <c r="AR2" s="7" t="s">
        <v>1229</v>
      </c>
      <c r="AS2" s="7" t="s">
        <v>1230</v>
      </c>
      <c r="AT2" s="7" t="s">
        <v>1231</v>
      </c>
      <c r="AU2" s="7" t="s">
        <v>1232</v>
      </c>
      <c r="AV2" s="7" t="s">
        <v>1233</v>
      </c>
      <c r="AW2" s="7" t="s">
        <v>1234</v>
      </c>
      <c r="AX2" s="7" t="s">
        <v>1235</v>
      </c>
      <c r="AY2" s="7" t="s">
        <v>1236</v>
      </c>
      <c r="AZ2" s="7" t="s">
        <v>1237</v>
      </c>
      <c r="BA2" s="7" t="s">
        <v>1238</v>
      </c>
      <c r="BB2" s="7" t="s">
        <v>1239</v>
      </c>
      <c r="BC2" s="7" t="s">
        <v>1240</v>
      </c>
      <c r="BD2" s="7" t="s">
        <v>1241</v>
      </c>
      <c r="BE2" s="7" t="s">
        <v>1242</v>
      </c>
      <c r="BF2" s="7" t="s">
        <v>1243</v>
      </c>
      <c r="BG2" s="7" t="s">
        <v>196</v>
      </c>
      <c r="BH2" s="7" t="s">
        <v>1244</v>
      </c>
      <c r="BI2" s="7" t="s">
        <v>1245</v>
      </c>
      <c r="BJ2" s="7" t="s">
        <v>1246</v>
      </c>
      <c r="BK2" s="7" t="s">
        <v>1247</v>
      </c>
      <c r="BL2" s="7" t="s">
        <v>1248</v>
      </c>
      <c r="BM2" s="7" t="s">
        <v>1249</v>
      </c>
      <c r="BN2" s="7" t="s">
        <v>1250</v>
      </c>
      <c r="BO2" s="7" t="s">
        <v>1251</v>
      </c>
      <c r="BP2" s="7" t="s">
        <v>3039</v>
      </c>
      <c r="BQ2" s="108" t="s">
        <v>3242</v>
      </c>
      <c r="BR2" s="108" t="s">
        <v>3243</v>
      </c>
      <c r="BS2" s="108" t="s">
        <v>3244</v>
      </c>
      <c r="BT2" s="108" t="s">
        <v>3245</v>
      </c>
      <c r="BU2" s="108" t="s">
        <v>3246</v>
      </c>
      <c r="BV2" s="108" t="s">
        <v>3247</v>
      </c>
      <c r="BW2" s="108" t="s">
        <v>3248</v>
      </c>
      <c r="BX2" s="108" t="s">
        <v>3249</v>
      </c>
      <c r="BY2" s="108" t="s">
        <v>3251</v>
      </c>
      <c r="BZ2" s="108" t="s">
        <v>11535</v>
      </c>
      <c r="CA2" s="108" t="s">
        <v>11547</v>
      </c>
      <c r="CB2" s="108" t="s">
        <v>11554</v>
      </c>
      <c r="CC2" s="108" t="s">
        <v>11557</v>
      </c>
      <c r="CD2" s="108" t="s">
        <v>11561</v>
      </c>
      <c r="CE2" s="108" t="s">
        <v>11570</v>
      </c>
      <c r="CF2" s="108" t="s">
        <v>11584</v>
      </c>
      <c r="CG2" s="108" t="s">
        <v>11626</v>
      </c>
      <c r="CH2" s="108" t="s">
        <v>11640</v>
      </c>
      <c r="CI2" s="108" t="s">
        <v>11681</v>
      </c>
    </row>
    <row r="3" spans="1:87" ht="15" customHeight="1">
      <c r="A3" s="61" t="s">
        <v>263</v>
      </c>
      <c r="B3" s="62"/>
      <c r="C3" s="62"/>
      <c r="D3" s="63">
        <v>535</v>
      </c>
      <c r="E3" s="65"/>
      <c r="F3" s="100" t="str">
        <f>HYPERLINK("https://pbs.twimg.com/profile_images/1536332562343374848/ZGS7_QTf_normal.png")</f>
        <v>https://pbs.twimg.com/profile_images/1536332562343374848/ZGS7_QTf_normal.png</v>
      </c>
      <c r="G3" s="62"/>
      <c r="H3" s="66" t="s">
        <v>263</v>
      </c>
      <c r="I3" s="67"/>
      <c r="J3" s="67" t="s">
        <v>159</v>
      </c>
      <c r="K3" s="66" t="s">
        <v>2976</v>
      </c>
      <c r="L3" s="70">
        <v>477.0952380952381</v>
      </c>
      <c r="M3" s="71">
        <v>6854.40966796875</v>
      </c>
      <c r="N3" s="71">
        <v>955.7867431640625</v>
      </c>
      <c r="O3" s="72"/>
      <c r="P3" s="73"/>
      <c r="Q3" s="73"/>
      <c r="R3" s="45"/>
      <c r="S3" s="45">
        <v>1</v>
      </c>
      <c r="T3" s="45">
        <v>1</v>
      </c>
      <c r="U3" s="46">
        <v>0</v>
      </c>
      <c r="V3" s="46">
        <v>0</v>
      </c>
      <c r="W3" s="46">
        <v>0</v>
      </c>
      <c r="X3" s="46">
        <v>0.003165</v>
      </c>
      <c r="Y3" s="46">
        <v>0</v>
      </c>
      <c r="Z3" s="46">
        <v>0</v>
      </c>
      <c r="AA3" s="68">
        <v>3</v>
      </c>
      <c r="AB3" s="68"/>
      <c r="AC3" s="69"/>
      <c r="AD3" s="76" t="s">
        <v>1565</v>
      </c>
      <c r="AE3" s="80" t="s">
        <v>1189</v>
      </c>
      <c r="AF3" s="76">
        <v>172</v>
      </c>
      <c r="AG3" s="76">
        <v>1</v>
      </c>
      <c r="AH3" s="76">
        <v>76699</v>
      </c>
      <c r="AI3" s="76">
        <v>7</v>
      </c>
      <c r="AJ3" s="76">
        <v>113</v>
      </c>
      <c r="AK3" s="76">
        <v>122</v>
      </c>
      <c r="AL3" s="76" t="b">
        <v>0</v>
      </c>
      <c r="AM3" s="78">
        <v>44725.541666666664</v>
      </c>
      <c r="AN3" s="76"/>
      <c r="AO3" s="76" t="s">
        <v>2348</v>
      </c>
      <c r="AP3" s="76"/>
      <c r="AQ3" s="76"/>
      <c r="AR3" s="76"/>
      <c r="AS3" s="76"/>
      <c r="AT3" s="76"/>
      <c r="AU3" s="76"/>
      <c r="AV3" s="76"/>
      <c r="AW3" s="76"/>
      <c r="AX3" s="76" t="b">
        <v>0</v>
      </c>
      <c r="AY3" s="76"/>
      <c r="AZ3" s="76"/>
      <c r="BA3" s="76" t="b">
        <v>0</v>
      </c>
      <c r="BB3" s="76" t="b">
        <v>1</v>
      </c>
      <c r="BC3" s="76" t="b">
        <v>1</v>
      </c>
      <c r="BD3" s="76" t="b">
        <v>0</v>
      </c>
      <c r="BE3" s="76" t="b">
        <v>1</v>
      </c>
      <c r="BF3" s="76" t="b">
        <v>0</v>
      </c>
      <c r="BG3" s="76" t="b">
        <v>0</v>
      </c>
      <c r="BH3" s="76"/>
      <c r="BI3" s="76"/>
      <c r="BJ3" s="76" t="s">
        <v>2656</v>
      </c>
      <c r="BK3" s="76" t="b">
        <v>0</v>
      </c>
      <c r="BL3" s="76"/>
      <c r="BM3" s="76" t="s">
        <v>66</v>
      </c>
      <c r="BN3" s="76" t="s">
        <v>2657</v>
      </c>
      <c r="BO3" s="82" t="str">
        <f>HYPERLINK("https://twitter.com/hanssars8")</f>
        <v>https://twitter.com/hanssars8</v>
      </c>
      <c r="BP3" s="76" t="str">
        <f>REPLACE(INDEX(GroupVertices[Group],MATCH(Vertices[[#This Row],[Vertex]],GroupVertices[Vertex],0)),1,1,"")</f>
        <v>11</v>
      </c>
      <c r="BQ3" s="45">
        <v>0</v>
      </c>
      <c r="BR3" s="46">
        <v>0</v>
      </c>
      <c r="BS3" s="45">
        <v>0</v>
      </c>
      <c r="BT3" s="46">
        <v>0</v>
      </c>
      <c r="BU3" s="45">
        <v>0</v>
      </c>
      <c r="BV3" s="46">
        <v>0</v>
      </c>
      <c r="BW3" s="45">
        <v>4</v>
      </c>
      <c r="BX3" s="46">
        <v>100</v>
      </c>
      <c r="BY3" s="45">
        <v>4</v>
      </c>
      <c r="BZ3" s="45" t="s">
        <v>11536</v>
      </c>
      <c r="CA3" s="45" t="s">
        <v>11536</v>
      </c>
      <c r="CB3" s="45" t="s">
        <v>740</v>
      </c>
      <c r="CC3" s="45" t="s">
        <v>740</v>
      </c>
      <c r="CD3" s="45" t="s">
        <v>228</v>
      </c>
      <c r="CE3" s="45" t="s">
        <v>228</v>
      </c>
      <c r="CF3" s="112" t="s">
        <v>11585</v>
      </c>
      <c r="CG3" s="112" t="s">
        <v>11585</v>
      </c>
      <c r="CH3" s="112" t="s">
        <v>11641</v>
      </c>
      <c r="CI3" s="112" t="s">
        <v>11641</v>
      </c>
    </row>
    <row r="4" spans="1:88" ht="15">
      <c r="A4" s="61" t="s">
        <v>223</v>
      </c>
      <c r="B4" s="62"/>
      <c r="C4" s="62"/>
      <c r="D4" s="63">
        <v>70</v>
      </c>
      <c r="E4" s="65"/>
      <c r="F4" s="100" t="str">
        <f>HYPERLINK("https://pbs.twimg.com/profile_images/1642753911739097088/VAt8hr5-_normal.png")</f>
        <v>https://pbs.twimg.com/profile_images/1642753911739097088/VAt8hr5-_normal.png</v>
      </c>
      <c r="G4" s="62"/>
      <c r="H4" s="66" t="s">
        <v>223</v>
      </c>
      <c r="I4" s="67"/>
      <c r="J4" s="67" t="s">
        <v>159</v>
      </c>
      <c r="K4" s="66" t="s">
        <v>2658</v>
      </c>
      <c r="L4" s="70">
        <v>1</v>
      </c>
      <c r="M4" s="71">
        <v>9112.677734375</v>
      </c>
      <c r="N4" s="71">
        <v>863.8842163085938</v>
      </c>
      <c r="O4" s="72"/>
      <c r="P4" s="73"/>
      <c r="Q4" s="73"/>
      <c r="R4" s="86"/>
      <c r="S4" s="45">
        <v>0</v>
      </c>
      <c r="T4" s="45">
        <v>1</v>
      </c>
      <c r="U4" s="46">
        <v>0</v>
      </c>
      <c r="V4" s="46">
        <v>0.003175</v>
      </c>
      <c r="W4" s="46">
        <v>0</v>
      </c>
      <c r="X4" s="46">
        <v>0.003165</v>
      </c>
      <c r="Y4" s="46">
        <v>0</v>
      </c>
      <c r="Z4" s="46">
        <v>0</v>
      </c>
      <c r="AA4" s="68">
        <v>4</v>
      </c>
      <c r="AB4" s="68"/>
      <c r="AC4" s="69"/>
      <c r="AD4" s="76" t="s">
        <v>1252</v>
      </c>
      <c r="AE4" s="80" t="s">
        <v>1566</v>
      </c>
      <c r="AF4" s="76">
        <v>15519</v>
      </c>
      <c r="AG4" s="76">
        <v>10025</v>
      </c>
      <c r="AH4" s="76">
        <v>56763</v>
      </c>
      <c r="AI4" s="76">
        <v>90</v>
      </c>
      <c r="AJ4" s="76">
        <v>156278</v>
      </c>
      <c r="AK4" s="76">
        <v>1729</v>
      </c>
      <c r="AL4" s="76" t="b">
        <v>0</v>
      </c>
      <c r="AM4" s="78">
        <v>40748.19403935185</v>
      </c>
      <c r="AN4" s="76"/>
      <c r="AO4" s="76" t="s">
        <v>2045</v>
      </c>
      <c r="AP4" s="76"/>
      <c r="AQ4" s="76"/>
      <c r="AR4" s="76"/>
      <c r="AS4" s="76"/>
      <c r="AT4" s="76"/>
      <c r="AU4" s="76"/>
      <c r="AV4" s="76"/>
      <c r="AW4" s="76"/>
      <c r="AX4" s="76" t="b">
        <v>0</v>
      </c>
      <c r="AY4" s="76"/>
      <c r="AZ4" s="76"/>
      <c r="BA4" s="76" t="b">
        <v>0</v>
      </c>
      <c r="BB4" s="76" t="b">
        <v>1</v>
      </c>
      <c r="BC4" s="76" t="b">
        <v>0</v>
      </c>
      <c r="BD4" s="76" t="b">
        <v>0</v>
      </c>
      <c r="BE4" s="76" t="b">
        <v>1</v>
      </c>
      <c r="BF4" s="76" t="b">
        <v>0</v>
      </c>
      <c r="BG4" s="76" t="b">
        <v>0</v>
      </c>
      <c r="BH4" s="82" t="str">
        <f>HYPERLINK("https://pbs.twimg.com/profile_banners/341305870/1692723846")</f>
        <v>https://pbs.twimg.com/profile_banners/341305870/1692723846</v>
      </c>
      <c r="BI4" s="76"/>
      <c r="BJ4" s="76" t="s">
        <v>2655</v>
      </c>
      <c r="BK4" s="76" t="b">
        <v>0</v>
      </c>
      <c r="BL4" s="76"/>
      <c r="BM4" s="76" t="s">
        <v>66</v>
      </c>
      <c r="BN4" s="76" t="s">
        <v>2657</v>
      </c>
      <c r="BO4" s="82" t="str">
        <f>HYPERLINK("https://twitter.com/freylev")</f>
        <v>https://twitter.com/freylev</v>
      </c>
      <c r="BP4" s="76" t="str">
        <f>REPLACE(INDEX(GroupVertices[Group],MATCH(Vertices[[#This Row],[Vertex]],GroupVertices[Vertex],0)),1,1,"")</f>
        <v>15</v>
      </c>
      <c r="BQ4" s="45">
        <v>0</v>
      </c>
      <c r="BR4" s="46">
        <v>0</v>
      </c>
      <c r="BS4" s="45">
        <v>1</v>
      </c>
      <c r="BT4" s="46">
        <v>2.380952380952381</v>
      </c>
      <c r="BU4" s="45">
        <v>0</v>
      </c>
      <c r="BV4" s="46">
        <v>0</v>
      </c>
      <c r="BW4" s="45">
        <v>20</v>
      </c>
      <c r="BX4" s="46">
        <v>47.61904761904762</v>
      </c>
      <c r="BY4" s="45">
        <v>42</v>
      </c>
      <c r="BZ4" s="45"/>
      <c r="CA4" s="45"/>
      <c r="CB4" s="45"/>
      <c r="CC4" s="45"/>
      <c r="CD4" s="45"/>
      <c r="CE4" s="45"/>
      <c r="CF4" s="112" t="s">
        <v>11586</v>
      </c>
      <c r="CG4" s="112" t="s">
        <v>11586</v>
      </c>
      <c r="CH4" s="112" t="s">
        <v>11642</v>
      </c>
      <c r="CI4" s="112" t="s">
        <v>11642</v>
      </c>
      <c r="CJ4" s="2"/>
    </row>
    <row r="5" spans="1:88" ht="15">
      <c r="A5" s="61" t="s">
        <v>264</v>
      </c>
      <c r="B5" s="62"/>
      <c r="C5" s="62"/>
      <c r="D5" s="63">
        <v>535</v>
      </c>
      <c r="E5" s="65"/>
      <c r="F5" s="100" t="str">
        <f>HYPERLINK("https://pbs.twimg.com/profile_images/1480514213479071747/pTFddLZS_normal.jpg")</f>
        <v>https://pbs.twimg.com/profile_images/1480514213479071747/pTFddLZS_normal.jpg</v>
      </c>
      <c r="G5" s="62"/>
      <c r="H5" s="66" t="s">
        <v>264</v>
      </c>
      <c r="I5" s="67"/>
      <c r="J5" s="67" t="s">
        <v>159</v>
      </c>
      <c r="K5" s="66" t="s">
        <v>2659</v>
      </c>
      <c r="L5" s="70">
        <v>477.0952380952381</v>
      </c>
      <c r="M5" s="71">
        <v>9112.677734375</v>
      </c>
      <c r="N5" s="71">
        <v>385.9908142089844</v>
      </c>
      <c r="O5" s="72"/>
      <c r="P5" s="73"/>
      <c r="Q5" s="73"/>
      <c r="R5" s="86"/>
      <c r="S5" s="45">
        <v>1</v>
      </c>
      <c r="T5" s="45">
        <v>0</v>
      </c>
      <c r="U5" s="46">
        <v>0</v>
      </c>
      <c r="V5" s="46">
        <v>0.003175</v>
      </c>
      <c r="W5" s="46">
        <v>0</v>
      </c>
      <c r="X5" s="46">
        <v>0.003165</v>
      </c>
      <c r="Y5" s="46">
        <v>0</v>
      </c>
      <c r="Z5" s="46">
        <v>0</v>
      </c>
      <c r="AA5" s="68">
        <v>5</v>
      </c>
      <c r="AB5" s="68"/>
      <c r="AC5" s="69"/>
      <c r="AD5" s="76" t="s">
        <v>1253</v>
      </c>
      <c r="AE5" s="80" t="s">
        <v>1168</v>
      </c>
      <c r="AF5" s="76">
        <v>146624</v>
      </c>
      <c r="AG5" s="76">
        <v>2717</v>
      </c>
      <c r="AH5" s="76">
        <v>189341</v>
      </c>
      <c r="AI5" s="76">
        <v>199</v>
      </c>
      <c r="AJ5" s="76">
        <v>175472</v>
      </c>
      <c r="AK5" s="76">
        <v>13891</v>
      </c>
      <c r="AL5" s="76" t="b">
        <v>0</v>
      </c>
      <c r="AM5" s="78">
        <v>39891.66128472222</v>
      </c>
      <c r="AN5" s="76" t="s">
        <v>1851</v>
      </c>
      <c r="AO5" s="76" t="s">
        <v>2046</v>
      </c>
      <c r="AP5" s="76"/>
      <c r="AQ5" s="76"/>
      <c r="AR5" s="76"/>
      <c r="AS5" s="76"/>
      <c r="AT5" s="76"/>
      <c r="AU5" s="76"/>
      <c r="AV5" s="76">
        <v>1.67222355757155E+18</v>
      </c>
      <c r="AW5" s="76"/>
      <c r="AX5" s="76" t="b">
        <v>1</v>
      </c>
      <c r="AY5" s="76"/>
      <c r="AZ5" s="76"/>
      <c r="BA5" s="76" t="b">
        <v>1</v>
      </c>
      <c r="BB5" s="76" t="b">
        <v>0</v>
      </c>
      <c r="BC5" s="76" t="b">
        <v>0</v>
      </c>
      <c r="BD5" s="76" t="b">
        <v>0</v>
      </c>
      <c r="BE5" s="76" t="b">
        <v>1</v>
      </c>
      <c r="BF5" s="76" t="b">
        <v>0</v>
      </c>
      <c r="BG5" s="76" t="b">
        <v>0</v>
      </c>
      <c r="BH5" s="82" t="str">
        <f>HYPERLINK("https://pbs.twimg.com/profile_banners/25323002/1681168011")</f>
        <v>https://pbs.twimg.com/profile_banners/25323002/1681168011</v>
      </c>
      <c r="BI5" s="76"/>
      <c r="BJ5" s="76" t="s">
        <v>2656</v>
      </c>
      <c r="BK5" s="76" t="b">
        <v>0</v>
      </c>
      <c r="BL5" s="76"/>
      <c r="BM5" s="76" t="s">
        <v>65</v>
      </c>
      <c r="BN5" s="76" t="s">
        <v>2657</v>
      </c>
      <c r="BO5" s="82" t="str">
        <f>HYPERLINK("https://twitter.com/aniabello_r")</f>
        <v>https://twitter.com/aniabello_r</v>
      </c>
      <c r="BP5" s="76" t="str">
        <f>REPLACE(INDEX(GroupVertices[Group],MATCH(Vertices[[#This Row],[Vertex]],GroupVertices[Vertex],0)),1,1,"")</f>
        <v>15</v>
      </c>
      <c r="BQ5" s="45"/>
      <c r="BR5" s="46"/>
      <c r="BS5" s="45"/>
      <c r="BT5" s="46"/>
      <c r="BU5" s="45"/>
      <c r="BV5" s="46"/>
      <c r="BW5" s="45"/>
      <c r="BX5" s="46"/>
      <c r="BY5" s="45"/>
      <c r="BZ5" s="45"/>
      <c r="CA5" s="45"/>
      <c r="CB5" s="45"/>
      <c r="CC5" s="45"/>
      <c r="CD5" s="45"/>
      <c r="CE5" s="45"/>
      <c r="CF5" s="45"/>
      <c r="CG5" s="45"/>
      <c r="CH5" s="45"/>
      <c r="CI5" s="45"/>
      <c r="CJ5" s="2"/>
    </row>
    <row r="6" spans="1:88" ht="15">
      <c r="A6" s="61" t="s">
        <v>224</v>
      </c>
      <c r="B6" s="62"/>
      <c r="C6" s="62"/>
      <c r="D6" s="63">
        <v>535</v>
      </c>
      <c r="E6" s="65"/>
      <c r="F6" s="100" t="str">
        <f>HYPERLINK("https://pbs.twimg.com/profile_images/1163376090229944320/HzsIqwWc_normal.jpg")</f>
        <v>https://pbs.twimg.com/profile_images/1163376090229944320/HzsIqwWc_normal.jpg</v>
      </c>
      <c r="G6" s="62"/>
      <c r="H6" s="66" t="s">
        <v>224</v>
      </c>
      <c r="I6" s="67"/>
      <c r="J6" s="67" t="s">
        <v>159</v>
      </c>
      <c r="K6" s="66" t="s">
        <v>2660</v>
      </c>
      <c r="L6" s="70">
        <v>477.0952380952381</v>
      </c>
      <c r="M6" s="71">
        <v>7756.65478515625</v>
      </c>
      <c r="N6" s="71">
        <v>955.7867431640625</v>
      </c>
      <c r="O6" s="72"/>
      <c r="P6" s="73"/>
      <c r="Q6" s="73"/>
      <c r="R6" s="86"/>
      <c r="S6" s="45">
        <v>1</v>
      </c>
      <c r="T6" s="45">
        <v>1</v>
      </c>
      <c r="U6" s="46">
        <v>0</v>
      </c>
      <c r="V6" s="46">
        <v>0</v>
      </c>
      <c r="W6" s="46">
        <v>0</v>
      </c>
      <c r="X6" s="46">
        <v>0.003165</v>
      </c>
      <c r="Y6" s="46">
        <v>0</v>
      </c>
      <c r="Z6" s="46">
        <v>0</v>
      </c>
      <c r="AA6" s="68">
        <v>6</v>
      </c>
      <c r="AB6" s="68"/>
      <c r="AC6" s="69"/>
      <c r="AD6" s="76" t="s">
        <v>1254</v>
      </c>
      <c r="AE6" s="80" t="s">
        <v>1567</v>
      </c>
      <c r="AF6" s="76">
        <v>295</v>
      </c>
      <c r="AG6" s="76">
        <v>209</v>
      </c>
      <c r="AH6" s="76">
        <v>1351</v>
      </c>
      <c r="AI6" s="76">
        <v>43</v>
      </c>
      <c r="AJ6" s="76">
        <v>2680</v>
      </c>
      <c r="AK6" s="76">
        <v>387</v>
      </c>
      <c r="AL6" s="76" t="b">
        <v>0</v>
      </c>
      <c r="AM6" s="78">
        <v>39513.42046296296</v>
      </c>
      <c r="AN6" s="76" t="s">
        <v>1852</v>
      </c>
      <c r="AO6" s="76" t="s">
        <v>2047</v>
      </c>
      <c r="AP6" s="82" t="str">
        <f>HYPERLINK("https://t.co/8V1HxURXNN")</f>
        <v>https://t.co/8V1HxURXNN</v>
      </c>
      <c r="AQ6" s="82" t="str">
        <f>HYPERLINK("https://mastodon.gougere.fr/@mich")</f>
        <v>https://mastodon.gougere.fr/@mich</v>
      </c>
      <c r="AR6" s="76" t="s">
        <v>2349</v>
      </c>
      <c r="AS6" s="76"/>
      <c r="AT6" s="76"/>
      <c r="AU6" s="76"/>
      <c r="AV6" s="76"/>
      <c r="AW6" s="82" t="str">
        <f>HYPERLINK("https://t.co/8V1HxURXNN")</f>
        <v>https://t.co/8V1HxURXNN</v>
      </c>
      <c r="AX6" s="76" t="b">
        <v>0</v>
      </c>
      <c r="AY6" s="76"/>
      <c r="AZ6" s="76"/>
      <c r="BA6" s="76" t="b">
        <v>0</v>
      </c>
      <c r="BB6" s="76" t="b">
        <v>1</v>
      </c>
      <c r="BC6" s="76" t="b">
        <v>0</v>
      </c>
      <c r="BD6" s="76" t="b">
        <v>0</v>
      </c>
      <c r="BE6" s="76" t="b">
        <v>1</v>
      </c>
      <c r="BF6" s="76" t="b">
        <v>0</v>
      </c>
      <c r="BG6" s="76" t="b">
        <v>0</v>
      </c>
      <c r="BH6" s="82" t="str">
        <f>HYPERLINK("https://pbs.twimg.com/profile_banners/14087862/1643398307")</f>
        <v>https://pbs.twimg.com/profile_banners/14087862/1643398307</v>
      </c>
      <c r="BI6" s="76"/>
      <c r="BJ6" s="76" t="s">
        <v>2656</v>
      </c>
      <c r="BK6" s="76" t="b">
        <v>0</v>
      </c>
      <c r="BL6" s="76"/>
      <c r="BM6" s="76" t="s">
        <v>66</v>
      </c>
      <c r="BN6" s="76" t="s">
        <v>2657</v>
      </c>
      <c r="BO6" s="82" t="str">
        <f>HYPERLINK("https://twitter.com/michbsd")</f>
        <v>https://twitter.com/michbsd</v>
      </c>
      <c r="BP6" s="76" t="str">
        <f>REPLACE(INDEX(GroupVertices[Group],MATCH(Vertices[[#This Row],[Vertex]],GroupVertices[Vertex],0)),1,1,"")</f>
        <v>11</v>
      </c>
      <c r="BQ6" s="45">
        <v>1</v>
      </c>
      <c r="BR6" s="46">
        <v>2.7777777777777777</v>
      </c>
      <c r="BS6" s="45">
        <v>0</v>
      </c>
      <c r="BT6" s="46">
        <v>0</v>
      </c>
      <c r="BU6" s="45">
        <v>0</v>
      </c>
      <c r="BV6" s="46">
        <v>0</v>
      </c>
      <c r="BW6" s="45">
        <v>18</v>
      </c>
      <c r="BX6" s="46">
        <v>50</v>
      </c>
      <c r="BY6" s="45">
        <v>36</v>
      </c>
      <c r="BZ6" s="45" t="s">
        <v>11537</v>
      </c>
      <c r="CA6" s="45" t="s">
        <v>11537</v>
      </c>
      <c r="CB6" s="45" t="s">
        <v>732</v>
      </c>
      <c r="CC6" s="45" t="s">
        <v>732</v>
      </c>
      <c r="CD6" s="45" t="s">
        <v>667</v>
      </c>
      <c r="CE6" s="45" t="s">
        <v>667</v>
      </c>
      <c r="CF6" s="112" t="s">
        <v>11587</v>
      </c>
      <c r="CG6" s="112" t="s">
        <v>11587</v>
      </c>
      <c r="CH6" s="112" t="s">
        <v>11643</v>
      </c>
      <c r="CI6" s="112" t="s">
        <v>11643</v>
      </c>
      <c r="CJ6" s="2"/>
    </row>
    <row r="7" spans="1:88" ht="15">
      <c r="A7" s="61" t="s">
        <v>225</v>
      </c>
      <c r="B7" s="62"/>
      <c r="C7" s="62"/>
      <c r="D7" s="63">
        <v>70</v>
      </c>
      <c r="E7" s="65"/>
      <c r="F7" s="100" t="str">
        <f>HYPERLINK("https://pbs.twimg.com/profile_images/1298951216286887937/Y044MYp2_normal.jpg")</f>
        <v>https://pbs.twimg.com/profile_images/1298951216286887937/Y044MYp2_normal.jpg</v>
      </c>
      <c r="G7" s="62"/>
      <c r="H7" s="66" t="s">
        <v>225</v>
      </c>
      <c r="I7" s="67"/>
      <c r="J7" s="67" t="s">
        <v>159</v>
      </c>
      <c r="K7" s="66" t="s">
        <v>2661</v>
      </c>
      <c r="L7" s="70">
        <v>1</v>
      </c>
      <c r="M7" s="71">
        <v>1514.1468505859375</v>
      </c>
      <c r="N7" s="71">
        <v>4161.78857421875</v>
      </c>
      <c r="O7" s="72"/>
      <c r="P7" s="73"/>
      <c r="Q7" s="73"/>
      <c r="R7" s="86"/>
      <c r="S7" s="45">
        <v>0</v>
      </c>
      <c r="T7" s="45">
        <v>1</v>
      </c>
      <c r="U7" s="46">
        <v>0</v>
      </c>
      <c r="V7" s="46">
        <v>0.30765</v>
      </c>
      <c r="W7" s="46">
        <v>0.05663</v>
      </c>
      <c r="X7" s="46">
        <v>0.00275</v>
      </c>
      <c r="Y7" s="46">
        <v>0</v>
      </c>
      <c r="Z7" s="46">
        <v>0</v>
      </c>
      <c r="AA7" s="68">
        <v>7</v>
      </c>
      <c r="AB7" s="68"/>
      <c r="AC7" s="69"/>
      <c r="AD7" s="76" t="s">
        <v>1255</v>
      </c>
      <c r="AE7" s="80" t="s">
        <v>1201</v>
      </c>
      <c r="AF7" s="76">
        <v>838</v>
      </c>
      <c r="AG7" s="76">
        <v>1367</v>
      </c>
      <c r="AH7" s="76">
        <v>6727</v>
      </c>
      <c r="AI7" s="76">
        <v>6</v>
      </c>
      <c r="AJ7" s="76">
        <v>92753</v>
      </c>
      <c r="AK7" s="76">
        <v>1120</v>
      </c>
      <c r="AL7" s="76" t="b">
        <v>0</v>
      </c>
      <c r="AM7" s="78">
        <v>44070.49120370371</v>
      </c>
      <c r="AN7" s="76"/>
      <c r="AO7" s="76" t="s">
        <v>2048</v>
      </c>
      <c r="AP7" s="76"/>
      <c r="AQ7" s="76"/>
      <c r="AR7" s="76"/>
      <c r="AS7" s="76"/>
      <c r="AT7" s="76"/>
      <c r="AU7" s="76"/>
      <c r="AV7" s="76">
        <v>1.60367020182799E+18</v>
      </c>
      <c r="AW7" s="76"/>
      <c r="AX7" s="76" t="b">
        <v>0</v>
      </c>
      <c r="AY7" s="76"/>
      <c r="AZ7" s="76"/>
      <c r="BA7" s="76" t="b">
        <v>1</v>
      </c>
      <c r="BB7" s="76" t="b">
        <v>1</v>
      </c>
      <c r="BC7" s="76" t="b">
        <v>1</v>
      </c>
      <c r="BD7" s="76" t="b">
        <v>0</v>
      </c>
      <c r="BE7" s="76" t="b">
        <v>1</v>
      </c>
      <c r="BF7" s="76" t="b">
        <v>0</v>
      </c>
      <c r="BG7" s="76" t="b">
        <v>0</v>
      </c>
      <c r="BH7" s="82" t="str">
        <f>HYPERLINK("https://pbs.twimg.com/profile_banners/1298950155731898369/1598817858")</f>
        <v>https://pbs.twimg.com/profile_banners/1298950155731898369/1598817858</v>
      </c>
      <c r="BI7" s="76"/>
      <c r="BJ7" s="76" t="s">
        <v>2656</v>
      </c>
      <c r="BK7" s="76" t="b">
        <v>0</v>
      </c>
      <c r="BL7" s="76"/>
      <c r="BM7" s="76" t="s">
        <v>66</v>
      </c>
      <c r="BN7" s="76" t="s">
        <v>2657</v>
      </c>
      <c r="BO7" s="82" t="str">
        <f>HYPERLINK("https://twitter.com/anttigronow")</f>
        <v>https://twitter.com/anttigronow</v>
      </c>
      <c r="BP7" s="76" t="str">
        <f>REPLACE(INDEX(GroupVertices[Group],MATCH(Vertices[[#This Row],[Vertex]],GroupVertices[Vertex],0)),1,1,"")</f>
        <v>1</v>
      </c>
      <c r="BQ7" s="45">
        <v>0</v>
      </c>
      <c r="BR7" s="46">
        <v>0</v>
      </c>
      <c r="BS7" s="45">
        <v>0</v>
      </c>
      <c r="BT7" s="46">
        <v>0</v>
      </c>
      <c r="BU7" s="45">
        <v>0</v>
      </c>
      <c r="BV7" s="46">
        <v>0</v>
      </c>
      <c r="BW7" s="45">
        <v>12</v>
      </c>
      <c r="BX7" s="46">
        <v>100</v>
      </c>
      <c r="BY7" s="45">
        <v>12</v>
      </c>
      <c r="BZ7" s="45"/>
      <c r="CA7" s="45"/>
      <c r="CB7" s="45"/>
      <c r="CC7" s="45"/>
      <c r="CD7" s="45"/>
      <c r="CE7" s="45"/>
      <c r="CF7" s="112" t="s">
        <v>11588</v>
      </c>
      <c r="CG7" s="112" t="s">
        <v>11588</v>
      </c>
      <c r="CH7" s="112" t="s">
        <v>11644</v>
      </c>
      <c r="CI7" s="112" t="s">
        <v>11644</v>
      </c>
      <c r="CJ7" s="2"/>
    </row>
    <row r="8" spans="1:88" ht="15">
      <c r="A8" s="61" t="s">
        <v>229</v>
      </c>
      <c r="B8" s="62"/>
      <c r="C8" s="62"/>
      <c r="D8" s="63">
        <v>1000</v>
      </c>
      <c r="E8" s="65"/>
      <c r="F8" s="100" t="str">
        <f>HYPERLINK("https://pbs.twimg.com/profile_images/1663227887837757440/XOjtFF4W_normal.jpg")</f>
        <v>https://pbs.twimg.com/profile_images/1663227887837757440/XOjtFF4W_normal.jpg</v>
      </c>
      <c r="G8" s="62"/>
      <c r="H8" s="66" t="s">
        <v>229</v>
      </c>
      <c r="I8" s="67"/>
      <c r="J8" s="67" t="s">
        <v>159</v>
      </c>
      <c r="K8" s="66" t="s">
        <v>2662</v>
      </c>
      <c r="L8" s="70">
        <v>2381.4761904761904</v>
      </c>
      <c r="M8" s="71">
        <v>2151.501220703125</v>
      </c>
      <c r="N8" s="71">
        <v>6394.80126953125</v>
      </c>
      <c r="O8" s="72"/>
      <c r="P8" s="73"/>
      <c r="Q8" s="73"/>
      <c r="R8" s="86"/>
      <c r="S8" s="45">
        <v>5</v>
      </c>
      <c r="T8" s="45">
        <v>103</v>
      </c>
      <c r="U8" s="46">
        <v>49065.217265</v>
      </c>
      <c r="V8" s="46">
        <v>0.4574</v>
      </c>
      <c r="W8" s="46">
        <v>0.63039</v>
      </c>
      <c r="X8" s="46">
        <v>0.041454</v>
      </c>
      <c r="Y8" s="46">
        <v>0.001237388159147154</v>
      </c>
      <c r="Z8" s="46">
        <v>0.02912621359223301</v>
      </c>
      <c r="AA8" s="68">
        <v>8</v>
      </c>
      <c r="AB8" s="68"/>
      <c r="AC8" s="69"/>
      <c r="AD8" s="76" t="s">
        <v>1256</v>
      </c>
      <c r="AE8" s="80" t="s">
        <v>1169</v>
      </c>
      <c r="AF8" s="76">
        <v>1413</v>
      </c>
      <c r="AG8" s="76">
        <v>1456</v>
      </c>
      <c r="AH8" s="76">
        <v>20616</v>
      </c>
      <c r="AI8" s="76">
        <v>18</v>
      </c>
      <c r="AJ8" s="76">
        <v>8060</v>
      </c>
      <c r="AK8" s="76">
        <v>1281</v>
      </c>
      <c r="AL8" s="76" t="b">
        <v>0</v>
      </c>
      <c r="AM8" s="78">
        <v>39885.88582175926</v>
      </c>
      <c r="AN8" s="76" t="s">
        <v>1853</v>
      </c>
      <c r="AO8" s="76"/>
      <c r="AP8" s="82" t="str">
        <f>HYPERLINK("https://t.co/SBmGmVLx7S")</f>
        <v>https://t.co/SBmGmVLx7S</v>
      </c>
      <c r="AQ8" s="82" t="str">
        <f>HYPERLINK("https://fierbmi.com/")</f>
        <v>https://fierbmi.com/</v>
      </c>
      <c r="AR8" s="76" t="s">
        <v>2350</v>
      </c>
      <c r="AS8" s="76"/>
      <c r="AT8" s="76"/>
      <c r="AU8" s="76"/>
      <c r="AV8" s="76"/>
      <c r="AW8" s="82" t="str">
        <f>HYPERLINK("https://t.co/SBmGmVLx7S")</f>
        <v>https://t.co/SBmGmVLx7S</v>
      </c>
      <c r="AX8" s="76" t="b">
        <v>0</v>
      </c>
      <c r="AY8" s="76" t="b">
        <v>1</v>
      </c>
      <c r="AZ8" s="76" t="b">
        <v>1</v>
      </c>
      <c r="BA8" s="76" t="b">
        <v>1</v>
      </c>
      <c r="BB8" s="76" t="b">
        <v>1</v>
      </c>
      <c r="BC8" s="76" t="b">
        <v>0</v>
      </c>
      <c r="BD8" s="76" t="b">
        <v>0</v>
      </c>
      <c r="BE8" s="76" t="b">
        <v>1</v>
      </c>
      <c r="BF8" s="76" t="b">
        <v>0</v>
      </c>
      <c r="BG8" s="76" t="b">
        <v>0</v>
      </c>
      <c r="BH8" s="82" t="str">
        <f>HYPERLINK("https://pbs.twimg.com/profile_banners/24256031/1690624446")</f>
        <v>https://pbs.twimg.com/profile_banners/24256031/1690624446</v>
      </c>
      <c r="BI8" s="76"/>
      <c r="BJ8" s="76" t="s">
        <v>2656</v>
      </c>
      <c r="BK8" s="76" t="b">
        <v>1</v>
      </c>
      <c r="BL8" s="76"/>
      <c r="BM8" s="76" t="s">
        <v>66</v>
      </c>
      <c r="BN8" s="76" t="s">
        <v>2657</v>
      </c>
      <c r="BO8" s="82" t="str">
        <f>HYPERLINK("https://twitter.com/mihkal")</f>
        <v>https://twitter.com/mihkal</v>
      </c>
      <c r="BP8" s="76" t="str">
        <f>REPLACE(INDEX(GroupVertices[Group],MATCH(Vertices[[#This Row],[Vertex]],GroupVertices[Vertex],0)),1,1,"")</f>
        <v>1</v>
      </c>
      <c r="BQ8" s="45">
        <v>13</v>
      </c>
      <c r="BR8" s="46">
        <v>2.8508771929824563</v>
      </c>
      <c r="BS8" s="45">
        <v>0</v>
      </c>
      <c r="BT8" s="46">
        <v>0</v>
      </c>
      <c r="BU8" s="45">
        <v>0</v>
      </c>
      <c r="BV8" s="46">
        <v>0</v>
      </c>
      <c r="BW8" s="45">
        <v>413</v>
      </c>
      <c r="BX8" s="46">
        <v>90.5701754385965</v>
      </c>
      <c r="BY8" s="45">
        <v>456</v>
      </c>
      <c r="BZ8" s="45" t="s">
        <v>11538</v>
      </c>
      <c r="CA8" s="45" t="s">
        <v>11548</v>
      </c>
      <c r="CB8" s="45" t="s">
        <v>11555</v>
      </c>
      <c r="CC8" s="45" t="s">
        <v>11558</v>
      </c>
      <c r="CD8" s="45" t="s">
        <v>11562</v>
      </c>
      <c r="CE8" s="45" t="s">
        <v>11571</v>
      </c>
      <c r="CF8" s="112" t="s">
        <v>11589</v>
      </c>
      <c r="CG8" s="112" t="s">
        <v>11627</v>
      </c>
      <c r="CH8" s="112" t="s">
        <v>11645</v>
      </c>
      <c r="CI8" s="112" t="s">
        <v>11682</v>
      </c>
      <c r="CJ8" s="2"/>
    </row>
    <row r="9" spans="1:88" ht="15">
      <c r="A9" s="61" t="s">
        <v>226</v>
      </c>
      <c r="B9" s="62"/>
      <c r="C9" s="62"/>
      <c r="D9" s="63">
        <v>535</v>
      </c>
      <c r="E9" s="65"/>
      <c r="F9" s="100" t="str">
        <f>HYPERLINK("https://pbs.twimg.com/profile_images/1673635551541428224/F1spWyZM_normal.jpg")</f>
        <v>https://pbs.twimg.com/profile_images/1673635551541428224/F1spWyZM_normal.jpg</v>
      </c>
      <c r="G9" s="62"/>
      <c r="H9" s="66" t="s">
        <v>226</v>
      </c>
      <c r="I9" s="67"/>
      <c r="J9" s="67" t="s">
        <v>159</v>
      </c>
      <c r="K9" s="66" t="s">
        <v>2663</v>
      </c>
      <c r="L9" s="70">
        <v>477.0952380952381</v>
      </c>
      <c r="M9" s="71">
        <v>5940.10400390625</v>
      </c>
      <c r="N9" s="71">
        <v>8322.697265625</v>
      </c>
      <c r="O9" s="72"/>
      <c r="P9" s="73"/>
      <c r="Q9" s="73"/>
      <c r="R9" s="86"/>
      <c r="S9" s="45">
        <v>1</v>
      </c>
      <c r="T9" s="45">
        <v>12</v>
      </c>
      <c r="U9" s="46">
        <v>63</v>
      </c>
      <c r="V9" s="46">
        <v>0.319387</v>
      </c>
      <c r="W9" s="46">
        <v>0.058831</v>
      </c>
      <c r="X9" s="46">
        <v>0.004753</v>
      </c>
      <c r="Y9" s="46">
        <v>0.1</v>
      </c>
      <c r="Z9" s="46">
        <v>0</v>
      </c>
      <c r="AA9" s="68">
        <v>9</v>
      </c>
      <c r="AB9" s="68"/>
      <c r="AC9" s="69"/>
      <c r="AD9" s="76" t="s">
        <v>1257</v>
      </c>
      <c r="AE9" s="80" t="s">
        <v>1170</v>
      </c>
      <c r="AF9" s="76">
        <v>210</v>
      </c>
      <c r="AG9" s="76">
        <v>1341</v>
      </c>
      <c r="AH9" s="76">
        <v>57700</v>
      </c>
      <c r="AI9" s="76">
        <v>4</v>
      </c>
      <c r="AJ9" s="76">
        <v>2243</v>
      </c>
      <c r="AK9" s="76">
        <v>14848</v>
      </c>
      <c r="AL9" s="76" t="b">
        <v>0</v>
      </c>
      <c r="AM9" s="78">
        <v>40925.74978009259</v>
      </c>
      <c r="AN9" s="76" t="s">
        <v>1854</v>
      </c>
      <c r="AO9" s="76" t="s">
        <v>2049</v>
      </c>
      <c r="AP9" s="76"/>
      <c r="AQ9" s="76"/>
      <c r="AR9" s="76"/>
      <c r="AS9" s="76"/>
      <c r="AT9" s="76"/>
      <c r="AU9" s="76"/>
      <c r="AV9" s="76">
        <v>1.69954473789041E+18</v>
      </c>
      <c r="AW9" s="76"/>
      <c r="AX9" s="76" t="b">
        <v>0</v>
      </c>
      <c r="AY9" s="76"/>
      <c r="AZ9" s="76"/>
      <c r="BA9" s="76" t="b">
        <v>0</v>
      </c>
      <c r="BB9" s="76" t="b">
        <v>1</v>
      </c>
      <c r="BC9" s="76" t="b">
        <v>0</v>
      </c>
      <c r="BD9" s="76" t="b">
        <v>0</v>
      </c>
      <c r="BE9" s="76" t="b">
        <v>1</v>
      </c>
      <c r="BF9" s="76" t="b">
        <v>0</v>
      </c>
      <c r="BG9" s="76" t="b">
        <v>0</v>
      </c>
      <c r="BH9" s="82" t="str">
        <f>HYPERLINK("https://pbs.twimg.com/profile_banners/466698672/1687860786")</f>
        <v>https://pbs.twimg.com/profile_banners/466698672/1687860786</v>
      </c>
      <c r="BI9" s="76"/>
      <c r="BJ9" s="76" t="s">
        <v>2656</v>
      </c>
      <c r="BK9" s="76" t="b">
        <v>0</v>
      </c>
      <c r="BL9" s="76"/>
      <c r="BM9" s="76" t="s">
        <v>66</v>
      </c>
      <c r="BN9" s="76" t="s">
        <v>2657</v>
      </c>
      <c r="BO9" s="82" t="str">
        <f>HYPERLINK("https://twitter.com/nassimretiere")</f>
        <v>https://twitter.com/nassimretiere</v>
      </c>
      <c r="BP9" s="76" t="str">
        <f>REPLACE(INDEX(GroupVertices[Group],MATCH(Vertices[[#This Row],[Vertex]],GroupVertices[Vertex],0)),1,1,"")</f>
        <v>2</v>
      </c>
      <c r="BQ9" s="45">
        <v>1</v>
      </c>
      <c r="BR9" s="46">
        <v>1.8518518518518519</v>
      </c>
      <c r="BS9" s="45">
        <v>0</v>
      </c>
      <c r="BT9" s="46">
        <v>0</v>
      </c>
      <c r="BU9" s="45">
        <v>0</v>
      </c>
      <c r="BV9" s="46">
        <v>0</v>
      </c>
      <c r="BW9" s="45">
        <v>37</v>
      </c>
      <c r="BX9" s="46">
        <v>68.51851851851852</v>
      </c>
      <c r="BY9" s="45">
        <v>54</v>
      </c>
      <c r="BZ9" s="45" t="s">
        <v>11266</v>
      </c>
      <c r="CA9" s="45" t="s">
        <v>11266</v>
      </c>
      <c r="CB9" s="45" t="s">
        <v>733</v>
      </c>
      <c r="CC9" s="45" t="s">
        <v>733</v>
      </c>
      <c r="CD9" s="45" t="s">
        <v>668</v>
      </c>
      <c r="CE9" s="45" t="s">
        <v>11572</v>
      </c>
      <c r="CF9" s="112" t="s">
        <v>11590</v>
      </c>
      <c r="CG9" s="112" t="s">
        <v>11590</v>
      </c>
      <c r="CH9" s="112" t="s">
        <v>11646</v>
      </c>
      <c r="CI9" s="112" t="s">
        <v>11646</v>
      </c>
      <c r="CJ9" s="2"/>
    </row>
    <row r="10" spans="1:88" ht="15">
      <c r="A10" s="61" t="s">
        <v>265</v>
      </c>
      <c r="B10" s="62"/>
      <c r="C10" s="62"/>
      <c r="D10" s="63">
        <v>1000</v>
      </c>
      <c r="E10" s="65"/>
      <c r="F10" s="100" t="str">
        <f>HYPERLINK("https://pbs.twimg.com/profile_images/1443691307755393024/i98CsVU7_normal.jpg")</f>
        <v>https://pbs.twimg.com/profile_images/1443691307755393024/i98CsVU7_normal.jpg</v>
      </c>
      <c r="G10" s="62"/>
      <c r="H10" s="66" t="s">
        <v>265</v>
      </c>
      <c r="I10" s="67"/>
      <c r="J10" s="67" t="s">
        <v>159</v>
      </c>
      <c r="K10" s="66" t="s">
        <v>2664</v>
      </c>
      <c r="L10" s="70">
        <v>953.1904761904761</v>
      </c>
      <c r="M10" s="71">
        <v>5850.140625</v>
      </c>
      <c r="N10" s="71">
        <v>7489.1806640625</v>
      </c>
      <c r="O10" s="72"/>
      <c r="P10" s="73"/>
      <c r="Q10" s="73"/>
      <c r="R10" s="86"/>
      <c r="S10" s="45">
        <v>2</v>
      </c>
      <c r="T10" s="45">
        <v>0</v>
      </c>
      <c r="U10" s="46">
        <v>0</v>
      </c>
      <c r="V10" s="46">
        <v>0.315017</v>
      </c>
      <c r="W10" s="46">
        <v>0.030511</v>
      </c>
      <c r="X10" s="46">
        <v>0.002792</v>
      </c>
      <c r="Y10" s="46">
        <v>0.5</v>
      </c>
      <c r="Z10" s="46">
        <v>0</v>
      </c>
      <c r="AA10" s="68">
        <v>10</v>
      </c>
      <c r="AB10" s="68"/>
      <c r="AC10" s="69"/>
      <c r="AD10" s="76" t="s">
        <v>1258</v>
      </c>
      <c r="AE10" s="80" t="s">
        <v>1568</v>
      </c>
      <c r="AF10" s="76">
        <v>466</v>
      </c>
      <c r="AG10" s="76">
        <v>189</v>
      </c>
      <c r="AH10" s="76">
        <v>257</v>
      </c>
      <c r="AI10" s="76">
        <v>23</v>
      </c>
      <c r="AJ10" s="76">
        <v>102</v>
      </c>
      <c r="AK10" s="76">
        <v>100</v>
      </c>
      <c r="AL10" s="76" t="b">
        <v>0</v>
      </c>
      <c r="AM10" s="78">
        <v>41131.98395833333</v>
      </c>
      <c r="AN10" s="76"/>
      <c r="AO10" s="76" t="s">
        <v>2050</v>
      </c>
      <c r="AP10" s="82" t="str">
        <f>HYPERLINK("https://t.co/3OjUPt2frB")</f>
        <v>https://t.co/3OjUPt2frB</v>
      </c>
      <c r="AQ10" s="82" t="str">
        <f>HYPERLINK("http://aejmc.us/end/")</f>
        <v>http://aejmc.us/end/</v>
      </c>
      <c r="AR10" s="76" t="s">
        <v>2351</v>
      </c>
      <c r="AS10" s="76"/>
      <c r="AT10" s="76"/>
      <c r="AU10" s="76"/>
      <c r="AV10" s="76"/>
      <c r="AW10" s="82" t="str">
        <f>HYPERLINK("https://t.co/3OjUPt2frB")</f>
        <v>https://t.co/3OjUPt2frB</v>
      </c>
      <c r="AX10" s="76" t="b">
        <v>0</v>
      </c>
      <c r="AY10" s="76"/>
      <c r="AZ10" s="76"/>
      <c r="BA10" s="76" t="b">
        <v>0</v>
      </c>
      <c r="BB10" s="76" t="b">
        <v>1</v>
      </c>
      <c r="BC10" s="76" t="b">
        <v>0</v>
      </c>
      <c r="BD10" s="76" t="b">
        <v>0</v>
      </c>
      <c r="BE10" s="76" t="b">
        <v>0</v>
      </c>
      <c r="BF10" s="76" t="b">
        <v>0</v>
      </c>
      <c r="BG10" s="76" t="b">
        <v>0</v>
      </c>
      <c r="BH10" s="82" t="str">
        <f>HYPERLINK("https://pbs.twimg.com/profile_banners/750260209/1659365354")</f>
        <v>https://pbs.twimg.com/profile_banners/750260209/1659365354</v>
      </c>
      <c r="BI10" s="76"/>
      <c r="BJ10" s="76" t="s">
        <v>2656</v>
      </c>
      <c r="BK10" s="76" t="b">
        <v>0</v>
      </c>
      <c r="BL10" s="76"/>
      <c r="BM10" s="76" t="s">
        <v>65</v>
      </c>
      <c r="BN10" s="76" t="s">
        <v>2657</v>
      </c>
      <c r="BO10" s="82" t="str">
        <f>HYPERLINK("https://twitter.com/aejmc_bamj")</f>
        <v>https://twitter.com/aejmc_bamj</v>
      </c>
      <c r="BP10" s="76" t="str">
        <f>REPLACE(INDEX(GroupVertices[Group],MATCH(Vertices[[#This Row],[Vertex]],GroupVertices[Vertex],0)),1,1,"")</f>
        <v>2</v>
      </c>
      <c r="BQ10" s="45"/>
      <c r="BR10" s="46"/>
      <c r="BS10" s="45"/>
      <c r="BT10" s="46"/>
      <c r="BU10" s="45"/>
      <c r="BV10" s="46"/>
      <c r="BW10" s="45"/>
      <c r="BX10" s="46"/>
      <c r="BY10" s="45"/>
      <c r="BZ10" s="45"/>
      <c r="CA10" s="45"/>
      <c r="CB10" s="45"/>
      <c r="CC10" s="45"/>
      <c r="CD10" s="45"/>
      <c r="CE10" s="45"/>
      <c r="CF10" s="45"/>
      <c r="CG10" s="45"/>
      <c r="CH10" s="45"/>
      <c r="CI10" s="45"/>
      <c r="CJ10" s="2"/>
    </row>
    <row r="11" spans="1:88" ht="15">
      <c r="A11" s="61" t="s">
        <v>266</v>
      </c>
      <c r="B11" s="62"/>
      <c r="C11" s="62"/>
      <c r="D11" s="63">
        <v>1000</v>
      </c>
      <c r="E11" s="65"/>
      <c r="F11" s="100" t="str">
        <f>HYPERLINK("https://pbs.twimg.com/profile_images/1458625734755467267/kJpsq-7m_normal.jpg")</f>
        <v>https://pbs.twimg.com/profile_images/1458625734755467267/kJpsq-7m_normal.jpg</v>
      </c>
      <c r="G11" s="62"/>
      <c r="H11" s="66" t="s">
        <v>266</v>
      </c>
      <c r="I11" s="67"/>
      <c r="J11" s="67" t="s">
        <v>159</v>
      </c>
      <c r="K11" s="66" t="s">
        <v>2665</v>
      </c>
      <c r="L11" s="70">
        <v>953.1904761904761</v>
      </c>
      <c r="M11" s="71">
        <v>6140.8779296875</v>
      </c>
      <c r="N11" s="71">
        <v>9020.7841796875</v>
      </c>
      <c r="O11" s="72"/>
      <c r="P11" s="73"/>
      <c r="Q11" s="73"/>
      <c r="R11" s="86"/>
      <c r="S11" s="45">
        <v>2</v>
      </c>
      <c r="T11" s="45">
        <v>0</v>
      </c>
      <c r="U11" s="46">
        <v>0</v>
      </c>
      <c r="V11" s="46">
        <v>0.315017</v>
      </c>
      <c r="W11" s="46">
        <v>0.030511</v>
      </c>
      <c r="X11" s="46">
        <v>0.002792</v>
      </c>
      <c r="Y11" s="46">
        <v>0.5</v>
      </c>
      <c r="Z11" s="46">
        <v>0</v>
      </c>
      <c r="AA11" s="68">
        <v>11</v>
      </c>
      <c r="AB11" s="68"/>
      <c r="AC11" s="69"/>
      <c r="AD11" s="76" t="s">
        <v>1259</v>
      </c>
      <c r="AE11" s="80" t="s">
        <v>1569</v>
      </c>
      <c r="AF11" s="76">
        <v>947</v>
      </c>
      <c r="AG11" s="76">
        <v>870</v>
      </c>
      <c r="AH11" s="76">
        <v>1270</v>
      </c>
      <c r="AI11" s="76">
        <v>11</v>
      </c>
      <c r="AJ11" s="76">
        <v>701</v>
      </c>
      <c r="AK11" s="76">
        <v>222</v>
      </c>
      <c r="AL11" s="76" t="b">
        <v>0</v>
      </c>
      <c r="AM11" s="78">
        <v>43359.929814814815</v>
      </c>
      <c r="AN11" s="76" t="s">
        <v>996</v>
      </c>
      <c r="AO11" s="76" t="s">
        <v>2051</v>
      </c>
      <c r="AP11" s="82" t="str">
        <f>HYPERLINK("https://t.co/KNGu49BZgu")</f>
        <v>https://t.co/KNGu49BZgu</v>
      </c>
      <c r="AQ11" s="82" t="str">
        <f>HYPERLINK("https://aejmc.us/comsher/")</f>
        <v>https://aejmc.us/comsher/</v>
      </c>
      <c r="AR11" s="76" t="s">
        <v>2352</v>
      </c>
      <c r="AS11" s="76"/>
      <c r="AT11" s="76"/>
      <c r="AU11" s="76"/>
      <c r="AV11" s="76"/>
      <c r="AW11" s="82" t="str">
        <f>HYPERLINK("https://t.co/KNGu49BZgu")</f>
        <v>https://t.co/KNGu49BZgu</v>
      </c>
      <c r="AX11" s="76" t="b">
        <v>0</v>
      </c>
      <c r="AY11" s="76"/>
      <c r="AZ11" s="76"/>
      <c r="BA11" s="76" t="b">
        <v>0</v>
      </c>
      <c r="BB11" s="76" t="b">
        <v>1</v>
      </c>
      <c r="BC11" s="76" t="b">
        <v>1</v>
      </c>
      <c r="BD11" s="76" t="b">
        <v>0</v>
      </c>
      <c r="BE11" s="76" t="b">
        <v>1</v>
      </c>
      <c r="BF11" s="76" t="b">
        <v>0</v>
      </c>
      <c r="BG11" s="76" t="b">
        <v>0</v>
      </c>
      <c r="BH11" s="82" t="str">
        <f>HYPERLINK("https://pbs.twimg.com/profile_banners/1041451392790155269/1592866587")</f>
        <v>https://pbs.twimg.com/profile_banners/1041451392790155269/1592866587</v>
      </c>
      <c r="BI11" s="76"/>
      <c r="BJ11" s="76" t="s">
        <v>2656</v>
      </c>
      <c r="BK11" s="76" t="b">
        <v>0</v>
      </c>
      <c r="BL11" s="76"/>
      <c r="BM11" s="76" t="s">
        <v>65</v>
      </c>
      <c r="BN11" s="76" t="s">
        <v>2657</v>
      </c>
      <c r="BO11" s="82" t="str">
        <f>HYPERLINK("https://twitter.com/aejmc_comsher")</f>
        <v>https://twitter.com/aejmc_comsher</v>
      </c>
      <c r="BP11" s="76" t="str">
        <f>REPLACE(INDEX(GroupVertices[Group],MATCH(Vertices[[#This Row],[Vertex]],GroupVertices[Vertex],0)),1,1,"")</f>
        <v>2</v>
      </c>
      <c r="BQ11" s="45"/>
      <c r="BR11" s="46"/>
      <c r="BS11" s="45"/>
      <c r="BT11" s="46"/>
      <c r="BU11" s="45"/>
      <c r="BV11" s="46"/>
      <c r="BW11" s="45"/>
      <c r="BX11" s="46"/>
      <c r="BY11" s="45"/>
      <c r="BZ11" s="45"/>
      <c r="CA11" s="45"/>
      <c r="CB11" s="45"/>
      <c r="CC11" s="45"/>
      <c r="CD11" s="45"/>
      <c r="CE11" s="45"/>
      <c r="CF11" s="45"/>
      <c r="CG11" s="45"/>
      <c r="CH11" s="45"/>
      <c r="CI11" s="45"/>
      <c r="CJ11" s="2"/>
    </row>
    <row r="12" spans="1:88" ht="15">
      <c r="A12" s="61" t="s">
        <v>267</v>
      </c>
      <c r="B12" s="62"/>
      <c r="C12" s="62"/>
      <c r="D12" s="63">
        <v>1000</v>
      </c>
      <c r="E12" s="65"/>
      <c r="F12" s="100" t="str">
        <f>HYPERLINK("https://pbs.twimg.com/profile_images/621042585432264704/4y_Sk4nM_normal.png")</f>
        <v>https://pbs.twimg.com/profile_images/621042585432264704/4y_Sk4nM_normal.png</v>
      </c>
      <c r="G12" s="62"/>
      <c r="H12" s="66" t="s">
        <v>267</v>
      </c>
      <c r="I12" s="67"/>
      <c r="J12" s="67" t="s">
        <v>159</v>
      </c>
      <c r="K12" s="66" t="s">
        <v>2666</v>
      </c>
      <c r="L12" s="70">
        <v>953.1904761904761</v>
      </c>
      <c r="M12" s="71">
        <v>6599.2294921875</v>
      </c>
      <c r="N12" s="71">
        <v>8524.1552734375</v>
      </c>
      <c r="O12" s="72"/>
      <c r="P12" s="73"/>
      <c r="Q12" s="73"/>
      <c r="R12" s="86"/>
      <c r="S12" s="45">
        <v>2</v>
      </c>
      <c r="T12" s="45">
        <v>0</v>
      </c>
      <c r="U12" s="46">
        <v>0</v>
      </c>
      <c r="V12" s="46">
        <v>0.315017</v>
      </c>
      <c r="W12" s="46">
        <v>0.030511</v>
      </c>
      <c r="X12" s="46">
        <v>0.002792</v>
      </c>
      <c r="Y12" s="46">
        <v>0.5</v>
      </c>
      <c r="Z12" s="46">
        <v>0</v>
      </c>
      <c r="AA12" s="68">
        <v>12</v>
      </c>
      <c r="AB12" s="68"/>
      <c r="AC12" s="69"/>
      <c r="AD12" s="76" t="s">
        <v>1260</v>
      </c>
      <c r="AE12" s="80" t="s">
        <v>1570</v>
      </c>
      <c r="AF12" s="76">
        <v>2587</v>
      </c>
      <c r="AG12" s="76">
        <v>1240</v>
      </c>
      <c r="AH12" s="76">
        <v>8182</v>
      </c>
      <c r="AI12" s="76">
        <v>107</v>
      </c>
      <c r="AJ12" s="76">
        <v>5022</v>
      </c>
      <c r="AK12" s="76">
        <v>1726</v>
      </c>
      <c r="AL12" s="76" t="b">
        <v>0</v>
      </c>
      <c r="AM12" s="78">
        <v>39983.58056712963</v>
      </c>
      <c r="AN12" s="76" t="s">
        <v>1855</v>
      </c>
      <c r="AO12" s="76" t="s">
        <v>2052</v>
      </c>
      <c r="AP12" s="82" t="str">
        <f>HYPERLINK("https://t.co/CVpP20GaPU")</f>
        <v>https://t.co/CVpP20GaPU</v>
      </c>
      <c r="AQ12" s="82" t="str">
        <f>HYPERLINK("http://www.aejmc.us/PRD/")</f>
        <v>http://www.aejmc.us/PRD/</v>
      </c>
      <c r="AR12" s="76" t="s">
        <v>2353</v>
      </c>
      <c r="AS12" s="76"/>
      <c r="AT12" s="76"/>
      <c r="AU12" s="76"/>
      <c r="AV12" s="76"/>
      <c r="AW12" s="82" t="str">
        <f>HYPERLINK("https://t.co/CVpP20GaPU")</f>
        <v>https://t.co/CVpP20GaPU</v>
      </c>
      <c r="AX12" s="76" t="b">
        <v>0</v>
      </c>
      <c r="AY12" s="76"/>
      <c r="AZ12" s="76"/>
      <c r="BA12" s="76" t="b">
        <v>0</v>
      </c>
      <c r="BB12" s="76" t="b">
        <v>0</v>
      </c>
      <c r="BC12" s="76" t="b">
        <v>0</v>
      </c>
      <c r="BD12" s="76" t="b">
        <v>0</v>
      </c>
      <c r="BE12" s="76" t="b">
        <v>1</v>
      </c>
      <c r="BF12" s="76" t="b">
        <v>0</v>
      </c>
      <c r="BG12" s="76" t="b">
        <v>0</v>
      </c>
      <c r="BH12" s="82" t="str">
        <f>HYPERLINK("https://pbs.twimg.com/profile_banners/48711250/1685665313")</f>
        <v>https://pbs.twimg.com/profile_banners/48711250/1685665313</v>
      </c>
      <c r="BI12" s="76"/>
      <c r="BJ12" s="76" t="s">
        <v>2656</v>
      </c>
      <c r="BK12" s="76" t="b">
        <v>0</v>
      </c>
      <c r="BL12" s="76"/>
      <c r="BM12" s="76" t="s">
        <v>65</v>
      </c>
      <c r="BN12" s="76" t="s">
        <v>2657</v>
      </c>
      <c r="BO12" s="82" t="str">
        <f>HYPERLINK("https://twitter.com/aejmc_prd")</f>
        <v>https://twitter.com/aejmc_prd</v>
      </c>
      <c r="BP12" s="76" t="str">
        <f>REPLACE(INDEX(GroupVertices[Group],MATCH(Vertices[[#This Row],[Vertex]],GroupVertices[Vertex],0)),1,1,"")</f>
        <v>2</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268</v>
      </c>
      <c r="B13" s="62"/>
      <c r="C13" s="62"/>
      <c r="D13" s="63">
        <v>1000</v>
      </c>
      <c r="E13" s="65"/>
      <c r="F13" s="100" t="str">
        <f>HYPERLINK("https://pbs.twimg.com/profile_images/1662144093718298640/g_V-Nvnq_normal.png")</f>
        <v>https://pbs.twimg.com/profile_images/1662144093718298640/g_V-Nvnq_normal.png</v>
      </c>
      <c r="G13" s="62"/>
      <c r="H13" s="66" t="s">
        <v>268</v>
      </c>
      <c r="I13" s="67"/>
      <c r="J13" s="67" t="s">
        <v>159</v>
      </c>
      <c r="K13" s="66" t="s">
        <v>2667</v>
      </c>
      <c r="L13" s="70">
        <v>953.1904761904761</v>
      </c>
      <c r="M13" s="71">
        <v>6641.68017578125</v>
      </c>
      <c r="N13" s="71">
        <v>8087.20751953125</v>
      </c>
      <c r="O13" s="72"/>
      <c r="P13" s="73"/>
      <c r="Q13" s="73"/>
      <c r="R13" s="86"/>
      <c r="S13" s="45">
        <v>2</v>
      </c>
      <c r="T13" s="45">
        <v>0</v>
      </c>
      <c r="U13" s="46">
        <v>0</v>
      </c>
      <c r="V13" s="46">
        <v>0.315017</v>
      </c>
      <c r="W13" s="46">
        <v>0.030511</v>
      </c>
      <c r="X13" s="46">
        <v>0.002792</v>
      </c>
      <c r="Y13" s="46">
        <v>0.5</v>
      </c>
      <c r="Z13" s="46">
        <v>0</v>
      </c>
      <c r="AA13" s="68">
        <v>13</v>
      </c>
      <c r="AB13" s="68"/>
      <c r="AC13" s="69"/>
      <c r="AD13" s="76" t="s">
        <v>1261</v>
      </c>
      <c r="AE13" s="80" t="s">
        <v>1571</v>
      </c>
      <c r="AF13" s="76">
        <v>689</v>
      </c>
      <c r="AG13" s="76">
        <v>275</v>
      </c>
      <c r="AH13" s="76">
        <v>2596</v>
      </c>
      <c r="AI13" s="76">
        <v>20</v>
      </c>
      <c r="AJ13" s="76">
        <v>1237</v>
      </c>
      <c r="AK13" s="76">
        <v>88</v>
      </c>
      <c r="AL13" s="76" t="b">
        <v>0</v>
      </c>
      <c r="AM13" s="78">
        <v>41775.83574074074</v>
      </c>
      <c r="AN13" s="76"/>
      <c r="AO13" s="76" t="s">
        <v>2053</v>
      </c>
      <c r="AP13" s="82" t="str">
        <f>HYPERLINK("https://t.co/xu7x4rcVzf")</f>
        <v>https://t.co/xu7x4rcVzf</v>
      </c>
      <c r="AQ13" s="82" t="str">
        <f>HYPERLINK("https://aejmc.us/law/")</f>
        <v>https://aejmc.us/law/</v>
      </c>
      <c r="AR13" s="76" t="s">
        <v>2354</v>
      </c>
      <c r="AS13" s="76"/>
      <c r="AT13" s="76"/>
      <c r="AU13" s="76"/>
      <c r="AV13" s="76"/>
      <c r="AW13" s="82" t="str">
        <f>HYPERLINK("https://t.co/xu7x4rcVzf")</f>
        <v>https://t.co/xu7x4rcVzf</v>
      </c>
      <c r="AX13" s="76" t="b">
        <v>0</v>
      </c>
      <c r="AY13" s="76"/>
      <c r="AZ13" s="76"/>
      <c r="BA13" s="76" t="b">
        <v>0</v>
      </c>
      <c r="BB13" s="76" t="b">
        <v>1</v>
      </c>
      <c r="BC13" s="76" t="b">
        <v>1</v>
      </c>
      <c r="BD13" s="76" t="b">
        <v>0</v>
      </c>
      <c r="BE13" s="76" t="b">
        <v>1</v>
      </c>
      <c r="BF13" s="76" t="b">
        <v>0</v>
      </c>
      <c r="BG13" s="76" t="b">
        <v>0</v>
      </c>
      <c r="BH13" s="82" t="str">
        <f>HYPERLINK("https://pbs.twimg.com/profile_banners/2499769524/1685120731")</f>
        <v>https://pbs.twimg.com/profile_banners/2499769524/1685120731</v>
      </c>
      <c r="BI13" s="76"/>
      <c r="BJ13" s="76" t="s">
        <v>2656</v>
      </c>
      <c r="BK13" s="76" t="b">
        <v>0</v>
      </c>
      <c r="BL13" s="76"/>
      <c r="BM13" s="76" t="s">
        <v>65</v>
      </c>
      <c r="BN13" s="76" t="s">
        <v>2657</v>
      </c>
      <c r="BO13" s="82" t="str">
        <f>HYPERLINK("https://twitter.com/aejmc_lawp")</f>
        <v>https://twitter.com/aejmc_lawp</v>
      </c>
      <c r="BP13" s="76" t="str">
        <f>REPLACE(INDEX(GroupVertices[Group],MATCH(Vertices[[#This Row],[Vertex]],GroupVertices[Vertex],0)),1,1,"")</f>
        <v>2</v>
      </c>
      <c r="BQ13" s="45"/>
      <c r="BR13" s="46"/>
      <c r="BS13" s="45"/>
      <c r="BT13" s="46"/>
      <c r="BU13" s="45"/>
      <c r="BV13" s="46"/>
      <c r="BW13" s="45"/>
      <c r="BX13" s="46"/>
      <c r="BY13" s="45"/>
      <c r="BZ13" s="45"/>
      <c r="CA13" s="45"/>
      <c r="CB13" s="45"/>
      <c r="CC13" s="45"/>
      <c r="CD13" s="45"/>
      <c r="CE13" s="45"/>
      <c r="CF13" s="45"/>
      <c r="CG13" s="45"/>
      <c r="CH13" s="45"/>
      <c r="CI13" s="45"/>
      <c r="CJ13" s="2"/>
    </row>
    <row r="14" spans="1:88" ht="15">
      <c r="A14" s="61" t="s">
        <v>269</v>
      </c>
      <c r="B14" s="62"/>
      <c r="C14" s="62"/>
      <c r="D14" s="63">
        <v>1000</v>
      </c>
      <c r="E14" s="65"/>
      <c r="F14" s="100" t="str">
        <f>HYPERLINK("https://pbs.twimg.com/profile_images/1678149104692613121/XTnZcdGo_normal.jpg")</f>
        <v>https://pbs.twimg.com/profile_images/1678149104692613121/XTnZcdGo_normal.jpg</v>
      </c>
      <c r="G14" s="62"/>
      <c r="H14" s="66" t="s">
        <v>269</v>
      </c>
      <c r="I14" s="67"/>
      <c r="J14" s="67" t="s">
        <v>159</v>
      </c>
      <c r="K14" s="66" t="s">
        <v>2668</v>
      </c>
      <c r="L14" s="70">
        <v>953.1904761904761</v>
      </c>
      <c r="M14" s="71">
        <v>5631.9306640625</v>
      </c>
      <c r="N14" s="71">
        <v>8107.44189453125</v>
      </c>
      <c r="O14" s="72"/>
      <c r="P14" s="73"/>
      <c r="Q14" s="73"/>
      <c r="R14" s="86"/>
      <c r="S14" s="45">
        <v>2</v>
      </c>
      <c r="T14" s="45">
        <v>0</v>
      </c>
      <c r="U14" s="46">
        <v>0</v>
      </c>
      <c r="V14" s="46">
        <v>0.315017</v>
      </c>
      <c r="W14" s="46">
        <v>0.030511</v>
      </c>
      <c r="X14" s="46">
        <v>0.002792</v>
      </c>
      <c r="Y14" s="46">
        <v>0.5</v>
      </c>
      <c r="Z14" s="46">
        <v>0</v>
      </c>
      <c r="AA14" s="68">
        <v>14</v>
      </c>
      <c r="AB14" s="68"/>
      <c r="AC14" s="69"/>
      <c r="AD14" s="76" t="s">
        <v>1262</v>
      </c>
      <c r="AE14" s="80" t="s">
        <v>1572</v>
      </c>
      <c r="AF14" s="76">
        <v>3214</v>
      </c>
      <c r="AG14" s="76">
        <v>2000</v>
      </c>
      <c r="AH14" s="76">
        <v>62652</v>
      </c>
      <c r="AI14" s="76">
        <v>145</v>
      </c>
      <c r="AJ14" s="76">
        <v>104606</v>
      </c>
      <c r="AK14" s="76">
        <v>2648</v>
      </c>
      <c r="AL14" s="76" t="b">
        <v>0</v>
      </c>
      <c r="AM14" s="78">
        <v>39855.792962962965</v>
      </c>
      <c r="AN14" s="76" t="s">
        <v>1856</v>
      </c>
      <c r="AO14" s="76" t="s">
        <v>2054</v>
      </c>
      <c r="AP14" s="82" t="str">
        <f>HYPERLINK("https://t.co/gGu4GwHwPM")</f>
        <v>https://t.co/gGu4GwHwPM</v>
      </c>
      <c r="AQ14" s="82" t="str">
        <f>HYPERLINK("http://www.mollyyanity.com")</f>
        <v>http://www.mollyyanity.com</v>
      </c>
      <c r="AR14" s="76" t="s">
        <v>2355</v>
      </c>
      <c r="AS14" s="76"/>
      <c r="AT14" s="76"/>
      <c r="AU14" s="76"/>
      <c r="AV14" s="76"/>
      <c r="AW14" s="82" t="str">
        <f>HYPERLINK("https://t.co/gGu4GwHwPM")</f>
        <v>https://t.co/gGu4GwHwPM</v>
      </c>
      <c r="AX14" s="76" t="b">
        <v>0</v>
      </c>
      <c r="AY14" s="76"/>
      <c r="AZ14" s="76"/>
      <c r="BA14" s="76" t="b">
        <v>0</v>
      </c>
      <c r="BB14" s="76" t="b">
        <v>1</v>
      </c>
      <c r="BC14" s="76" t="b">
        <v>0</v>
      </c>
      <c r="BD14" s="76" t="b">
        <v>0</v>
      </c>
      <c r="BE14" s="76" t="b">
        <v>1</v>
      </c>
      <c r="BF14" s="76" t="b">
        <v>0</v>
      </c>
      <c r="BG14" s="76" t="b">
        <v>0</v>
      </c>
      <c r="BH14" s="82" t="str">
        <f>HYPERLINK("https://pbs.twimg.com/profile_banners/20611749/1506117481")</f>
        <v>https://pbs.twimg.com/profile_banners/20611749/1506117481</v>
      </c>
      <c r="BI14" s="76"/>
      <c r="BJ14" s="76" t="s">
        <v>2656</v>
      </c>
      <c r="BK14" s="76" t="b">
        <v>0</v>
      </c>
      <c r="BL14" s="76"/>
      <c r="BM14" s="76" t="s">
        <v>65</v>
      </c>
      <c r="BN14" s="76" t="s">
        <v>2657</v>
      </c>
      <c r="BO14" s="82" t="str">
        <f>HYPERLINK("https://twitter.com/mollyyanity")</f>
        <v>https://twitter.com/mollyyanity</v>
      </c>
      <c r="BP14" s="76" t="str">
        <f>REPLACE(INDEX(GroupVertices[Group],MATCH(Vertices[[#This Row],[Vertex]],GroupVertices[Vertex],0)),1,1,"")</f>
        <v>2</v>
      </c>
      <c r="BQ14" s="45"/>
      <c r="BR14" s="46"/>
      <c r="BS14" s="45"/>
      <c r="BT14" s="46"/>
      <c r="BU14" s="45"/>
      <c r="BV14" s="46"/>
      <c r="BW14" s="45"/>
      <c r="BX14" s="46"/>
      <c r="BY14" s="45"/>
      <c r="BZ14" s="45"/>
      <c r="CA14" s="45"/>
      <c r="CB14" s="45"/>
      <c r="CC14" s="45"/>
      <c r="CD14" s="45"/>
      <c r="CE14" s="45"/>
      <c r="CF14" s="45"/>
      <c r="CG14" s="45"/>
      <c r="CH14" s="45"/>
      <c r="CI14" s="45"/>
      <c r="CJ14" s="2"/>
    </row>
    <row r="15" spans="1:88" ht="15">
      <c r="A15" s="61" t="s">
        <v>270</v>
      </c>
      <c r="B15" s="62"/>
      <c r="C15" s="62"/>
      <c r="D15" s="63">
        <v>1000</v>
      </c>
      <c r="E15" s="65"/>
      <c r="F15" s="100" t="str">
        <f>HYPERLINK("https://pbs.twimg.com/profile_images/1305574385915396097/pjA_MEAW_normal.jpg")</f>
        <v>https://pbs.twimg.com/profile_images/1305574385915396097/pjA_MEAW_normal.jpg</v>
      </c>
      <c r="G15" s="62"/>
      <c r="H15" s="66" t="s">
        <v>270</v>
      </c>
      <c r="I15" s="67"/>
      <c r="J15" s="67" t="s">
        <v>159</v>
      </c>
      <c r="K15" s="66" t="s">
        <v>2669</v>
      </c>
      <c r="L15" s="70">
        <v>953.1904761904761</v>
      </c>
      <c r="M15" s="71">
        <v>6530.1513671875</v>
      </c>
      <c r="N15" s="71">
        <v>7554.34423828125</v>
      </c>
      <c r="O15" s="72"/>
      <c r="P15" s="73"/>
      <c r="Q15" s="73"/>
      <c r="R15" s="86"/>
      <c r="S15" s="45">
        <v>2</v>
      </c>
      <c r="T15" s="45">
        <v>0</v>
      </c>
      <c r="U15" s="46">
        <v>0</v>
      </c>
      <c r="V15" s="46">
        <v>0.315017</v>
      </c>
      <c r="W15" s="46">
        <v>0.030511</v>
      </c>
      <c r="X15" s="46">
        <v>0.002792</v>
      </c>
      <c r="Y15" s="46">
        <v>0.5</v>
      </c>
      <c r="Z15" s="46">
        <v>0</v>
      </c>
      <c r="AA15" s="68">
        <v>15</v>
      </c>
      <c r="AB15" s="68"/>
      <c r="AC15" s="69"/>
      <c r="AD15" s="76" t="s">
        <v>1263</v>
      </c>
      <c r="AE15" s="80" t="s">
        <v>1573</v>
      </c>
      <c r="AF15" s="76">
        <v>2112</v>
      </c>
      <c r="AG15" s="76">
        <v>213</v>
      </c>
      <c r="AH15" s="76">
        <v>14178</v>
      </c>
      <c r="AI15" s="76">
        <v>54</v>
      </c>
      <c r="AJ15" s="76">
        <v>13825</v>
      </c>
      <c r="AK15" s="76">
        <v>5151</v>
      </c>
      <c r="AL15" s="76" t="b">
        <v>0</v>
      </c>
      <c r="AM15" s="78">
        <v>39816.600439814814</v>
      </c>
      <c r="AN15" s="76" t="s">
        <v>1857</v>
      </c>
      <c r="AO15" s="76" t="s">
        <v>2055</v>
      </c>
      <c r="AP15" s="82" t="str">
        <f>HYPERLINK("https://t.co/mM8nJGslFs")</f>
        <v>https://t.co/mM8nJGslFs</v>
      </c>
      <c r="AQ15" s="82" t="str">
        <f>HYPERLINK("http://bradleywilsononline.net/")</f>
        <v>http://bradleywilsononline.net/</v>
      </c>
      <c r="AR15" s="76" t="s">
        <v>2356</v>
      </c>
      <c r="AS15" s="76"/>
      <c r="AT15" s="76"/>
      <c r="AU15" s="76"/>
      <c r="AV15" s="76"/>
      <c r="AW15" s="82" t="str">
        <f>HYPERLINK("https://t.co/mM8nJGslFs")</f>
        <v>https://t.co/mM8nJGslFs</v>
      </c>
      <c r="AX15" s="76" t="b">
        <v>0</v>
      </c>
      <c r="AY15" s="76"/>
      <c r="AZ15" s="76"/>
      <c r="BA15" s="76" t="b">
        <v>0</v>
      </c>
      <c r="BB15" s="76" t="b">
        <v>1</v>
      </c>
      <c r="BC15" s="76" t="b">
        <v>0</v>
      </c>
      <c r="BD15" s="76" t="b">
        <v>0</v>
      </c>
      <c r="BE15" s="76" t="b">
        <v>0</v>
      </c>
      <c r="BF15" s="76" t="b">
        <v>0</v>
      </c>
      <c r="BG15" s="76" t="b">
        <v>0</v>
      </c>
      <c r="BH15" s="82" t="str">
        <f>HYPERLINK("https://pbs.twimg.com/profile_banners/18579670/1600108442")</f>
        <v>https://pbs.twimg.com/profile_banners/18579670/1600108442</v>
      </c>
      <c r="BI15" s="76"/>
      <c r="BJ15" s="76" t="s">
        <v>2656</v>
      </c>
      <c r="BK15" s="76" t="b">
        <v>0</v>
      </c>
      <c r="BL15" s="76"/>
      <c r="BM15" s="76" t="s">
        <v>65</v>
      </c>
      <c r="BN15" s="76" t="s">
        <v>2657</v>
      </c>
      <c r="BO15" s="82" t="str">
        <f>HYPERLINK("https://twitter.com/bradleywilson09")</f>
        <v>https://twitter.com/bradleywilson09</v>
      </c>
      <c r="BP15" s="76" t="str">
        <f>REPLACE(INDEX(GroupVertices[Group],MATCH(Vertices[[#This Row],[Vertex]],GroupVertices[Vertex],0)),1,1,"")</f>
        <v>2</v>
      </c>
      <c r="BQ15" s="45"/>
      <c r="BR15" s="46"/>
      <c r="BS15" s="45"/>
      <c r="BT15" s="46"/>
      <c r="BU15" s="45"/>
      <c r="BV15" s="46"/>
      <c r="BW15" s="45"/>
      <c r="BX15" s="46"/>
      <c r="BY15" s="45"/>
      <c r="BZ15" s="45"/>
      <c r="CA15" s="45"/>
      <c r="CB15" s="45"/>
      <c r="CC15" s="45"/>
      <c r="CD15" s="45"/>
      <c r="CE15" s="45"/>
      <c r="CF15" s="45"/>
      <c r="CG15" s="45"/>
      <c r="CH15" s="45"/>
      <c r="CI15" s="45"/>
      <c r="CJ15" s="2"/>
    </row>
    <row r="16" spans="1:88" ht="15">
      <c r="A16" s="61" t="s">
        <v>271</v>
      </c>
      <c r="B16" s="62"/>
      <c r="C16" s="62"/>
      <c r="D16" s="63">
        <v>1000</v>
      </c>
      <c r="E16" s="65"/>
      <c r="F16" s="100" t="str">
        <f>HYPERLINK("https://pbs.twimg.com/profile_images/1161309230286155776/mARJ47PH_normal.jpg")</f>
        <v>https://pbs.twimg.com/profile_images/1161309230286155776/mARJ47PH_normal.jpg</v>
      </c>
      <c r="G16" s="62"/>
      <c r="H16" s="66" t="s">
        <v>271</v>
      </c>
      <c r="I16" s="67"/>
      <c r="J16" s="67" t="s">
        <v>159</v>
      </c>
      <c r="K16" s="66" t="s">
        <v>2670</v>
      </c>
      <c r="L16" s="70">
        <v>953.1904761904761</v>
      </c>
      <c r="M16" s="71">
        <v>6263.68408203125</v>
      </c>
      <c r="N16" s="71">
        <v>8610.7822265625</v>
      </c>
      <c r="O16" s="72"/>
      <c r="P16" s="73"/>
      <c r="Q16" s="73"/>
      <c r="R16" s="86"/>
      <c r="S16" s="45">
        <v>2</v>
      </c>
      <c r="T16" s="45">
        <v>0</v>
      </c>
      <c r="U16" s="46">
        <v>0</v>
      </c>
      <c r="V16" s="46">
        <v>0.315017</v>
      </c>
      <c r="W16" s="46">
        <v>0.030511</v>
      </c>
      <c r="X16" s="46">
        <v>0.002792</v>
      </c>
      <c r="Y16" s="46">
        <v>0.5</v>
      </c>
      <c r="Z16" s="46">
        <v>0</v>
      </c>
      <c r="AA16" s="68">
        <v>16</v>
      </c>
      <c r="AB16" s="68"/>
      <c r="AC16" s="69"/>
      <c r="AD16" s="76" t="s">
        <v>1264</v>
      </c>
      <c r="AE16" s="80" t="s">
        <v>1574</v>
      </c>
      <c r="AF16" s="76">
        <v>267</v>
      </c>
      <c r="AG16" s="76">
        <v>212</v>
      </c>
      <c r="AH16" s="76">
        <v>551</v>
      </c>
      <c r="AI16" s="76">
        <v>8</v>
      </c>
      <c r="AJ16" s="76">
        <v>193</v>
      </c>
      <c r="AK16" s="76">
        <v>104</v>
      </c>
      <c r="AL16" s="76" t="b">
        <v>0</v>
      </c>
      <c r="AM16" s="78">
        <v>43690.6740625</v>
      </c>
      <c r="AN16" s="76"/>
      <c r="AO16" s="76" t="s">
        <v>2056</v>
      </c>
      <c r="AP16" s="76"/>
      <c r="AQ16" s="76"/>
      <c r="AR16" s="76"/>
      <c r="AS16" s="76"/>
      <c r="AT16" s="76"/>
      <c r="AU16" s="76"/>
      <c r="AV16" s="76"/>
      <c r="AW16" s="76"/>
      <c r="AX16" s="76" t="b">
        <v>0</v>
      </c>
      <c r="AY16" s="76"/>
      <c r="AZ16" s="76"/>
      <c r="BA16" s="76" t="b">
        <v>0</v>
      </c>
      <c r="BB16" s="76" t="b">
        <v>1</v>
      </c>
      <c r="BC16" s="76" t="b">
        <v>1</v>
      </c>
      <c r="BD16" s="76" t="b">
        <v>0</v>
      </c>
      <c r="BE16" s="76" t="b">
        <v>0</v>
      </c>
      <c r="BF16" s="76" t="b">
        <v>0</v>
      </c>
      <c r="BG16" s="76" t="b">
        <v>0</v>
      </c>
      <c r="BH16" s="82" t="str">
        <f>HYPERLINK("https://pbs.twimg.com/profile_banners/1161309095749718016/1565713785")</f>
        <v>https://pbs.twimg.com/profile_banners/1161309095749718016/1565713785</v>
      </c>
      <c r="BI16" s="76"/>
      <c r="BJ16" s="76" t="s">
        <v>2656</v>
      </c>
      <c r="BK16" s="76" t="b">
        <v>0</v>
      </c>
      <c r="BL16" s="76"/>
      <c r="BM16" s="76" t="s">
        <v>65</v>
      </c>
      <c r="BN16" s="76" t="s">
        <v>2657</v>
      </c>
      <c r="BO16" s="82" t="str">
        <f>HYPERLINK("https://twitter.com/aejmcs")</f>
        <v>https://twitter.com/aejmcs</v>
      </c>
      <c r="BP16" s="76" t="str">
        <f>REPLACE(INDEX(GroupVertices[Group],MATCH(Vertices[[#This Row],[Vertex]],GroupVertices[Vertex],0)),1,1,"")</f>
        <v>2</v>
      </c>
      <c r="BQ16" s="45"/>
      <c r="BR16" s="46"/>
      <c r="BS16" s="45"/>
      <c r="BT16" s="46"/>
      <c r="BU16" s="45"/>
      <c r="BV16" s="46"/>
      <c r="BW16" s="45"/>
      <c r="BX16" s="46"/>
      <c r="BY16" s="45"/>
      <c r="BZ16" s="45"/>
      <c r="CA16" s="45"/>
      <c r="CB16" s="45"/>
      <c r="CC16" s="45"/>
      <c r="CD16" s="45"/>
      <c r="CE16" s="45"/>
      <c r="CF16" s="45"/>
      <c r="CG16" s="45"/>
      <c r="CH16" s="45"/>
      <c r="CI16" s="45"/>
      <c r="CJ16" s="2"/>
    </row>
    <row r="17" spans="1:88" ht="15">
      <c r="A17" s="61" t="s">
        <v>272</v>
      </c>
      <c r="B17" s="62"/>
      <c r="C17" s="62"/>
      <c r="D17" s="63">
        <v>1000</v>
      </c>
      <c r="E17" s="65"/>
      <c r="F17" s="100" t="str">
        <f>HYPERLINK("https://pbs.twimg.com/profile_images/479303922742358016/LR0g9JX-_normal.png")</f>
        <v>https://pbs.twimg.com/profile_images/479303922742358016/LR0g9JX-_normal.png</v>
      </c>
      <c r="G17" s="62"/>
      <c r="H17" s="66" t="s">
        <v>272</v>
      </c>
      <c r="I17" s="67"/>
      <c r="J17" s="67" t="s">
        <v>159</v>
      </c>
      <c r="K17" s="66" t="s">
        <v>2671</v>
      </c>
      <c r="L17" s="70">
        <v>953.1904761904761</v>
      </c>
      <c r="M17" s="71">
        <v>5515.74609375</v>
      </c>
      <c r="N17" s="71">
        <v>7717.09423828125</v>
      </c>
      <c r="O17" s="72"/>
      <c r="P17" s="73"/>
      <c r="Q17" s="73"/>
      <c r="R17" s="86"/>
      <c r="S17" s="45">
        <v>2</v>
      </c>
      <c r="T17" s="45">
        <v>0</v>
      </c>
      <c r="U17" s="46">
        <v>0</v>
      </c>
      <c r="V17" s="46">
        <v>0.315017</v>
      </c>
      <c r="W17" s="46">
        <v>0.030511</v>
      </c>
      <c r="X17" s="46">
        <v>0.002792</v>
      </c>
      <c r="Y17" s="46">
        <v>0.5</v>
      </c>
      <c r="Z17" s="46">
        <v>0</v>
      </c>
      <c r="AA17" s="68">
        <v>17</v>
      </c>
      <c r="AB17" s="68"/>
      <c r="AC17" s="69"/>
      <c r="AD17" s="76" t="s">
        <v>1265</v>
      </c>
      <c r="AE17" s="80" t="s">
        <v>1575</v>
      </c>
      <c r="AF17" s="76">
        <v>1850</v>
      </c>
      <c r="AG17" s="76">
        <v>1739</v>
      </c>
      <c r="AH17" s="76">
        <v>9047</v>
      </c>
      <c r="AI17" s="76">
        <v>80</v>
      </c>
      <c r="AJ17" s="76">
        <v>5440</v>
      </c>
      <c r="AK17" s="76">
        <v>1451</v>
      </c>
      <c r="AL17" s="76" t="b">
        <v>0</v>
      </c>
      <c r="AM17" s="78">
        <v>40767.94359953704</v>
      </c>
      <c r="AN17" s="76"/>
      <c r="AO17" s="76" t="s">
        <v>2057</v>
      </c>
      <c r="AP17" s="82" t="str">
        <f>HYPERLINK("https://t.co/w2HDueFLta")</f>
        <v>https://t.co/w2HDueFLta</v>
      </c>
      <c r="AQ17" s="82" t="str">
        <f>HYPERLINK("http://aejmc.us/csw/")</f>
        <v>http://aejmc.us/csw/</v>
      </c>
      <c r="AR17" s="76" t="s">
        <v>2357</v>
      </c>
      <c r="AS17" s="76"/>
      <c r="AT17" s="76"/>
      <c r="AU17" s="76"/>
      <c r="AV17" s="76"/>
      <c r="AW17" s="82" t="str">
        <f>HYPERLINK("https://t.co/w2HDueFLta")</f>
        <v>https://t.co/w2HDueFLta</v>
      </c>
      <c r="AX17" s="76" t="b">
        <v>0</v>
      </c>
      <c r="AY17" s="76"/>
      <c r="AZ17" s="76"/>
      <c r="BA17" s="76" t="b">
        <v>1</v>
      </c>
      <c r="BB17" s="76" t="b">
        <v>1</v>
      </c>
      <c r="BC17" s="76" t="b">
        <v>0</v>
      </c>
      <c r="BD17" s="76" t="b">
        <v>0</v>
      </c>
      <c r="BE17" s="76" t="b">
        <v>0</v>
      </c>
      <c r="BF17" s="76" t="b">
        <v>0</v>
      </c>
      <c r="BG17" s="76" t="b">
        <v>0</v>
      </c>
      <c r="BH17" s="82" t="str">
        <f>HYPERLINK("https://pbs.twimg.com/profile_banners/353963097/1682364167")</f>
        <v>https://pbs.twimg.com/profile_banners/353963097/1682364167</v>
      </c>
      <c r="BI17" s="76"/>
      <c r="BJ17" s="76" t="s">
        <v>2656</v>
      </c>
      <c r="BK17" s="76" t="b">
        <v>0</v>
      </c>
      <c r="BL17" s="76"/>
      <c r="BM17" s="76" t="s">
        <v>65</v>
      </c>
      <c r="BN17" s="76" t="s">
        <v>2657</v>
      </c>
      <c r="BO17" s="82" t="str">
        <f>HYPERLINK("https://twitter.com/csw_aejmc")</f>
        <v>https://twitter.com/csw_aejmc</v>
      </c>
      <c r="BP17" s="76" t="str">
        <f>REPLACE(INDEX(GroupVertices[Group],MATCH(Vertices[[#This Row],[Vertex]],GroupVertices[Vertex],0)),1,1,"")</f>
        <v>2</v>
      </c>
      <c r="BQ17" s="45"/>
      <c r="BR17" s="46"/>
      <c r="BS17" s="45"/>
      <c r="BT17" s="46"/>
      <c r="BU17" s="45"/>
      <c r="BV17" s="46"/>
      <c r="BW17" s="45"/>
      <c r="BX17" s="46"/>
      <c r="BY17" s="45"/>
      <c r="BZ17" s="45"/>
      <c r="CA17" s="45"/>
      <c r="CB17" s="45"/>
      <c r="CC17" s="45"/>
      <c r="CD17" s="45"/>
      <c r="CE17" s="45"/>
      <c r="CF17" s="45"/>
      <c r="CG17" s="45"/>
      <c r="CH17" s="45"/>
      <c r="CI17" s="45"/>
      <c r="CJ17" s="2"/>
    </row>
    <row r="18" spans="1:88" ht="15">
      <c r="A18" s="61" t="s">
        <v>273</v>
      </c>
      <c r="B18" s="62"/>
      <c r="C18" s="62"/>
      <c r="D18" s="63">
        <v>1000</v>
      </c>
      <c r="E18" s="65"/>
      <c r="F18" s="100" t="str">
        <f>HYPERLINK("https://pbs.twimg.com/profile_images/884110390493425664/HGSOS2S8_normal.jpg")</f>
        <v>https://pbs.twimg.com/profile_images/884110390493425664/HGSOS2S8_normal.jpg</v>
      </c>
      <c r="G18" s="62"/>
      <c r="H18" s="66" t="s">
        <v>273</v>
      </c>
      <c r="I18" s="67"/>
      <c r="J18" s="67" t="s">
        <v>159</v>
      </c>
      <c r="K18" s="66" t="s">
        <v>2672</v>
      </c>
      <c r="L18" s="70">
        <v>953.1904761904761</v>
      </c>
      <c r="M18" s="71">
        <v>5882.97119140625</v>
      </c>
      <c r="N18" s="71">
        <v>8771.6875</v>
      </c>
      <c r="O18" s="72"/>
      <c r="P18" s="73"/>
      <c r="Q18" s="73"/>
      <c r="R18" s="86"/>
      <c r="S18" s="45">
        <v>2</v>
      </c>
      <c r="T18" s="45">
        <v>0</v>
      </c>
      <c r="U18" s="46">
        <v>0</v>
      </c>
      <c r="V18" s="46">
        <v>0.315017</v>
      </c>
      <c r="W18" s="46">
        <v>0.030511</v>
      </c>
      <c r="X18" s="46">
        <v>0.002792</v>
      </c>
      <c r="Y18" s="46">
        <v>0.5</v>
      </c>
      <c r="Z18" s="46">
        <v>0</v>
      </c>
      <c r="AA18" s="68">
        <v>18</v>
      </c>
      <c r="AB18" s="68"/>
      <c r="AC18" s="69"/>
      <c r="AD18" s="76" t="s">
        <v>1266</v>
      </c>
      <c r="AE18" s="80" t="s">
        <v>1576</v>
      </c>
      <c r="AF18" s="76">
        <v>1331</v>
      </c>
      <c r="AG18" s="76">
        <v>805</v>
      </c>
      <c r="AH18" s="76">
        <v>2482</v>
      </c>
      <c r="AI18" s="76">
        <v>43</v>
      </c>
      <c r="AJ18" s="76">
        <v>1168</v>
      </c>
      <c r="AK18" s="76">
        <v>497</v>
      </c>
      <c r="AL18" s="76" t="b">
        <v>0</v>
      </c>
      <c r="AM18" s="78">
        <v>41129.11167824074</v>
      </c>
      <c r="AN18" s="76"/>
      <c r="AO18" s="76" t="s">
        <v>2058</v>
      </c>
      <c r="AP18" s="82" t="str">
        <f>HYPERLINK("https://t.co/CECXMMTI1r")</f>
        <v>https://t.co/CECXMMTI1r</v>
      </c>
      <c r="AQ18" s="82" t="str">
        <f>HYPERLINK("http://aejmc.us/news/")</f>
        <v>http://aejmc.us/news/</v>
      </c>
      <c r="AR18" s="76" t="s">
        <v>2358</v>
      </c>
      <c r="AS18" s="76"/>
      <c r="AT18" s="76"/>
      <c r="AU18" s="76"/>
      <c r="AV18" s="76"/>
      <c r="AW18" s="82" t="str">
        <f>HYPERLINK("https://t.co/CECXMMTI1r")</f>
        <v>https://t.co/CECXMMTI1r</v>
      </c>
      <c r="AX18" s="76" t="b">
        <v>0</v>
      </c>
      <c r="AY18" s="76"/>
      <c r="AZ18" s="76"/>
      <c r="BA18" s="76" t="b">
        <v>0</v>
      </c>
      <c r="BB18" s="76" t="b">
        <v>1</v>
      </c>
      <c r="BC18" s="76" t="b">
        <v>0</v>
      </c>
      <c r="BD18" s="76" t="b">
        <v>0</v>
      </c>
      <c r="BE18" s="76" t="b">
        <v>1</v>
      </c>
      <c r="BF18" s="76" t="b">
        <v>0</v>
      </c>
      <c r="BG18" s="76" t="b">
        <v>0</v>
      </c>
      <c r="BH18" s="82" t="str">
        <f>HYPERLINK("https://pbs.twimg.com/profile_banners/744265436/1443695606")</f>
        <v>https://pbs.twimg.com/profile_banners/744265436/1443695606</v>
      </c>
      <c r="BI18" s="76"/>
      <c r="BJ18" s="76" t="s">
        <v>2656</v>
      </c>
      <c r="BK18" s="76" t="b">
        <v>0</v>
      </c>
      <c r="BL18" s="76"/>
      <c r="BM18" s="76" t="s">
        <v>65</v>
      </c>
      <c r="BN18" s="76" t="s">
        <v>2657</v>
      </c>
      <c r="BO18" s="82" t="str">
        <f>HYPERLINK("https://twitter.com/aejmc_nond")</f>
        <v>https://twitter.com/aejmc_nond</v>
      </c>
      <c r="BP18" s="76" t="str">
        <f>REPLACE(INDEX(GroupVertices[Group],MATCH(Vertices[[#This Row],[Vertex]],GroupVertices[Vertex],0)),1,1,"")</f>
        <v>2</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234</v>
      </c>
      <c r="B19" s="62"/>
      <c r="C19" s="62"/>
      <c r="D19" s="63">
        <v>1000</v>
      </c>
      <c r="E19" s="65"/>
      <c r="F19" s="100" t="str">
        <f>HYPERLINK("https://pbs.twimg.com/profile_images/1559584982439444482/vOVkFGh3_normal.png")</f>
        <v>https://pbs.twimg.com/profile_images/1559584982439444482/vOVkFGh3_normal.png</v>
      </c>
      <c r="G19" s="62"/>
      <c r="H19" s="66" t="s">
        <v>234</v>
      </c>
      <c r="I19" s="67"/>
      <c r="J19" s="67" t="s">
        <v>159</v>
      </c>
      <c r="K19" s="66" t="s">
        <v>2673</v>
      </c>
      <c r="L19" s="70">
        <v>1905.3809523809523</v>
      </c>
      <c r="M19" s="71">
        <v>5410.0869140625</v>
      </c>
      <c r="N19" s="71">
        <v>8696.3564453125</v>
      </c>
      <c r="O19" s="72"/>
      <c r="P19" s="73"/>
      <c r="Q19" s="73"/>
      <c r="R19" s="86"/>
      <c r="S19" s="45">
        <v>4</v>
      </c>
      <c r="T19" s="45">
        <v>6</v>
      </c>
      <c r="U19" s="46">
        <v>628.672727</v>
      </c>
      <c r="V19" s="46">
        <v>0.332055</v>
      </c>
      <c r="W19" s="46">
        <v>0.040649</v>
      </c>
      <c r="X19" s="46">
        <v>0.003587</v>
      </c>
      <c r="Y19" s="46">
        <v>0.2</v>
      </c>
      <c r="Z19" s="46">
        <v>0.3333333333333333</v>
      </c>
      <c r="AA19" s="68">
        <v>19</v>
      </c>
      <c r="AB19" s="68"/>
      <c r="AC19" s="69"/>
      <c r="AD19" s="76" t="s">
        <v>1267</v>
      </c>
      <c r="AE19" s="80" t="s">
        <v>1577</v>
      </c>
      <c r="AF19" s="76">
        <v>15409</v>
      </c>
      <c r="AG19" s="76">
        <v>4512</v>
      </c>
      <c r="AH19" s="76">
        <v>38194</v>
      </c>
      <c r="AI19" s="76">
        <v>821</v>
      </c>
      <c r="AJ19" s="76">
        <v>37635</v>
      </c>
      <c r="AK19" s="76">
        <v>1311</v>
      </c>
      <c r="AL19" s="76" t="b">
        <v>0</v>
      </c>
      <c r="AM19" s="78">
        <v>39320.64375</v>
      </c>
      <c r="AN19" s="76" t="s">
        <v>1858</v>
      </c>
      <c r="AO19" s="76" t="s">
        <v>2059</v>
      </c>
      <c r="AP19" s="82" t="str">
        <f>HYPERLINK("https://t.co/xOHo2b2AAd")</f>
        <v>https://t.co/xOHo2b2AAd</v>
      </c>
      <c r="AQ19" s="82" t="str">
        <f>HYPERLINK("http://www.aejmc.org")</f>
        <v>http://www.aejmc.org</v>
      </c>
      <c r="AR19" s="76" t="s">
        <v>743</v>
      </c>
      <c r="AS19" s="76"/>
      <c r="AT19" s="76"/>
      <c r="AU19" s="76"/>
      <c r="AV19" s="76"/>
      <c r="AW19" s="82" t="str">
        <f>HYPERLINK("https://t.co/xOHo2b2AAd")</f>
        <v>https://t.co/xOHo2b2AAd</v>
      </c>
      <c r="AX19" s="76" t="b">
        <v>0</v>
      </c>
      <c r="AY19" s="76"/>
      <c r="AZ19" s="76"/>
      <c r="BA19" s="76" t="b">
        <v>0</v>
      </c>
      <c r="BB19" s="76" t="b">
        <v>1</v>
      </c>
      <c r="BC19" s="76" t="b">
        <v>0</v>
      </c>
      <c r="BD19" s="76" t="b">
        <v>0</v>
      </c>
      <c r="BE19" s="76" t="b">
        <v>1</v>
      </c>
      <c r="BF19" s="76" t="b">
        <v>0</v>
      </c>
      <c r="BG19" s="76" t="b">
        <v>0</v>
      </c>
      <c r="BH19" s="82" t="str">
        <f>HYPERLINK("https://pbs.twimg.com/profile_banners/8442592/1674144455")</f>
        <v>https://pbs.twimg.com/profile_banners/8442592/1674144455</v>
      </c>
      <c r="BI19" s="76"/>
      <c r="BJ19" s="76" t="s">
        <v>2656</v>
      </c>
      <c r="BK19" s="76" t="b">
        <v>0</v>
      </c>
      <c r="BL19" s="76"/>
      <c r="BM19" s="76" t="s">
        <v>66</v>
      </c>
      <c r="BN19" s="76" t="s">
        <v>2657</v>
      </c>
      <c r="BO19" s="82" t="str">
        <f>HYPERLINK("https://twitter.com/aejmc")</f>
        <v>https://twitter.com/aejmc</v>
      </c>
      <c r="BP19" s="76" t="str">
        <f>REPLACE(INDEX(GroupVertices[Group],MATCH(Vertices[[#This Row],[Vertex]],GroupVertices[Vertex],0)),1,1,"")</f>
        <v>2</v>
      </c>
      <c r="BQ19" s="45">
        <v>7</v>
      </c>
      <c r="BR19" s="46">
        <v>16.666666666666668</v>
      </c>
      <c r="BS19" s="45">
        <v>0</v>
      </c>
      <c r="BT19" s="46">
        <v>0</v>
      </c>
      <c r="BU19" s="45">
        <v>0</v>
      </c>
      <c r="BV19" s="46">
        <v>0</v>
      </c>
      <c r="BW19" s="45">
        <v>14</v>
      </c>
      <c r="BX19" s="46">
        <v>33.333333333333336</v>
      </c>
      <c r="BY19" s="45">
        <v>42</v>
      </c>
      <c r="BZ19" s="45" t="s">
        <v>11265</v>
      </c>
      <c r="CA19" s="45" t="s">
        <v>11265</v>
      </c>
      <c r="CB19" s="45" t="s">
        <v>743</v>
      </c>
      <c r="CC19" s="45" t="s">
        <v>743</v>
      </c>
      <c r="CD19" s="45" t="s">
        <v>693</v>
      </c>
      <c r="CE19" s="45" t="s">
        <v>693</v>
      </c>
      <c r="CF19" s="112" t="s">
        <v>11591</v>
      </c>
      <c r="CG19" s="112" t="s">
        <v>11628</v>
      </c>
      <c r="CH19" s="112" t="s">
        <v>11647</v>
      </c>
      <c r="CI19" s="112" t="s">
        <v>11647</v>
      </c>
      <c r="CJ19" s="2"/>
    </row>
    <row r="20" spans="1:88" ht="15">
      <c r="A20" s="61" t="s">
        <v>228</v>
      </c>
      <c r="B20" s="62"/>
      <c r="C20" s="62"/>
      <c r="D20" s="63">
        <v>1000</v>
      </c>
      <c r="E20" s="65"/>
      <c r="F20" s="100" t="str">
        <f>HYPERLINK("https://pbs.twimg.com/profile_images/849132774661308416/pa2Uplq1_normal.jpg")</f>
        <v>https://pbs.twimg.com/profile_images/849132774661308416/pa2Uplq1_normal.jpg</v>
      </c>
      <c r="G20" s="62"/>
      <c r="H20" s="66" t="s">
        <v>228</v>
      </c>
      <c r="I20" s="67"/>
      <c r="J20" s="67" t="s">
        <v>75</v>
      </c>
      <c r="K20" s="66" t="s">
        <v>2674</v>
      </c>
      <c r="L20" s="70">
        <v>9999</v>
      </c>
      <c r="M20" s="71">
        <v>6233.658203125</v>
      </c>
      <c r="N20" s="71">
        <v>7662.5556640625</v>
      </c>
      <c r="O20" s="72"/>
      <c r="P20" s="73"/>
      <c r="Q20" s="73"/>
      <c r="R20" s="86"/>
      <c r="S20" s="45">
        <v>21</v>
      </c>
      <c r="T20" s="45">
        <v>35</v>
      </c>
      <c r="U20" s="46">
        <v>54506.123249</v>
      </c>
      <c r="V20" s="46">
        <v>0.473065</v>
      </c>
      <c r="W20" s="46">
        <v>0.280806</v>
      </c>
      <c r="X20" s="46">
        <v>0.01505</v>
      </c>
      <c r="Y20" s="46">
        <v>0.014705882352941176</v>
      </c>
      <c r="Z20" s="46">
        <v>0.038461538461538464</v>
      </c>
      <c r="AA20" s="68">
        <v>20</v>
      </c>
      <c r="AB20" s="68"/>
      <c r="AC20" s="69"/>
      <c r="AD20" s="76" t="s">
        <v>1268</v>
      </c>
      <c r="AE20" s="80" t="s">
        <v>1171</v>
      </c>
      <c r="AF20" s="76">
        <v>10597</v>
      </c>
      <c r="AG20" s="76">
        <v>4384</v>
      </c>
      <c r="AH20" s="76">
        <v>9860</v>
      </c>
      <c r="AI20" s="76">
        <v>809</v>
      </c>
      <c r="AJ20" s="76">
        <v>59444</v>
      </c>
      <c r="AK20" s="76">
        <v>165</v>
      </c>
      <c r="AL20" s="76" t="b">
        <v>0</v>
      </c>
      <c r="AM20" s="78">
        <v>40122.1453587963</v>
      </c>
      <c r="AN20" s="76" t="s">
        <v>1859</v>
      </c>
      <c r="AO20" s="76" t="s">
        <v>2060</v>
      </c>
      <c r="AP20" s="82" t="str">
        <f>HYPERLINK("https://t.co/eUJLtrtePs")</f>
        <v>https://t.co/eUJLtrtePs</v>
      </c>
      <c r="AQ20" s="82" t="str">
        <f>HYPERLINK("https://smrfoundation.org")</f>
        <v>https://smrfoundation.org</v>
      </c>
      <c r="AR20" s="76" t="s">
        <v>741</v>
      </c>
      <c r="AS20" s="82" t="str">
        <f>HYPERLINK("https://t.co/CAYK8AJLMv")</f>
        <v>https://t.co/CAYK8AJLMv</v>
      </c>
      <c r="AT20" s="82" t="str">
        <f>HYPERLINK("http://nodexlgraphgallery.org/Pages/Registration.aspx")</f>
        <v>http://nodexlgraphgallery.org/Pages/Registration.aspx</v>
      </c>
      <c r="AU20" s="76" t="s">
        <v>2608</v>
      </c>
      <c r="AV20" s="76">
        <v>1.64339467380815E+18</v>
      </c>
      <c r="AW20" s="82" t="str">
        <f>HYPERLINK("https://t.co/eUJLtrtePs")</f>
        <v>https://t.co/eUJLtrtePs</v>
      </c>
      <c r="AX20" s="76" t="b">
        <v>0</v>
      </c>
      <c r="AY20" s="76" t="b">
        <v>1</v>
      </c>
      <c r="AZ20" s="76" t="b">
        <v>1</v>
      </c>
      <c r="BA20" s="76" t="b">
        <v>1</v>
      </c>
      <c r="BB20" s="76" t="b">
        <v>1</v>
      </c>
      <c r="BC20" s="76" t="b">
        <v>0</v>
      </c>
      <c r="BD20" s="76" t="b">
        <v>0</v>
      </c>
      <c r="BE20" s="76" t="b">
        <v>1</v>
      </c>
      <c r="BF20" s="76" t="b">
        <v>0</v>
      </c>
      <c r="BG20" s="76" t="b">
        <v>0</v>
      </c>
      <c r="BH20" s="82" t="str">
        <f>HYPERLINK("https://pbs.twimg.com/profile_banners/87606674/1405285356")</f>
        <v>https://pbs.twimg.com/profile_banners/87606674/1405285356</v>
      </c>
      <c r="BI20" s="76"/>
      <c r="BJ20" s="76" t="s">
        <v>2656</v>
      </c>
      <c r="BK20" s="76" t="b">
        <v>1</v>
      </c>
      <c r="BL20" s="76"/>
      <c r="BM20" s="76" t="s">
        <v>66</v>
      </c>
      <c r="BN20" s="76" t="s">
        <v>2657</v>
      </c>
      <c r="BO20" s="82" t="str">
        <f>HYPERLINK("https://twitter.com/nodexl")</f>
        <v>https://twitter.com/nodexl</v>
      </c>
      <c r="BP20" s="76" t="str">
        <f>REPLACE(INDEX(GroupVertices[Group],MATCH(Vertices[[#This Row],[Vertex]],GroupVertices[Vertex],0)),1,1,"")</f>
        <v>2</v>
      </c>
      <c r="BQ20" s="45">
        <v>4</v>
      </c>
      <c r="BR20" s="46">
        <v>3.5398230088495577</v>
      </c>
      <c r="BS20" s="45">
        <v>0</v>
      </c>
      <c r="BT20" s="46">
        <v>0</v>
      </c>
      <c r="BU20" s="45">
        <v>0</v>
      </c>
      <c r="BV20" s="46">
        <v>0</v>
      </c>
      <c r="BW20" s="45">
        <v>99</v>
      </c>
      <c r="BX20" s="46">
        <v>87.61061946902655</v>
      </c>
      <c r="BY20" s="45">
        <v>113</v>
      </c>
      <c r="BZ20" s="45" t="s">
        <v>11539</v>
      </c>
      <c r="CA20" s="45" t="s">
        <v>11549</v>
      </c>
      <c r="CB20" s="45" t="s">
        <v>11331</v>
      </c>
      <c r="CC20" s="45" t="s">
        <v>11559</v>
      </c>
      <c r="CD20" s="45" t="s">
        <v>11563</v>
      </c>
      <c r="CE20" s="45" t="s">
        <v>11573</v>
      </c>
      <c r="CF20" s="112" t="s">
        <v>11592</v>
      </c>
      <c r="CG20" s="112" t="s">
        <v>11629</v>
      </c>
      <c r="CH20" s="112" t="s">
        <v>11648</v>
      </c>
      <c r="CI20" s="112" t="s">
        <v>11683</v>
      </c>
      <c r="CJ20" s="2"/>
    </row>
    <row r="21" spans="1:88" ht="15">
      <c r="A21" s="61" t="s">
        <v>227</v>
      </c>
      <c r="B21" s="62"/>
      <c r="C21" s="62"/>
      <c r="D21" s="63">
        <v>535</v>
      </c>
      <c r="E21" s="65"/>
      <c r="F21" s="100" t="str">
        <f>HYPERLINK("https://pbs.twimg.com/profile_images/1310352185679654912/xskSwHii_normal.jpg")</f>
        <v>https://pbs.twimg.com/profile_images/1310352185679654912/xskSwHii_normal.jpg</v>
      </c>
      <c r="G21" s="62"/>
      <c r="H21" s="66" t="s">
        <v>227</v>
      </c>
      <c r="I21" s="67"/>
      <c r="J21" s="67" t="s">
        <v>159</v>
      </c>
      <c r="K21" s="66" t="s">
        <v>2675</v>
      </c>
      <c r="L21" s="70">
        <v>477.0952380952381</v>
      </c>
      <c r="M21" s="71">
        <v>8681.6005859375</v>
      </c>
      <c r="N21" s="71">
        <v>8068.14111328125</v>
      </c>
      <c r="O21" s="72"/>
      <c r="P21" s="73"/>
      <c r="Q21" s="73"/>
      <c r="R21" s="86"/>
      <c r="S21" s="45">
        <v>1</v>
      </c>
      <c r="T21" s="45">
        <v>33</v>
      </c>
      <c r="U21" s="46">
        <v>16412.790909</v>
      </c>
      <c r="V21" s="46">
        <v>0.338566</v>
      </c>
      <c r="W21" s="46">
        <v>0.048767</v>
      </c>
      <c r="X21" s="46">
        <v>0.015104</v>
      </c>
      <c r="Y21" s="46">
        <v>0</v>
      </c>
      <c r="Z21" s="46">
        <v>0</v>
      </c>
      <c r="AA21" s="68">
        <v>21</v>
      </c>
      <c r="AB21" s="68"/>
      <c r="AC21" s="69"/>
      <c r="AD21" s="76" t="s">
        <v>1269</v>
      </c>
      <c r="AE21" s="80" t="s">
        <v>1173</v>
      </c>
      <c r="AF21" s="76">
        <v>339</v>
      </c>
      <c r="AG21" s="76">
        <v>2381</v>
      </c>
      <c r="AH21" s="76">
        <v>123393</v>
      </c>
      <c r="AI21" s="76">
        <v>26</v>
      </c>
      <c r="AJ21" s="76">
        <v>4844</v>
      </c>
      <c r="AK21" s="76">
        <v>5821</v>
      </c>
      <c r="AL21" s="76" t="b">
        <v>0</v>
      </c>
      <c r="AM21" s="78">
        <v>43106.11681712963</v>
      </c>
      <c r="AN21" s="76" t="s">
        <v>996</v>
      </c>
      <c r="AO21" s="76" t="s">
        <v>2061</v>
      </c>
      <c r="AP21" s="82" t="str">
        <f>HYPERLINK("https://t.co/2tb9qldNPp")</f>
        <v>https://t.co/2tb9qldNPp</v>
      </c>
      <c r="AQ21" s="82" t="str">
        <f>HYPERLINK("https://twitter.com/Charpy73/status/1243003598428127234?s=19")</f>
        <v>https://twitter.com/Charpy73/status/1243003598428127234?s=19</v>
      </c>
      <c r="AR21" s="76" t="s">
        <v>2359</v>
      </c>
      <c r="AS21" s="76"/>
      <c r="AT21" s="76"/>
      <c r="AU21" s="76"/>
      <c r="AV21" s="76">
        <v>1.62685434297946E+18</v>
      </c>
      <c r="AW21" s="82" t="str">
        <f>HYPERLINK("https://t.co/2tb9qldNPp")</f>
        <v>https://t.co/2tb9qldNPp</v>
      </c>
      <c r="AX21" s="76" t="b">
        <v>1</v>
      </c>
      <c r="AY21" s="76"/>
      <c r="AZ21" s="76"/>
      <c r="BA21" s="76" t="b">
        <v>1</v>
      </c>
      <c r="BB21" s="76" t="b">
        <v>0</v>
      </c>
      <c r="BC21" s="76" t="b">
        <v>0</v>
      </c>
      <c r="BD21" s="76" t="b">
        <v>0</v>
      </c>
      <c r="BE21" s="76" t="b">
        <v>1</v>
      </c>
      <c r="BF21" s="76" t="b">
        <v>0</v>
      </c>
      <c r="BG21" s="76" t="b">
        <v>0</v>
      </c>
      <c r="BH21" s="82" t="str">
        <f>HYPERLINK("https://pbs.twimg.com/profile_banners/949472644449128448/1546637228")</f>
        <v>https://pbs.twimg.com/profile_banners/949472644449128448/1546637228</v>
      </c>
      <c r="BI21" s="76"/>
      <c r="BJ21" s="76" t="s">
        <v>2656</v>
      </c>
      <c r="BK21" s="76" t="b">
        <v>0</v>
      </c>
      <c r="BL21" s="76"/>
      <c r="BM21" s="76" t="s">
        <v>66</v>
      </c>
      <c r="BN21" s="76" t="s">
        <v>2657</v>
      </c>
      <c r="BO21" s="82" t="str">
        <f>HYPERLINK("https://twitter.com/charpy73")</f>
        <v>https://twitter.com/charpy73</v>
      </c>
      <c r="BP21" s="76" t="str">
        <f>REPLACE(INDEX(GroupVertices[Group],MATCH(Vertices[[#This Row],[Vertex]],GroupVertices[Vertex],0)),1,1,"")</f>
        <v>4</v>
      </c>
      <c r="BQ21" s="45">
        <v>1</v>
      </c>
      <c r="BR21" s="46">
        <v>0.3831417624521073</v>
      </c>
      <c r="BS21" s="45">
        <v>4</v>
      </c>
      <c r="BT21" s="46">
        <v>1.5325670498084292</v>
      </c>
      <c r="BU21" s="45">
        <v>0</v>
      </c>
      <c r="BV21" s="46">
        <v>0</v>
      </c>
      <c r="BW21" s="45">
        <v>212</v>
      </c>
      <c r="BX21" s="46">
        <v>81.22605363984674</v>
      </c>
      <c r="BY21" s="45">
        <v>261</v>
      </c>
      <c r="BZ21" s="45" t="s">
        <v>11540</v>
      </c>
      <c r="CA21" s="45" t="s">
        <v>11550</v>
      </c>
      <c r="CB21" s="45" t="s">
        <v>11332</v>
      </c>
      <c r="CC21" s="45" t="s">
        <v>11560</v>
      </c>
      <c r="CD21" s="45" t="s">
        <v>11564</v>
      </c>
      <c r="CE21" s="45" t="s">
        <v>11574</v>
      </c>
      <c r="CF21" s="112" t="s">
        <v>11593</v>
      </c>
      <c r="CG21" s="112" t="s">
        <v>11630</v>
      </c>
      <c r="CH21" s="112" t="s">
        <v>11461</v>
      </c>
      <c r="CI21" s="112" t="s">
        <v>11684</v>
      </c>
      <c r="CJ21" s="2"/>
    </row>
    <row r="22" spans="1:88" ht="15">
      <c r="A22" s="61" t="s">
        <v>274</v>
      </c>
      <c r="B22" s="62"/>
      <c r="C22" s="62"/>
      <c r="D22" s="63">
        <v>535</v>
      </c>
      <c r="E22" s="65"/>
      <c r="F22" s="100" t="str">
        <f>HYPERLINK("https://pbs.twimg.com/profile_images/1664366243892084739/zspuIAXu_normal.jpg")</f>
        <v>https://pbs.twimg.com/profile_images/1664366243892084739/zspuIAXu_normal.jpg</v>
      </c>
      <c r="G22" s="62"/>
      <c r="H22" s="66" t="s">
        <v>274</v>
      </c>
      <c r="I22" s="67"/>
      <c r="J22" s="67" t="s">
        <v>159</v>
      </c>
      <c r="K22" s="66" t="s">
        <v>2676</v>
      </c>
      <c r="L22" s="70">
        <v>477.0952380952381</v>
      </c>
      <c r="M22" s="71">
        <v>8835.7998046875</v>
      </c>
      <c r="N22" s="71">
        <v>9840.927734375</v>
      </c>
      <c r="O22" s="72"/>
      <c r="P22" s="73"/>
      <c r="Q22" s="73"/>
      <c r="R22" s="86"/>
      <c r="S22" s="45">
        <v>1</v>
      </c>
      <c r="T22" s="45">
        <v>0</v>
      </c>
      <c r="U22" s="46">
        <v>0</v>
      </c>
      <c r="V22" s="46">
        <v>0.248892</v>
      </c>
      <c r="W22" s="46">
        <v>0.004381</v>
      </c>
      <c r="X22" s="46">
        <v>0.002759</v>
      </c>
      <c r="Y22" s="46">
        <v>0</v>
      </c>
      <c r="Z22" s="46">
        <v>0</v>
      </c>
      <c r="AA22" s="68">
        <v>22</v>
      </c>
      <c r="AB22" s="68"/>
      <c r="AC22" s="69"/>
      <c r="AD22" s="76" t="s">
        <v>1270</v>
      </c>
      <c r="AE22" s="80" t="s">
        <v>1578</v>
      </c>
      <c r="AF22" s="76">
        <v>1691585</v>
      </c>
      <c r="AG22" s="76">
        <v>1185</v>
      </c>
      <c r="AH22" s="76">
        <v>36367</v>
      </c>
      <c r="AI22" s="76">
        <v>8396</v>
      </c>
      <c r="AJ22" s="76">
        <v>1459</v>
      </c>
      <c r="AK22" s="76">
        <v>14671</v>
      </c>
      <c r="AL22" s="76" t="b">
        <v>0</v>
      </c>
      <c r="AM22" s="78">
        <v>40002.53554398148</v>
      </c>
      <c r="AN22" s="76" t="s">
        <v>1860</v>
      </c>
      <c r="AO22" s="76" t="s">
        <v>2062</v>
      </c>
      <c r="AP22" s="82" t="str">
        <f>HYPERLINK("https://t.co/VUxxtSTG5n")</f>
        <v>https://t.co/VUxxtSTG5n</v>
      </c>
      <c r="AQ22" s="82" t="str">
        <f>HYPERLINK("http://www.navy.mil")</f>
        <v>http://www.navy.mil</v>
      </c>
      <c r="AR22" s="76" t="s">
        <v>2360</v>
      </c>
      <c r="AS22" s="76"/>
      <c r="AT22" s="76"/>
      <c r="AU22" s="76"/>
      <c r="AV22" s="76"/>
      <c r="AW22" s="82" t="str">
        <f>HYPERLINK("https://t.co/VUxxtSTG5n")</f>
        <v>https://t.co/VUxxtSTG5n</v>
      </c>
      <c r="AX22" s="76" t="b">
        <v>1</v>
      </c>
      <c r="AY22" s="76"/>
      <c r="AZ22" s="76"/>
      <c r="BA22" s="76" t="b">
        <v>0</v>
      </c>
      <c r="BB22" s="76" t="b">
        <v>0</v>
      </c>
      <c r="BC22" s="76" t="b">
        <v>0</v>
      </c>
      <c r="BD22" s="76" t="b">
        <v>0</v>
      </c>
      <c r="BE22" s="76" t="b">
        <v>1</v>
      </c>
      <c r="BF22" s="76" t="b">
        <v>0</v>
      </c>
      <c r="BG22" s="76" t="b">
        <v>0</v>
      </c>
      <c r="BH22" s="82" t="str">
        <f>HYPERLINK("https://pbs.twimg.com/profile_banners/54885400/1685678941")</f>
        <v>https://pbs.twimg.com/profile_banners/54885400/1685678941</v>
      </c>
      <c r="BI22" s="76"/>
      <c r="BJ22" s="76" t="s">
        <v>2656</v>
      </c>
      <c r="BK22" s="76" t="b">
        <v>0</v>
      </c>
      <c r="BL22" s="76"/>
      <c r="BM22" s="76" t="s">
        <v>65</v>
      </c>
      <c r="BN22" s="76" t="s">
        <v>2657</v>
      </c>
      <c r="BO22" s="82" t="str">
        <f>HYPERLINK("https://twitter.com/usnavy")</f>
        <v>https://twitter.com/usnavy</v>
      </c>
      <c r="BP22" s="76" t="str">
        <f>REPLACE(INDEX(GroupVertices[Group],MATCH(Vertices[[#This Row],[Vertex]],GroupVertices[Vertex],0)),1,1,"")</f>
        <v>4</v>
      </c>
      <c r="BQ22" s="45"/>
      <c r="BR22" s="46"/>
      <c r="BS22" s="45"/>
      <c r="BT22" s="46"/>
      <c r="BU22" s="45"/>
      <c r="BV22" s="46"/>
      <c r="BW22" s="45"/>
      <c r="BX22" s="46"/>
      <c r="BY22" s="45"/>
      <c r="BZ22" s="45"/>
      <c r="CA22" s="45"/>
      <c r="CB22" s="45"/>
      <c r="CC22" s="45"/>
      <c r="CD22" s="45"/>
      <c r="CE22" s="45"/>
      <c r="CF22" s="45"/>
      <c r="CG22" s="45"/>
      <c r="CH22" s="45"/>
      <c r="CI22" s="45"/>
      <c r="CJ22" s="2"/>
    </row>
    <row r="23" spans="1:88" ht="15">
      <c r="A23" s="61" t="s">
        <v>275</v>
      </c>
      <c r="B23" s="62"/>
      <c r="C23" s="62"/>
      <c r="D23" s="63">
        <v>535</v>
      </c>
      <c r="E23" s="65"/>
      <c r="F23" s="100" t="str">
        <f>HYPERLINK("https://pbs.twimg.com/profile_images/1625653891110154243/oFKcDReC_normal.jpg")</f>
        <v>https://pbs.twimg.com/profile_images/1625653891110154243/oFKcDReC_normal.jpg</v>
      </c>
      <c r="G23" s="62"/>
      <c r="H23" s="66" t="s">
        <v>275</v>
      </c>
      <c r="I23" s="67"/>
      <c r="J23" s="67" t="s">
        <v>159</v>
      </c>
      <c r="K23" s="66" t="s">
        <v>2677</v>
      </c>
      <c r="L23" s="70">
        <v>477.0952380952381</v>
      </c>
      <c r="M23" s="71">
        <v>8495.5283203125</v>
      </c>
      <c r="N23" s="71">
        <v>8917.578125</v>
      </c>
      <c r="O23" s="72"/>
      <c r="P23" s="73"/>
      <c r="Q23" s="73"/>
      <c r="R23" s="86"/>
      <c r="S23" s="45">
        <v>1</v>
      </c>
      <c r="T23" s="45">
        <v>0</v>
      </c>
      <c r="U23" s="46">
        <v>0</v>
      </c>
      <c r="V23" s="46">
        <v>0.248892</v>
      </c>
      <c r="W23" s="46">
        <v>0.004381</v>
      </c>
      <c r="X23" s="46">
        <v>0.002759</v>
      </c>
      <c r="Y23" s="46">
        <v>0</v>
      </c>
      <c r="Z23" s="46">
        <v>0</v>
      </c>
      <c r="AA23" s="68">
        <v>23</v>
      </c>
      <c r="AB23" s="68"/>
      <c r="AC23" s="69"/>
      <c r="AD23" s="76" t="s">
        <v>1271</v>
      </c>
      <c r="AE23" s="80" t="s">
        <v>1579</v>
      </c>
      <c r="AF23" s="76">
        <v>122007</v>
      </c>
      <c r="AG23" s="76">
        <v>571</v>
      </c>
      <c r="AH23" s="76">
        <v>16183</v>
      </c>
      <c r="AI23" s="76">
        <v>1584</v>
      </c>
      <c r="AJ23" s="76">
        <v>553</v>
      </c>
      <c r="AK23" s="76">
        <v>6662</v>
      </c>
      <c r="AL23" s="76" t="b">
        <v>0</v>
      </c>
      <c r="AM23" s="78">
        <v>39911.735138888886</v>
      </c>
      <c r="AN23" s="76" t="s">
        <v>1861</v>
      </c>
      <c r="AO23" s="76" t="s">
        <v>2063</v>
      </c>
      <c r="AP23" s="82" t="str">
        <f>HYPERLINK("https://t.co/OKjQ8GhXaB")</f>
        <v>https://t.co/OKjQ8GhXaB</v>
      </c>
      <c r="AQ23" s="82" t="str">
        <f>HYPERLINK("https://www.splcenter.org/hatewatch")</f>
        <v>https://www.splcenter.org/hatewatch</v>
      </c>
      <c r="AR23" s="76" t="s">
        <v>2361</v>
      </c>
      <c r="AS23" s="76"/>
      <c r="AT23" s="76"/>
      <c r="AU23" s="76"/>
      <c r="AV23" s="76">
        <v>1.69734999325689E+18</v>
      </c>
      <c r="AW23" s="82" t="str">
        <f>HYPERLINK("https://t.co/OKjQ8GhXaB")</f>
        <v>https://t.co/OKjQ8GhXaB</v>
      </c>
      <c r="AX23" s="76" t="b">
        <v>0</v>
      </c>
      <c r="AY23" s="76"/>
      <c r="AZ23" s="76"/>
      <c r="BA23" s="76" t="b">
        <v>0</v>
      </c>
      <c r="BB23" s="76" t="b">
        <v>1</v>
      </c>
      <c r="BC23" s="76" t="b">
        <v>0</v>
      </c>
      <c r="BD23" s="76" t="b">
        <v>0</v>
      </c>
      <c r="BE23" s="76" t="b">
        <v>0</v>
      </c>
      <c r="BF23" s="76" t="b">
        <v>0</v>
      </c>
      <c r="BG23" s="76" t="b">
        <v>0</v>
      </c>
      <c r="BH23" s="82" t="str">
        <f>HYPERLINK("https://pbs.twimg.com/profile_banners/29770501/1681836251")</f>
        <v>https://pbs.twimg.com/profile_banners/29770501/1681836251</v>
      </c>
      <c r="BI23" s="76"/>
      <c r="BJ23" s="76" t="s">
        <v>2656</v>
      </c>
      <c r="BK23" s="76" t="b">
        <v>0</v>
      </c>
      <c r="BL23" s="76"/>
      <c r="BM23" s="76" t="s">
        <v>65</v>
      </c>
      <c r="BN23" s="76" t="s">
        <v>2657</v>
      </c>
      <c r="BO23" s="82" t="str">
        <f>HYPERLINK("https://twitter.com/hatewatch")</f>
        <v>https://twitter.com/hatewatch</v>
      </c>
      <c r="BP23" s="76" t="str">
        <f>REPLACE(INDEX(GroupVertices[Group],MATCH(Vertices[[#This Row],[Vertex]],GroupVertices[Vertex],0)),1,1,"")</f>
        <v>4</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276</v>
      </c>
      <c r="B24" s="62"/>
      <c r="C24" s="62"/>
      <c r="D24" s="63">
        <v>535</v>
      </c>
      <c r="E24" s="65"/>
      <c r="F24" s="100" t="str">
        <f>HYPERLINK("https://pbs.twimg.com/profile_images/1022583206770606080/IaqT81NV_normal.jpg")</f>
        <v>https://pbs.twimg.com/profile_images/1022583206770606080/IaqT81NV_normal.jpg</v>
      </c>
      <c r="G24" s="62"/>
      <c r="H24" s="66" t="s">
        <v>276</v>
      </c>
      <c r="I24" s="67"/>
      <c r="J24" s="67" t="s">
        <v>159</v>
      </c>
      <c r="K24" s="66" t="s">
        <v>2678</v>
      </c>
      <c r="L24" s="70">
        <v>477.0952380952381</v>
      </c>
      <c r="M24" s="71">
        <v>9300.822265625</v>
      </c>
      <c r="N24" s="71">
        <v>6493.17041015625</v>
      </c>
      <c r="O24" s="72"/>
      <c r="P24" s="73"/>
      <c r="Q24" s="73"/>
      <c r="R24" s="86"/>
      <c r="S24" s="45">
        <v>1</v>
      </c>
      <c r="T24" s="45">
        <v>0</v>
      </c>
      <c r="U24" s="46">
        <v>0</v>
      </c>
      <c r="V24" s="46">
        <v>0.248892</v>
      </c>
      <c r="W24" s="46">
        <v>0.004381</v>
      </c>
      <c r="X24" s="46">
        <v>0.002759</v>
      </c>
      <c r="Y24" s="46">
        <v>0</v>
      </c>
      <c r="Z24" s="46">
        <v>0</v>
      </c>
      <c r="AA24" s="68">
        <v>24</v>
      </c>
      <c r="AB24" s="68"/>
      <c r="AC24" s="69"/>
      <c r="AD24" s="76" t="s">
        <v>1272</v>
      </c>
      <c r="AE24" s="80" t="s">
        <v>1580</v>
      </c>
      <c r="AF24" s="76">
        <v>357856</v>
      </c>
      <c r="AG24" s="76">
        <v>3851</v>
      </c>
      <c r="AH24" s="76">
        <v>32709</v>
      </c>
      <c r="AI24" s="76">
        <v>2054</v>
      </c>
      <c r="AJ24" s="76">
        <v>8876</v>
      </c>
      <c r="AK24" s="76">
        <v>5324</v>
      </c>
      <c r="AL24" s="76" t="b">
        <v>0</v>
      </c>
      <c r="AM24" s="78">
        <v>39841.81383101852</v>
      </c>
      <c r="AN24" s="76" t="s">
        <v>1862</v>
      </c>
      <c r="AO24" s="76" t="s">
        <v>2064</v>
      </c>
      <c r="AP24" s="82" t="str">
        <f>HYPERLINK("https://t.co/RzsdBJHTJo")</f>
        <v>https://t.co/RzsdBJHTJo</v>
      </c>
      <c r="AQ24" s="82" t="str">
        <f>HYPERLINK("https://www.adl.org/about/who-we-are")</f>
        <v>https://www.adl.org/about/who-we-are</v>
      </c>
      <c r="AR24" s="76" t="s">
        <v>2362</v>
      </c>
      <c r="AS24" s="76"/>
      <c r="AT24" s="76"/>
      <c r="AU24" s="76"/>
      <c r="AV24" s="76"/>
      <c r="AW24" s="82" t="str">
        <f>HYPERLINK("https://t.co/RzsdBJHTJo")</f>
        <v>https://t.co/RzsdBJHTJo</v>
      </c>
      <c r="AX24" s="76" t="b">
        <v>1</v>
      </c>
      <c r="AY24" s="76"/>
      <c r="AZ24" s="76"/>
      <c r="BA24" s="76" t="b">
        <v>0</v>
      </c>
      <c r="BB24" s="76" t="b">
        <v>1</v>
      </c>
      <c r="BC24" s="76" t="b">
        <v>0</v>
      </c>
      <c r="BD24" s="76" t="b">
        <v>0</v>
      </c>
      <c r="BE24" s="76" t="b">
        <v>1</v>
      </c>
      <c r="BF24" s="76" t="b">
        <v>0</v>
      </c>
      <c r="BG24" s="76" t="b">
        <v>0</v>
      </c>
      <c r="BH24" s="82" t="str">
        <f>HYPERLINK("https://pbs.twimg.com/profile_banners/19670226/1679936208")</f>
        <v>https://pbs.twimg.com/profile_banners/19670226/1679936208</v>
      </c>
      <c r="BI24" s="76"/>
      <c r="BJ24" s="76" t="s">
        <v>2656</v>
      </c>
      <c r="BK24" s="76" t="b">
        <v>0</v>
      </c>
      <c r="BL24" s="76"/>
      <c r="BM24" s="76" t="s">
        <v>65</v>
      </c>
      <c r="BN24" s="76" t="s">
        <v>2657</v>
      </c>
      <c r="BO24" s="82" t="str">
        <f>HYPERLINK("https://twitter.com/adl")</f>
        <v>https://twitter.com/adl</v>
      </c>
      <c r="BP24" s="76" t="str">
        <f>REPLACE(INDEX(GroupVertices[Group],MATCH(Vertices[[#This Row],[Vertex]],GroupVertices[Vertex],0)),1,1,"")</f>
        <v>4</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277</v>
      </c>
      <c r="B25" s="62"/>
      <c r="C25" s="62"/>
      <c r="D25" s="63">
        <v>535</v>
      </c>
      <c r="E25" s="65"/>
      <c r="F25" s="100" t="str">
        <f>HYPERLINK("https://pbs.twimg.com/profile_images/1664718147960578049/5y-MeHdW_normal.jpg")</f>
        <v>https://pbs.twimg.com/profile_images/1664718147960578049/5y-MeHdW_normal.jpg</v>
      </c>
      <c r="G25" s="62"/>
      <c r="H25" s="66" t="s">
        <v>277</v>
      </c>
      <c r="I25" s="67"/>
      <c r="J25" s="67" t="s">
        <v>159</v>
      </c>
      <c r="K25" s="66" t="s">
        <v>2679</v>
      </c>
      <c r="L25" s="70">
        <v>477.0952380952381</v>
      </c>
      <c r="M25" s="71">
        <v>8129.77392578125</v>
      </c>
      <c r="N25" s="71">
        <v>6421.31494140625</v>
      </c>
      <c r="O25" s="72"/>
      <c r="P25" s="73"/>
      <c r="Q25" s="73"/>
      <c r="R25" s="86"/>
      <c r="S25" s="45">
        <v>1</v>
      </c>
      <c r="T25" s="45">
        <v>0</v>
      </c>
      <c r="U25" s="46">
        <v>0</v>
      </c>
      <c r="V25" s="46">
        <v>0.248892</v>
      </c>
      <c r="W25" s="46">
        <v>0.004381</v>
      </c>
      <c r="X25" s="46">
        <v>0.002759</v>
      </c>
      <c r="Y25" s="46">
        <v>0</v>
      </c>
      <c r="Z25" s="46">
        <v>0</v>
      </c>
      <c r="AA25" s="68">
        <v>25</v>
      </c>
      <c r="AB25" s="68"/>
      <c r="AC25" s="69"/>
      <c r="AD25" s="76" t="s">
        <v>1273</v>
      </c>
      <c r="AE25" s="80" t="s">
        <v>1581</v>
      </c>
      <c r="AF25" s="76">
        <v>3650</v>
      </c>
      <c r="AG25" s="76">
        <v>89</v>
      </c>
      <c r="AH25" s="76">
        <v>1229</v>
      </c>
      <c r="AI25" s="76">
        <v>114</v>
      </c>
      <c r="AJ25" s="76">
        <v>740</v>
      </c>
      <c r="AK25" s="76">
        <v>397</v>
      </c>
      <c r="AL25" s="76" t="b">
        <v>0</v>
      </c>
      <c r="AM25" s="78">
        <v>39269.577997685185</v>
      </c>
      <c r="AN25" s="76"/>
      <c r="AO25" s="76" t="s">
        <v>2065</v>
      </c>
      <c r="AP25" s="82" t="str">
        <f>HYPERLINK("https://t.co/vhHpRNWH5u")</f>
        <v>https://t.co/vhHpRNWH5u</v>
      </c>
      <c r="AQ25" s="82" t="str">
        <f>HYPERLINK("http://tucows.com")</f>
        <v>http://tucows.com</v>
      </c>
      <c r="AR25" s="76" t="s">
        <v>2363</v>
      </c>
      <c r="AS25" s="82" t="str">
        <f>HYPERLINK("https://t.co/57pAYYF0qu")</f>
        <v>https://t.co/57pAYYF0qu</v>
      </c>
      <c r="AT25" s="82" t="str">
        <f>HYPERLINK("http://tucowsdomains.com")</f>
        <v>http://tucowsdomains.com</v>
      </c>
      <c r="AU25" s="76" t="s">
        <v>2609</v>
      </c>
      <c r="AV25" s="76"/>
      <c r="AW25" s="82" t="str">
        <f>HYPERLINK("https://t.co/vhHpRNWH5u")</f>
        <v>https://t.co/vhHpRNWH5u</v>
      </c>
      <c r="AX25" s="76" t="b">
        <v>0</v>
      </c>
      <c r="AY25" s="76"/>
      <c r="AZ25" s="76"/>
      <c r="BA25" s="76" t="b">
        <v>0</v>
      </c>
      <c r="BB25" s="76" t="b">
        <v>1</v>
      </c>
      <c r="BC25" s="76" t="b">
        <v>0</v>
      </c>
      <c r="BD25" s="76" t="b">
        <v>0</v>
      </c>
      <c r="BE25" s="76" t="b">
        <v>1</v>
      </c>
      <c r="BF25" s="76" t="b">
        <v>0</v>
      </c>
      <c r="BG25" s="76" t="b">
        <v>0</v>
      </c>
      <c r="BH25" s="82" t="str">
        <f>HYPERLINK("https://pbs.twimg.com/profile_banners/7292532/1685735190")</f>
        <v>https://pbs.twimg.com/profile_banners/7292532/1685735190</v>
      </c>
      <c r="BI25" s="76"/>
      <c r="BJ25" s="76" t="s">
        <v>2656</v>
      </c>
      <c r="BK25" s="76" t="b">
        <v>0</v>
      </c>
      <c r="BL25" s="76"/>
      <c r="BM25" s="76" t="s">
        <v>65</v>
      </c>
      <c r="BN25" s="76" t="s">
        <v>2657</v>
      </c>
      <c r="BO25" s="82" t="str">
        <f>HYPERLINK("https://twitter.com/tucows")</f>
        <v>https://twitter.com/tucows</v>
      </c>
      <c r="BP25" s="76" t="str">
        <f>REPLACE(INDEX(GroupVertices[Group],MATCH(Vertices[[#This Row],[Vertex]],GroupVertices[Vertex],0)),1,1,"")</f>
        <v>4</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278</v>
      </c>
      <c r="B26" s="62"/>
      <c r="C26" s="62"/>
      <c r="D26" s="63">
        <v>535</v>
      </c>
      <c r="E26" s="65"/>
      <c r="F26" s="100" t="str">
        <f>HYPERLINK("https://pbs.twimg.com/profile_images/1683698521600565248/_R1r5HsQ_normal.jpg")</f>
        <v>https://pbs.twimg.com/profile_images/1683698521600565248/_R1r5HsQ_normal.jpg</v>
      </c>
      <c r="G26" s="62"/>
      <c r="H26" s="66" t="s">
        <v>278</v>
      </c>
      <c r="I26" s="67"/>
      <c r="J26" s="67" t="s">
        <v>159</v>
      </c>
      <c r="K26" s="66" t="s">
        <v>2680</v>
      </c>
      <c r="L26" s="70">
        <v>477.0952380952381</v>
      </c>
      <c r="M26" s="71">
        <v>7825.7861328125</v>
      </c>
      <c r="N26" s="71">
        <v>6787.17333984375</v>
      </c>
      <c r="O26" s="72"/>
      <c r="P26" s="73"/>
      <c r="Q26" s="73"/>
      <c r="R26" s="86"/>
      <c r="S26" s="45">
        <v>1</v>
      </c>
      <c r="T26" s="45">
        <v>0</v>
      </c>
      <c r="U26" s="46">
        <v>0</v>
      </c>
      <c r="V26" s="46">
        <v>0.248892</v>
      </c>
      <c r="W26" s="46">
        <v>0.004381</v>
      </c>
      <c r="X26" s="46">
        <v>0.002759</v>
      </c>
      <c r="Y26" s="46">
        <v>0</v>
      </c>
      <c r="Z26" s="46">
        <v>0</v>
      </c>
      <c r="AA26" s="68">
        <v>26</v>
      </c>
      <c r="AB26" s="68"/>
      <c r="AC26" s="69"/>
      <c r="AD26" s="76" t="s">
        <v>1274</v>
      </c>
      <c r="AE26" s="80" t="s">
        <v>1582</v>
      </c>
      <c r="AF26" s="76">
        <v>0</v>
      </c>
      <c r="AG26" s="76">
        <v>0</v>
      </c>
      <c r="AH26" s="76">
        <v>0</v>
      </c>
      <c r="AI26" s="76">
        <v>0</v>
      </c>
      <c r="AJ26" s="76">
        <v>0</v>
      </c>
      <c r="AK26" s="76">
        <v>0</v>
      </c>
      <c r="AL26" s="76" t="b">
        <v>0</v>
      </c>
      <c r="AM26" s="78">
        <v>45132.18877314815</v>
      </c>
      <c r="AN26" s="76"/>
      <c r="AO26" s="76" t="s">
        <v>2066</v>
      </c>
      <c r="AP26" s="76"/>
      <c r="AQ26" s="76"/>
      <c r="AR26" s="76"/>
      <c r="AS26" s="76"/>
      <c r="AT26" s="76"/>
      <c r="AU26" s="76"/>
      <c r="AV26" s="76"/>
      <c r="AW26" s="76"/>
      <c r="AX26" s="76" t="b">
        <v>0</v>
      </c>
      <c r="AY26" s="76"/>
      <c r="AZ26" s="76"/>
      <c r="BA26" s="76" t="b">
        <v>0</v>
      </c>
      <c r="BB26" s="76" t="b">
        <v>0</v>
      </c>
      <c r="BC26" s="76" t="b">
        <v>1</v>
      </c>
      <c r="BD26" s="76" t="b">
        <v>0</v>
      </c>
      <c r="BE26" s="76" t="b">
        <v>0</v>
      </c>
      <c r="BF26" s="76" t="b">
        <v>0</v>
      </c>
      <c r="BG26" s="76" t="b">
        <v>0</v>
      </c>
      <c r="BH26" s="76"/>
      <c r="BI26" s="76"/>
      <c r="BJ26" s="76" t="s">
        <v>2656</v>
      </c>
      <c r="BK26" s="76" t="b">
        <v>0</v>
      </c>
      <c r="BL26" s="76"/>
      <c r="BM26" s="76" t="s">
        <v>65</v>
      </c>
      <c r="BN26" s="76" t="s">
        <v>2657</v>
      </c>
      <c r="BO26" s="82" t="str">
        <f>HYPERLINK("https://twitter.com/twitter")</f>
        <v>https://twitter.com/twitter</v>
      </c>
      <c r="BP26" s="76" t="str">
        <f>REPLACE(INDEX(GroupVertices[Group],MATCH(Vertices[[#This Row],[Vertex]],GroupVertices[Vertex],0)),1,1,"")</f>
        <v>4</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279</v>
      </c>
      <c r="B27" s="62"/>
      <c r="C27" s="62"/>
      <c r="D27" s="63">
        <v>535</v>
      </c>
      <c r="E27" s="65"/>
      <c r="F27" s="100" t="str">
        <f>HYPERLINK("https://pbs.twimg.com/profile_images/1699812507035086852/u8vk7RgJ_normal.jpg")</f>
        <v>https://pbs.twimg.com/profile_images/1699812507035086852/u8vk7RgJ_normal.jpg</v>
      </c>
      <c r="G27" s="62"/>
      <c r="H27" s="66" t="s">
        <v>279</v>
      </c>
      <c r="I27" s="67"/>
      <c r="J27" s="67" t="s">
        <v>159</v>
      </c>
      <c r="K27" s="66" t="s">
        <v>2681</v>
      </c>
      <c r="L27" s="70">
        <v>477.0952380952381</v>
      </c>
      <c r="M27" s="71">
        <v>8079.21484375</v>
      </c>
      <c r="N27" s="71">
        <v>7406.69189453125</v>
      </c>
      <c r="O27" s="72"/>
      <c r="P27" s="73"/>
      <c r="Q27" s="73"/>
      <c r="R27" s="86"/>
      <c r="S27" s="45">
        <v>1</v>
      </c>
      <c r="T27" s="45">
        <v>0</v>
      </c>
      <c r="U27" s="46">
        <v>0</v>
      </c>
      <c r="V27" s="46">
        <v>0.248892</v>
      </c>
      <c r="W27" s="46">
        <v>0.004381</v>
      </c>
      <c r="X27" s="46">
        <v>0.002759</v>
      </c>
      <c r="Y27" s="46">
        <v>0</v>
      </c>
      <c r="Z27" s="46">
        <v>0</v>
      </c>
      <c r="AA27" s="68">
        <v>27</v>
      </c>
      <c r="AB27" s="68"/>
      <c r="AC27" s="69"/>
      <c r="AD27" s="76" t="s">
        <v>1275</v>
      </c>
      <c r="AE27" s="80" t="s">
        <v>1583</v>
      </c>
      <c r="AF27" s="76">
        <v>1048383</v>
      </c>
      <c r="AG27" s="76">
        <v>2286</v>
      </c>
      <c r="AH27" s="76">
        <v>55184</v>
      </c>
      <c r="AI27" s="76">
        <v>2984</v>
      </c>
      <c r="AJ27" s="76">
        <v>46981</v>
      </c>
      <c r="AK27" s="76">
        <v>3735</v>
      </c>
      <c r="AL27" s="76" t="b">
        <v>0</v>
      </c>
      <c r="AM27" s="78">
        <v>39917.15015046296</v>
      </c>
      <c r="AN27" s="76" t="s">
        <v>1863</v>
      </c>
      <c r="AO27" s="76" t="s">
        <v>2067</v>
      </c>
      <c r="AP27" s="82" t="str">
        <f>HYPERLINK("https://t.co/jmYIPw86CO")</f>
        <v>https://t.co/jmYIPw86CO</v>
      </c>
      <c r="AQ27" s="82" t="str">
        <f>HYPERLINK("http://www.michaeljknowles.com")</f>
        <v>http://www.michaeljknowles.com</v>
      </c>
      <c r="AR27" s="76" t="s">
        <v>2364</v>
      </c>
      <c r="AS27" s="76"/>
      <c r="AT27" s="76"/>
      <c r="AU27" s="76"/>
      <c r="AV27" s="76">
        <v>1.6904433323951E+18</v>
      </c>
      <c r="AW27" s="82" t="str">
        <f>HYPERLINK("https://t.co/jmYIPw86CO")</f>
        <v>https://t.co/jmYIPw86CO</v>
      </c>
      <c r="AX27" s="76" t="b">
        <v>0</v>
      </c>
      <c r="AY27" s="76"/>
      <c r="AZ27" s="76"/>
      <c r="BA27" s="76" t="b">
        <v>0</v>
      </c>
      <c r="BB27" s="76" t="b">
        <v>1</v>
      </c>
      <c r="BC27" s="76" t="b">
        <v>0</v>
      </c>
      <c r="BD27" s="76" t="b">
        <v>0</v>
      </c>
      <c r="BE27" s="76" t="b">
        <v>1</v>
      </c>
      <c r="BF27" s="76" t="b">
        <v>0</v>
      </c>
      <c r="BG27" s="76" t="b">
        <v>0</v>
      </c>
      <c r="BH27" s="82" t="str">
        <f>HYPERLINK("https://pbs.twimg.com/profile_banners/31047836/1694118862")</f>
        <v>https://pbs.twimg.com/profile_banners/31047836/1694118862</v>
      </c>
      <c r="BI27" s="76"/>
      <c r="BJ27" s="76" t="s">
        <v>2656</v>
      </c>
      <c r="BK27" s="76" t="b">
        <v>0</v>
      </c>
      <c r="BL27" s="76"/>
      <c r="BM27" s="76" t="s">
        <v>65</v>
      </c>
      <c r="BN27" s="76" t="s">
        <v>2657</v>
      </c>
      <c r="BO27" s="82" t="str">
        <f>HYPERLINK("https://twitter.com/michaeljknowles")</f>
        <v>https://twitter.com/michaeljknowles</v>
      </c>
      <c r="BP27" s="76" t="str">
        <f>REPLACE(INDEX(GroupVertices[Group],MATCH(Vertices[[#This Row],[Vertex]],GroupVertices[Vertex],0)),1,1,"")</f>
        <v>4</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280</v>
      </c>
      <c r="B28" s="62"/>
      <c r="C28" s="62"/>
      <c r="D28" s="63">
        <v>535</v>
      </c>
      <c r="E28" s="65"/>
      <c r="F28" s="100" t="str">
        <f>HYPERLINK("https://pbs.twimg.com/profile_images/1620776176414494720/HTi7E9vR_normal.jpg")</f>
        <v>https://pbs.twimg.com/profile_images/1620776176414494720/HTi7E9vR_normal.jpg</v>
      </c>
      <c r="G28" s="62"/>
      <c r="H28" s="66" t="s">
        <v>280</v>
      </c>
      <c r="I28" s="67"/>
      <c r="J28" s="67" t="s">
        <v>159</v>
      </c>
      <c r="K28" s="66" t="s">
        <v>2682</v>
      </c>
      <c r="L28" s="70">
        <v>477.0952380952381</v>
      </c>
      <c r="M28" s="71">
        <v>9625.7646484375</v>
      </c>
      <c r="N28" s="71">
        <v>6891.78466796875</v>
      </c>
      <c r="O28" s="72"/>
      <c r="P28" s="73"/>
      <c r="Q28" s="73"/>
      <c r="R28" s="86"/>
      <c r="S28" s="45">
        <v>1</v>
      </c>
      <c r="T28" s="45">
        <v>0</v>
      </c>
      <c r="U28" s="46">
        <v>0</v>
      </c>
      <c r="V28" s="46">
        <v>0.248892</v>
      </c>
      <c r="W28" s="46">
        <v>0.004381</v>
      </c>
      <c r="X28" s="46">
        <v>0.002759</v>
      </c>
      <c r="Y28" s="46">
        <v>0</v>
      </c>
      <c r="Z28" s="46">
        <v>0</v>
      </c>
      <c r="AA28" s="68">
        <v>28</v>
      </c>
      <c r="AB28" s="68"/>
      <c r="AC28" s="69"/>
      <c r="AD28" s="76" t="s">
        <v>1276</v>
      </c>
      <c r="AE28" s="80" t="s">
        <v>1584</v>
      </c>
      <c r="AF28" s="76">
        <v>15361499</v>
      </c>
      <c r="AG28" s="76">
        <v>9</v>
      </c>
      <c r="AH28" s="76">
        <v>22</v>
      </c>
      <c r="AI28" s="76">
        <v>32430</v>
      </c>
      <c r="AJ28" s="76">
        <v>2</v>
      </c>
      <c r="AK28" s="76">
        <v>12</v>
      </c>
      <c r="AL28" s="76" t="b">
        <v>0</v>
      </c>
      <c r="AM28" s="78">
        <v>39917.913935185185</v>
      </c>
      <c r="AN28" s="76"/>
      <c r="AO28" s="76" t="s">
        <v>2068</v>
      </c>
      <c r="AP28" s="82" t="str">
        <f>HYPERLINK("https://t.co/pLQiCG8alq")</f>
        <v>https://t.co/pLQiCG8alq</v>
      </c>
      <c r="AQ28" s="82" t="str">
        <f>HYPERLINK("https://shop.beyonce.com/products/america-has-a-problem-feat-kendrick-lamar-explicit")</f>
        <v>https://shop.beyonce.com/products/america-has-a-problem-feat-kendrick-lamar-explicit</v>
      </c>
      <c r="AR28" s="76" t="s">
        <v>2365</v>
      </c>
      <c r="AS28" s="76"/>
      <c r="AT28" s="76"/>
      <c r="AU28" s="76"/>
      <c r="AV28" s="76"/>
      <c r="AW28" s="82" t="str">
        <f>HYPERLINK("https://t.co/pLQiCG8alq")</f>
        <v>https://t.co/pLQiCG8alq</v>
      </c>
      <c r="AX28" s="76" t="b">
        <v>1</v>
      </c>
      <c r="AY28" s="76"/>
      <c r="AZ28" s="76"/>
      <c r="BA28" s="76" t="b">
        <v>0</v>
      </c>
      <c r="BB28" s="76" t="b">
        <v>1</v>
      </c>
      <c r="BC28" s="76" t="b">
        <v>0</v>
      </c>
      <c r="BD28" s="76" t="b">
        <v>0</v>
      </c>
      <c r="BE28" s="76" t="b">
        <v>0</v>
      </c>
      <c r="BF28" s="76" t="b">
        <v>0</v>
      </c>
      <c r="BG28" s="76" t="b">
        <v>0</v>
      </c>
      <c r="BH28" s="82" t="str">
        <f>HYPERLINK("https://pbs.twimg.com/profile_banners/31239408/1675260261")</f>
        <v>https://pbs.twimg.com/profile_banners/31239408/1675260261</v>
      </c>
      <c r="BI28" s="76"/>
      <c r="BJ28" s="76" t="s">
        <v>2655</v>
      </c>
      <c r="BK28" s="76" t="b">
        <v>0</v>
      </c>
      <c r="BL28" s="76"/>
      <c r="BM28" s="76" t="s">
        <v>65</v>
      </c>
      <c r="BN28" s="76" t="s">
        <v>2657</v>
      </c>
      <c r="BO28" s="82" t="str">
        <f>HYPERLINK("https://twitter.com/beyonce")</f>
        <v>https://twitter.com/beyonce</v>
      </c>
      <c r="BP28" s="76" t="str">
        <f>REPLACE(INDEX(GroupVertices[Group],MATCH(Vertices[[#This Row],[Vertex]],GroupVertices[Vertex],0)),1,1,"")</f>
        <v>4</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281</v>
      </c>
      <c r="B29" s="62"/>
      <c r="C29" s="62"/>
      <c r="D29" s="63">
        <v>535</v>
      </c>
      <c r="E29" s="65"/>
      <c r="F29" s="100" t="str">
        <f>HYPERLINK("https://pbs.twimg.com/profile_images/1031924537070428160/r_nQaWjy_normal.jpg")</f>
        <v>https://pbs.twimg.com/profile_images/1031924537070428160/r_nQaWjy_normal.jpg</v>
      </c>
      <c r="G29" s="62"/>
      <c r="H29" s="66" t="s">
        <v>281</v>
      </c>
      <c r="I29" s="67"/>
      <c r="J29" s="67" t="s">
        <v>159</v>
      </c>
      <c r="K29" s="66" t="s">
        <v>2683</v>
      </c>
      <c r="L29" s="70">
        <v>477.0952380952381</v>
      </c>
      <c r="M29" s="71">
        <v>8951.0966796875</v>
      </c>
      <c r="N29" s="71">
        <v>6354.34716796875</v>
      </c>
      <c r="O29" s="72"/>
      <c r="P29" s="73"/>
      <c r="Q29" s="73"/>
      <c r="R29" s="86"/>
      <c r="S29" s="45">
        <v>1</v>
      </c>
      <c r="T29" s="45">
        <v>0</v>
      </c>
      <c r="U29" s="46">
        <v>0</v>
      </c>
      <c r="V29" s="46">
        <v>0.248892</v>
      </c>
      <c r="W29" s="46">
        <v>0.004381</v>
      </c>
      <c r="X29" s="46">
        <v>0.002759</v>
      </c>
      <c r="Y29" s="46">
        <v>0</v>
      </c>
      <c r="Z29" s="46">
        <v>0</v>
      </c>
      <c r="AA29" s="68">
        <v>29</v>
      </c>
      <c r="AB29" s="68"/>
      <c r="AC29" s="69"/>
      <c r="AD29" s="76" t="s">
        <v>1277</v>
      </c>
      <c r="AE29" s="80" t="s">
        <v>1585</v>
      </c>
      <c r="AF29" s="76">
        <v>1242403</v>
      </c>
      <c r="AG29" s="76">
        <v>13</v>
      </c>
      <c r="AH29" s="76">
        <v>24521</v>
      </c>
      <c r="AI29" s="76">
        <v>14198</v>
      </c>
      <c r="AJ29" s="76">
        <v>5143</v>
      </c>
      <c r="AK29" s="76">
        <v>11462</v>
      </c>
      <c r="AL29" s="76" t="b">
        <v>0</v>
      </c>
      <c r="AM29" s="78">
        <v>39262.599594907406</v>
      </c>
      <c r="AN29" s="76" t="s">
        <v>1864</v>
      </c>
      <c r="AO29" s="76" t="s">
        <v>2069</v>
      </c>
      <c r="AP29" s="82" t="str">
        <f>HYPERLINK("https://t.co/iboGcLrH79")</f>
        <v>https://t.co/iboGcLrH79</v>
      </c>
      <c r="AQ29" s="82" t="str">
        <f>HYPERLINK("http://www.loc.gov")</f>
        <v>http://www.loc.gov</v>
      </c>
      <c r="AR29" s="76" t="s">
        <v>2366</v>
      </c>
      <c r="AS29" s="82" t="str">
        <f>HYPERLINK("https://t.co/KMH2LPXfZv")</f>
        <v>https://t.co/KMH2LPXfZv</v>
      </c>
      <c r="AT29" s="82" t="str">
        <f>HYPERLINK("https://loc.gov/connect")</f>
        <v>https://loc.gov/connect</v>
      </c>
      <c r="AU29" s="76" t="s">
        <v>2610</v>
      </c>
      <c r="AV29" s="76"/>
      <c r="AW29" s="82" t="str">
        <f>HYPERLINK("https://t.co/iboGcLrH79")</f>
        <v>https://t.co/iboGcLrH79</v>
      </c>
      <c r="AX29" s="76" t="b">
        <v>1</v>
      </c>
      <c r="AY29" s="76"/>
      <c r="AZ29" s="76"/>
      <c r="BA29" s="76" t="b">
        <v>0</v>
      </c>
      <c r="BB29" s="76" t="b">
        <v>1</v>
      </c>
      <c r="BC29" s="76" t="b">
        <v>0</v>
      </c>
      <c r="BD29" s="76" t="b">
        <v>0</v>
      </c>
      <c r="BE29" s="76" t="b">
        <v>1</v>
      </c>
      <c r="BF29" s="76" t="b">
        <v>0</v>
      </c>
      <c r="BG29" s="76" t="b">
        <v>0</v>
      </c>
      <c r="BH29" s="82" t="str">
        <f>HYPERLINK("https://pbs.twimg.com/profile_banners/7152572/1633697433")</f>
        <v>https://pbs.twimg.com/profile_banners/7152572/1633697433</v>
      </c>
      <c r="BI29" s="76"/>
      <c r="BJ29" s="76" t="s">
        <v>2656</v>
      </c>
      <c r="BK29" s="76" t="b">
        <v>0</v>
      </c>
      <c r="BL29" s="76"/>
      <c r="BM29" s="76" t="s">
        <v>65</v>
      </c>
      <c r="BN29" s="76" t="s">
        <v>2657</v>
      </c>
      <c r="BO29" s="82" t="str">
        <f>HYPERLINK("https://twitter.com/librarycongress")</f>
        <v>https://twitter.com/librarycongress</v>
      </c>
      <c r="BP29" s="76" t="str">
        <f>REPLACE(INDEX(GroupVertices[Group],MATCH(Vertices[[#This Row],[Vertex]],GroupVertices[Vertex],0)),1,1,"")</f>
        <v>4</v>
      </c>
      <c r="BQ29" s="45"/>
      <c r="BR29" s="46"/>
      <c r="BS29" s="45"/>
      <c r="BT29" s="46"/>
      <c r="BU29" s="45"/>
      <c r="BV29" s="46"/>
      <c r="BW29" s="45"/>
      <c r="BX29" s="46"/>
      <c r="BY29" s="45"/>
      <c r="BZ29" s="45"/>
      <c r="CA29" s="45"/>
      <c r="CB29" s="45"/>
      <c r="CC29" s="45"/>
      <c r="CD29" s="45"/>
      <c r="CE29" s="45"/>
      <c r="CF29" s="45"/>
      <c r="CG29" s="45"/>
      <c r="CH29" s="45"/>
      <c r="CI29" s="45"/>
      <c r="CJ29" s="2"/>
    </row>
    <row r="30" spans="1:88" ht="15">
      <c r="A30" s="61" t="s">
        <v>282</v>
      </c>
      <c r="B30" s="62"/>
      <c r="C30" s="62"/>
      <c r="D30" s="63">
        <v>535</v>
      </c>
      <c r="E30" s="65"/>
      <c r="F30" s="100" t="str">
        <f>HYPERLINK("https://pbs.twimg.com/profile_images/1509166271199387652/iv3b7FUZ_normal.jpg")</f>
        <v>https://pbs.twimg.com/profile_images/1509166271199387652/iv3b7FUZ_normal.jpg</v>
      </c>
      <c r="G30" s="62"/>
      <c r="H30" s="66" t="s">
        <v>282</v>
      </c>
      <c r="I30" s="67"/>
      <c r="J30" s="67" t="s">
        <v>159</v>
      </c>
      <c r="K30" s="66" t="s">
        <v>2684</v>
      </c>
      <c r="L30" s="70">
        <v>477.0952380952381</v>
      </c>
      <c r="M30" s="71">
        <v>8013.19970703125</v>
      </c>
      <c r="N30" s="71">
        <v>8110.39111328125</v>
      </c>
      <c r="O30" s="72"/>
      <c r="P30" s="73"/>
      <c r="Q30" s="73"/>
      <c r="R30" s="86"/>
      <c r="S30" s="45">
        <v>1</v>
      </c>
      <c r="T30" s="45">
        <v>0</v>
      </c>
      <c r="U30" s="46">
        <v>0</v>
      </c>
      <c r="V30" s="46">
        <v>0.248892</v>
      </c>
      <c r="W30" s="46">
        <v>0.004381</v>
      </c>
      <c r="X30" s="46">
        <v>0.002759</v>
      </c>
      <c r="Y30" s="46">
        <v>0</v>
      </c>
      <c r="Z30" s="46">
        <v>0</v>
      </c>
      <c r="AA30" s="68">
        <v>30</v>
      </c>
      <c r="AB30" s="68"/>
      <c r="AC30" s="69"/>
      <c r="AD30" s="76" t="s">
        <v>1278</v>
      </c>
      <c r="AE30" s="80" t="s">
        <v>1586</v>
      </c>
      <c r="AF30" s="76">
        <v>235194</v>
      </c>
      <c r="AG30" s="76">
        <v>1160</v>
      </c>
      <c r="AH30" s="76">
        <v>20419</v>
      </c>
      <c r="AI30" s="76">
        <v>4206</v>
      </c>
      <c r="AJ30" s="76">
        <v>8329</v>
      </c>
      <c r="AK30" s="76">
        <v>3567</v>
      </c>
      <c r="AL30" s="76" t="b">
        <v>0</v>
      </c>
      <c r="AM30" s="78">
        <v>39707.98605324074</v>
      </c>
      <c r="AN30" s="76" t="s">
        <v>1865</v>
      </c>
      <c r="AO30" s="76" t="s">
        <v>2070</v>
      </c>
      <c r="AP30" s="82" t="str">
        <f>HYPERLINK("https://t.co/eMlcVs33qu")</f>
        <v>https://t.co/eMlcVs33qu</v>
      </c>
      <c r="AQ30" s="82" t="str">
        <f>HYPERLINK("http://www.research.ibm.com/")</f>
        <v>http://www.research.ibm.com/</v>
      </c>
      <c r="AR30" s="76" t="s">
        <v>2367</v>
      </c>
      <c r="AS30" s="82" t="str">
        <f>HYPERLINK("https://t.co/kyfsvQN1Dn")</f>
        <v>https://t.co/kyfsvQN1Dn</v>
      </c>
      <c r="AT30" s="82" t="str">
        <f>HYPERLINK("https://ibm.biz/BdMBhJ")</f>
        <v>https://ibm.biz/BdMBhJ</v>
      </c>
      <c r="AU30" s="76" t="s">
        <v>2611</v>
      </c>
      <c r="AV30" s="76"/>
      <c r="AW30" s="82" t="str">
        <f>HYPERLINK("https://t.co/eMlcVs33qu")</f>
        <v>https://t.co/eMlcVs33qu</v>
      </c>
      <c r="AX30" s="76" t="b">
        <v>0</v>
      </c>
      <c r="AY30" s="76"/>
      <c r="AZ30" s="76"/>
      <c r="BA30" s="76" t="b">
        <v>1</v>
      </c>
      <c r="BB30" s="76" t="b">
        <v>1</v>
      </c>
      <c r="BC30" s="76" t="b">
        <v>0</v>
      </c>
      <c r="BD30" s="76" t="b">
        <v>0</v>
      </c>
      <c r="BE30" s="76" t="b">
        <v>1</v>
      </c>
      <c r="BF30" s="76" t="b">
        <v>0</v>
      </c>
      <c r="BG30" s="76" t="b">
        <v>0</v>
      </c>
      <c r="BH30" s="82" t="str">
        <f>HYPERLINK("https://pbs.twimg.com/profile_banners/16319797/1630416849")</f>
        <v>https://pbs.twimg.com/profile_banners/16319797/1630416849</v>
      </c>
      <c r="BI30" s="76"/>
      <c r="BJ30" s="76" t="s">
        <v>2656</v>
      </c>
      <c r="BK30" s="76" t="b">
        <v>0</v>
      </c>
      <c r="BL30" s="76"/>
      <c r="BM30" s="76" t="s">
        <v>65</v>
      </c>
      <c r="BN30" s="76" t="s">
        <v>2657</v>
      </c>
      <c r="BO30" s="82" t="str">
        <f>HYPERLINK("https://twitter.com/ibmresearch")</f>
        <v>https://twitter.com/ibmresearch</v>
      </c>
      <c r="BP30" s="76" t="str">
        <f>REPLACE(INDEX(GroupVertices[Group],MATCH(Vertices[[#This Row],[Vertex]],GroupVertices[Vertex],0)),1,1,"")</f>
        <v>4</v>
      </c>
      <c r="BQ30" s="45"/>
      <c r="BR30" s="46"/>
      <c r="BS30" s="45"/>
      <c r="BT30" s="46"/>
      <c r="BU30" s="45"/>
      <c r="BV30" s="46"/>
      <c r="BW30" s="45"/>
      <c r="BX30" s="46"/>
      <c r="BY30" s="45"/>
      <c r="BZ30" s="45"/>
      <c r="CA30" s="45"/>
      <c r="CB30" s="45"/>
      <c r="CC30" s="45"/>
      <c r="CD30" s="45"/>
      <c r="CE30" s="45"/>
      <c r="CF30" s="45"/>
      <c r="CG30" s="45"/>
      <c r="CH30" s="45"/>
      <c r="CI30" s="45"/>
      <c r="CJ30" s="2"/>
    </row>
    <row r="31" spans="1:88" ht="15">
      <c r="A31" s="61" t="s">
        <v>283</v>
      </c>
      <c r="B31" s="62"/>
      <c r="C31" s="62"/>
      <c r="D31" s="63">
        <v>535</v>
      </c>
      <c r="E31" s="65"/>
      <c r="F31" s="100" t="str">
        <f>HYPERLINK("https://pbs.twimg.com/profile_images/912676696620359680/e-G5lqVs_normal.jpg")</f>
        <v>https://pbs.twimg.com/profile_images/912676696620359680/e-G5lqVs_normal.jpg</v>
      </c>
      <c r="G31" s="62"/>
      <c r="H31" s="66" t="s">
        <v>283</v>
      </c>
      <c r="I31" s="67"/>
      <c r="J31" s="67" t="s">
        <v>159</v>
      </c>
      <c r="K31" s="66" t="s">
        <v>2685</v>
      </c>
      <c r="L31" s="70">
        <v>477.0952380952381</v>
      </c>
      <c r="M31" s="71">
        <v>7483.328125</v>
      </c>
      <c r="N31" s="71">
        <v>8279.1826171875</v>
      </c>
      <c r="O31" s="72"/>
      <c r="P31" s="73"/>
      <c r="Q31" s="73"/>
      <c r="R31" s="86"/>
      <c r="S31" s="45">
        <v>1</v>
      </c>
      <c r="T31" s="45">
        <v>0</v>
      </c>
      <c r="U31" s="46">
        <v>0</v>
      </c>
      <c r="V31" s="46">
        <v>0.248892</v>
      </c>
      <c r="W31" s="46">
        <v>0.004381</v>
      </c>
      <c r="X31" s="46">
        <v>0.002759</v>
      </c>
      <c r="Y31" s="46">
        <v>0</v>
      </c>
      <c r="Z31" s="46">
        <v>0</v>
      </c>
      <c r="AA31" s="68">
        <v>31</v>
      </c>
      <c r="AB31" s="68"/>
      <c r="AC31" s="69"/>
      <c r="AD31" s="76" t="s">
        <v>1279</v>
      </c>
      <c r="AE31" s="80" t="s">
        <v>1587</v>
      </c>
      <c r="AF31" s="76">
        <v>218375</v>
      </c>
      <c r="AG31" s="76">
        <v>865</v>
      </c>
      <c r="AH31" s="76">
        <v>11181</v>
      </c>
      <c r="AI31" s="76">
        <v>3995</v>
      </c>
      <c r="AJ31" s="76">
        <v>17822</v>
      </c>
      <c r="AK31" s="76">
        <v>2741</v>
      </c>
      <c r="AL31" s="76" t="b">
        <v>0</v>
      </c>
      <c r="AM31" s="78">
        <v>39839.662465277775</v>
      </c>
      <c r="AN31" s="76" t="s">
        <v>1866</v>
      </c>
      <c r="AO31" s="76" t="s">
        <v>2071</v>
      </c>
      <c r="AP31" s="82" t="str">
        <f>HYPERLINK("https://t.co/F2infLwBCL")</f>
        <v>https://t.co/F2infLwBCL</v>
      </c>
      <c r="AQ31" s="82" t="str">
        <f>HYPERLINK("http://ocw.mit.edu")</f>
        <v>http://ocw.mit.edu</v>
      </c>
      <c r="AR31" s="76" t="s">
        <v>2368</v>
      </c>
      <c r="AS31" s="82" t="str">
        <f>HYPERLINK("https://t.co/QaHinns7Yc")</f>
        <v>https://t.co/QaHinns7Yc</v>
      </c>
      <c r="AT31" s="82" t="str">
        <f>HYPERLINK("http://socialmediahub.mit.edu")</f>
        <v>http://socialmediahub.mit.edu</v>
      </c>
      <c r="AU31" s="76" t="s">
        <v>2612</v>
      </c>
      <c r="AV31" s="76"/>
      <c r="AW31" s="82" t="str">
        <f>HYPERLINK("https://t.co/F2infLwBCL")</f>
        <v>https://t.co/F2infLwBCL</v>
      </c>
      <c r="AX31" s="76" t="b">
        <v>0</v>
      </c>
      <c r="AY31" s="76"/>
      <c r="AZ31" s="76"/>
      <c r="BA31" s="76" t="b">
        <v>0</v>
      </c>
      <c r="BB31" s="76" t="b">
        <v>1</v>
      </c>
      <c r="BC31" s="76" t="b">
        <v>0</v>
      </c>
      <c r="BD31" s="76" t="b">
        <v>0</v>
      </c>
      <c r="BE31" s="76" t="b">
        <v>1</v>
      </c>
      <c r="BF31" s="76" t="b">
        <v>0</v>
      </c>
      <c r="BG31" s="76" t="b">
        <v>0</v>
      </c>
      <c r="BH31" s="82" t="str">
        <f>HYPERLINK("https://pbs.twimg.com/profile_banners/19540483/1678979566")</f>
        <v>https://pbs.twimg.com/profile_banners/19540483/1678979566</v>
      </c>
      <c r="BI31" s="76"/>
      <c r="BJ31" s="76" t="s">
        <v>2656</v>
      </c>
      <c r="BK31" s="76" t="b">
        <v>0</v>
      </c>
      <c r="BL31" s="76"/>
      <c r="BM31" s="76" t="s">
        <v>65</v>
      </c>
      <c r="BN31" s="76" t="s">
        <v>2657</v>
      </c>
      <c r="BO31" s="82" t="str">
        <f>HYPERLINK("https://twitter.com/mitocw")</f>
        <v>https://twitter.com/mitocw</v>
      </c>
      <c r="BP31" s="76" t="str">
        <f>REPLACE(INDEX(GroupVertices[Group],MATCH(Vertices[[#This Row],[Vertex]],GroupVertices[Vertex],0)),1,1,"")</f>
        <v>4</v>
      </c>
      <c r="BQ31" s="45"/>
      <c r="BR31" s="46"/>
      <c r="BS31" s="45"/>
      <c r="BT31" s="46"/>
      <c r="BU31" s="45"/>
      <c r="BV31" s="46"/>
      <c r="BW31" s="45"/>
      <c r="BX31" s="46"/>
      <c r="BY31" s="45"/>
      <c r="BZ31" s="45"/>
      <c r="CA31" s="45"/>
      <c r="CB31" s="45"/>
      <c r="CC31" s="45"/>
      <c r="CD31" s="45"/>
      <c r="CE31" s="45"/>
      <c r="CF31" s="45"/>
      <c r="CG31" s="45"/>
      <c r="CH31" s="45"/>
      <c r="CI31" s="45"/>
      <c r="CJ31" s="2"/>
    </row>
    <row r="32" spans="1:88" ht="15">
      <c r="A32" s="61" t="s">
        <v>284</v>
      </c>
      <c r="B32" s="62"/>
      <c r="C32" s="62"/>
      <c r="D32" s="63">
        <v>535</v>
      </c>
      <c r="E32" s="65"/>
      <c r="F32" s="100" t="str">
        <f>HYPERLINK("https://pbs.twimg.com/profile_images/1273414624486944769/ugO-Dwae_normal.jpg")</f>
        <v>https://pbs.twimg.com/profile_images/1273414624486944769/ugO-Dwae_normal.jpg</v>
      </c>
      <c r="G32" s="62"/>
      <c r="H32" s="66" t="s">
        <v>284</v>
      </c>
      <c r="I32" s="67"/>
      <c r="J32" s="67" t="s">
        <v>159</v>
      </c>
      <c r="K32" s="66" t="s">
        <v>2686</v>
      </c>
      <c r="L32" s="70">
        <v>477.0952380952381</v>
      </c>
      <c r="M32" s="71">
        <v>9884.892578125</v>
      </c>
      <c r="N32" s="71">
        <v>7909.97216796875</v>
      </c>
      <c r="O32" s="72"/>
      <c r="P32" s="73"/>
      <c r="Q32" s="73"/>
      <c r="R32" s="86"/>
      <c r="S32" s="45">
        <v>1</v>
      </c>
      <c r="T32" s="45">
        <v>0</v>
      </c>
      <c r="U32" s="46">
        <v>0</v>
      </c>
      <c r="V32" s="46">
        <v>0.248892</v>
      </c>
      <c r="W32" s="46">
        <v>0.004381</v>
      </c>
      <c r="X32" s="46">
        <v>0.002759</v>
      </c>
      <c r="Y32" s="46">
        <v>0</v>
      </c>
      <c r="Z32" s="46">
        <v>0</v>
      </c>
      <c r="AA32" s="68">
        <v>32</v>
      </c>
      <c r="AB32" s="68"/>
      <c r="AC32" s="69"/>
      <c r="AD32" s="76" t="s">
        <v>1280</v>
      </c>
      <c r="AE32" s="80" t="s">
        <v>1588</v>
      </c>
      <c r="AF32" s="76">
        <v>18739</v>
      </c>
      <c r="AG32" s="76">
        <v>42</v>
      </c>
      <c r="AH32" s="76">
        <v>2435</v>
      </c>
      <c r="AI32" s="76">
        <v>342</v>
      </c>
      <c r="AJ32" s="76">
        <v>35</v>
      </c>
      <c r="AK32" s="76">
        <v>1457</v>
      </c>
      <c r="AL32" s="76" t="b">
        <v>0</v>
      </c>
      <c r="AM32" s="78">
        <v>40358.57917824074</v>
      </c>
      <c r="AN32" s="76" t="s">
        <v>1867</v>
      </c>
      <c r="AO32" s="76" t="s">
        <v>2072</v>
      </c>
      <c r="AP32" s="82" t="str">
        <f>HYPERLINK("https://t.co/5xgwN9PYDb")</f>
        <v>https://t.co/5xgwN9PYDb</v>
      </c>
      <c r="AQ32" s="82" t="str">
        <f>HYPERLINK("https://home.unicode.org/")</f>
        <v>https://home.unicode.org/</v>
      </c>
      <c r="AR32" s="76" t="s">
        <v>2369</v>
      </c>
      <c r="AS32" s="76" t="s">
        <v>2584</v>
      </c>
      <c r="AT32" s="76" t="s">
        <v>2596</v>
      </c>
      <c r="AU32" s="76" t="s">
        <v>2613</v>
      </c>
      <c r="AV32" s="76"/>
      <c r="AW32" s="82" t="str">
        <f>HYPERLINK("https://t.co/5xgwN9PYDb")</f>
        <v>https://t.co/5xgwN9PYDb</v>
      </c>
      <c r="AX32" s="76" t="b">
        <v>0</v>
      </c>
      <c r="AY32" s="76"/>
      <c r="AZ32" s="76"/>
      <c r="BA32" s="76" t="b">
        <v>0</v>
      </c>
      <c r="BB32" s="76" t="b">
        <v>0</v>
      </c>
      <c r="BC32" s="76" t="b">
        <v>1</v>
      </c>
      <c r="BD32" s="76" t="b">
        <v>0</v>
      </c>
      <c r="BE32" s="76" t="b">
        <v>1</v>
      </c>
      <c r="BF32" s="76" t="b">
        <v>0</v>
      </c>
      <c r="BG32" s="76" t="b">
        <v>0</v>
      </c>
      <c r="BH32" s="82" t="str">
        <f>HYPERLINK("https://pbs.twimg.com/profile_banners/160927018/1593005524")</f>
        <v>https://pbs.twimg.com/profile_banners/160927018/1593005524</v>
      </c>
      <c r="BI32" s="76"/>
      <c r="BJ32" s="76" t="s">
        <v>2656</v>
      </c>
      <c r="BK32" s="76" t="b">
        <v>0</v>
      </c>
      <c r="BL32" s="76"/>
      <c r="BM32" s="76" t="s">
        <v>65</v>
      </c>
      <c r="BN32" s="76" t="s">
        <v>2657</v>
      </c>
      <c r="BO32" s="82" t="str">
        <f>HYPERLINK("https://twitter.com/unicode")</f>
        <v>https://twitter.com/unicode</v>
      </c>
      <c r="BP32" s="76" t="str">
        <f>REPLACE(INDEX(GroupVertices[Group],MATCH(Vertices[[#This Row],[Vertex]],GroupVertices[Vertex],0)),1,1,"")</f>
        <v>4</v>
      </c>
      <c r="BQ32" s="45"/>
      <c r="BR32" s="46"/>
      <c r="BS32" s="45"/>
      <c r="BT32" s="46"/>
      <c r="BU32" s="45"/>
      <c r="BV32" s="46"/>
      <c r="BW32" s="45"/>
      <c r="BX32" s="46"/>
      <c r="BY32" s="45"/>
      <c r="BZ32" s="45"/>
      <c r="CA32" s="45"/>
      <c r="CB32" s="45"/>
      <c r="CC32" s="45"/>
      <c r="CD32" s="45"/>
      <c r="CE32" s="45"/>
      <c r="CF32" s="45"/>
      <c r="CG32" s="45"/>
      <c r="CH32" s="45"/>
      <c r="CI32" s="45"/>
      <c r="CJ32" s="2"/>
    </row>
    <row r="33" spans="1:88" ht="15">
      <c r="A33" s="61" t="s">
        <v>285</v>
      </c>
      <c r="B33" s="62"/>
      <c r="C33" s="62"/>
      <c r="D33" s="63">
        <v>535</v>
      </c>
      <c r="E33" s="65"/>
      <c r="F33" s="100" t="str">
        <f>HYPERLINK("https://pbs.twimg.com/profile_images/1018552942670966784/0Zflj6Y__normal.jpg")</f>
        <v>https://pbs.twimg.com/profile_images/1018552942670966784/0Zflj6Y__normal.jpg</v>
      </c>
      <c r="G33" s="62"/>
      <c r="H33" s="66" t="s">
        <v>285</v>
      </c>
      <c r="I33" s="67"/>
      <c r="J33" s="67" t="s">
        <v>159</v>
      </c>
      <c r="K33" s="66" t="s">
        <v>2687</v>
      </c>
      <c r="L33" s="70">
        <v>477.0952380952381</v>
      </c>
      <c r="M33" s="71">
        <v>9227.662109375</v>
      </c>
      <c r="N33" s="71">
        <v>9687.2275390625</v>
      </c>
      <c r="O33" s="72"/>
      <c r="P33" s="73"/>
      <c r="Q33" s="73"/>
      <c r="R33" s="86"/>
      <c r="S33" s="45">
        <v>1</v>
      </c>
      <c r="T33" s="45">
        <v>0</v>
      </c>
      <c r="U33" s="46">
        <v>0</v>
      </c>
      <c r="V33" s="46">
        <v>0.248892</v>
      </c>
      <c r="W33" s="46">
        <v>0.004381</v>
      </c>
      <c r="X33" s="46">
        <v>0.002759</v>
      </c>
      <c r="Y33" s="46">
        <v>0</v>
      </c>
      <c r="Z33" s="46">
        <v>0</v>
      </c>
      <c r="AA33" s="68">
        <v>33</v>
      </c>
      <c r="AB33" s="68"/>
      <c r="AC33" s="69"/>
      <c r="AD33" s="76" t="s">
        <v>1281</v>
      </c>
      <c r="AE33" s="80" t="s">
        <v>1589</v>
      </c>
      <c r="AF33" s="76">
        <v>636132</v>
      </c>
      <c r="AG33" s="76">
        <v>752</v>
      </c>
      <c r="AH33" s="76">
        <v>21975</v>
      </c>
      <c r="AI33" s="76">
        <v>4615</v>
      </c>
      <c r="AJ33" s="76">
        <v>3848</v>
      </c>
      <c r="AK33" s="76">
        <v>4326</v>
      </c>
      <c r="AL33" s="76" t="b">
        <v>0</v>
      </c>
      <c r="AM33" s="78">
        <v>40116.853634259256</v>
      </c>
      <c r="AN33" s="76"/>
      <c r="AO33" s="76" t="s">
        <v>2073</v>
      </c>
      <c r="AP33" s="82" t="str">
        <f>HYPERLINK("https://t.co/UxICFVbV6C")</f>
        <v>https://t.co/UxICFVbV6C</v>
      </c>
      <c r="AQ33" s="82" t="str">
        <f>HYPERLINK("https://www.wikipedia.org/")</f>
        <v>https://www.wikipedia.org/</v>
      </c>
      <c r="AR33" s="76" t="s">
        <v>2370</v>
      </c>
      <c r="AS33" s="82" t="str">
        <f>HYPERLINK("https://t.co/F6dmvrO3et")</f>
        <v>https://t.co/F6dmvrO3et</v>
      </c>
      <c r="AT33" s="82" t="str">
        <f>HYPERLINK("http://w.wiki/b3f")</f>
        <v>http://w.wiki/b3f</v>
      </c>
      <c r="AU33" s="76" t="s">
        <v>2614</v>
      </c>
      <c r="AV33" s="76"/>
      <c r="AW33" s="82" t="str">
        <f>HYPERLINK("https://t.co/UxICFVbV6C")</f>
        <v>https://t.co/UxICFVbV6C</v>
      </c>
      <c r="AX33" s="76" t="b">
        <v>0</v>
      </c>
      <c r="AY33" s="76"/>
      <c r="AZ33" s="76"/>
      <c r="BA33" s="76" t="b">
        <v>0</v>
      </c>
      <c r="BB33" s="76" t="b">
        <v>1</v>
      </c>
      <c r="BC33" s="76" t="b">
        <v>0</v>
      </c>
      <c r="BD33" s="76" t="b">
        <v>0</v>
      </c>
      <c r="BE33" s="76" t="b">
        <v>1</v>
      </c>
      <c r="BF33" s="76" t="b">
        <v>0</v>
      </c>
      <c r="BG33" s="76" t="b">
        <v>0</v>
      </c>
      <c r="BH33" s="82" t="str">
        <f>HYPERLINK("https://pbs.twimg.com/profile_banners/86390214/1665503634")</f>
        <v>https://pbs.twimg.com/profile_banners/86390214/1665503634</v>
      </c>
      <c r="BI33" s="76"/>
      <c r="BJ33" s="76" t="s">
        <v>2655</v>
      </c>
      <c r="BK33" s="76" t="b">
        <v>0</v>
      </c>
      <c r="BL33" s="76"/>
      <c r="BM33" s="76" t="s">
        <v>65</v>
      </c>
      <c r="BN33" s="76" t="s">
        <v>2657</v>
      </c>
      <c r="BO33" s="82" t="str">
        <f>HYPERLINK("https://twitter.com/wikipedia")</f>
        <v>https://twitter.com/wikipedia</v>
      </c>
      <c r="BP33" s="76" t="str">
        <f>REPLACE(INDEX(GroupVertices[Group],MATCH(Vertices[[#This Row],[Vertex]],GroupVertices[Vertex],0)),1,1,"")</f>
        <v>4</v>
      </c>
      <c r="BQ33" s="45"/>
      <c r="BR33" s="46"/>
      <c r="BS33" s="45"/>
      <c r="BT33" s="46"/>
      <c r="BU33" s="45"/>
      <c r="BV33" s="46"/>
      <c r="BW33" s="45"/>
      <c r="BX33" s="46"/>
      <c r="BY33" s="45"/>
      <c r="BZ33" s="45"/>
      <c r="CA33" s="45"/>
      <c r="CB33" s="45"/>
      <c r="CC33" s="45"/>
      <c r="CD33" s="45"/>
      <c r="CE33" s="45"/>
      <c r="CF33" s="45"/>
      <c r="CG33" s="45"/>
      <c r="CH33" s="45"/>
      <c r="CI33" s="45"/>
      <c r="CJ33" s="2"/>
    </row>
    <row r="34" spans="1:88" ht="15">
      <c r="A34" s="61" t="s">
        <v>286</v>
      </c>
      <c r="B34" s="62"/>
      <c r="C34" s="62"/>
      <c r="D34" s="63">
        <v>535</v>
      </c>
      <c r="E34" s="65"/>
      <c r="F34" s="100" t="str">
        <f>HYPERLINK("https://abs.twimg.com/sticky/default_profile_images/default_profile_normal.png")</f>
        <v>https://abs.twimg.com/sticky/default_profile_images/default_profile_normal.png</v>
      </c>
      <c r="G34" s="62"/>
      <c r="H34" s="66" t="s">
        <v>286</v>
      </c>
      <c r="I34" s="67"/>
      <c r="J34" s="67" t="s">
        <v>159</v>
      </c>
      <c r="K34" s="66" t="s">
        <v>2688</v>
      </c>
      <c r="L34" s="70">
        <v>477.0952380952381</v>
      </c>
      <c r="M34" s="71">
        <v>8007.45751953125</v>
      </c>
      <c r="N34" s="71">
        <v>8844.0107421875</v>
      </c>
      <c r="O34" s="72"/>
      <c r="P34" s="73"/>
      <c r="Q34" s="73"/>
      <c r="R34" s="86"/>
      <c r="S34" s="45">
        <v>1</v>
      </c>
      <c r="T34" s="45">
        <v>0</v>
      </c>
      <c r="U34" s="46">
        <v>0</v>
      </c>
      <c r="V34" s="46">
        <v>0.248892</v>
      </c>
      <c r="W34" s="46">
        <v>0.004381</v>
      </c>
      <c r="X34" s="46">
        <v>0.002759</v>
      </c>
      <c r="Y34" s="46">
        <v>0</v>
      </c>
      <c r="Z34" s="46">
        <v>0</v>
      </c>
      <c r="AA34" s="68">
        <v>34</v>
      </c>
      <c r="AB34" s="68"/>
      <c r="AC34" s="69"/>
      <c r="AD34" s="76" t="s">
        <v>290</v>
      </c>
      <c r="AE34" s="80" t="s">
        <v>1590</v>
      </c>
      <c r="AF34" s="76">
        <v>0</v>
      </c>
      <c r="AG34" s="76">
        <v>0</v>
      </c>
      <c r="AH34" s="76">
        <v>0</v>
      </c>
      <c r="AI34" s="76">
        <v>0</v>
      </c>
      <c r="AJ34" s="76">
        <v>0</v>
      </c>
      <c r="AK34" s="76">
        <v>0</v>
      </c>
      <c r="AL34" s="76" t="b">
        <v>0</v>
      </c>
      <c r="AM34" s="78">
        <v>44932.0141087963</v>
      </c>
      <c r="AN34" s="76"/>
      <c r="AO34" s="76"/>
      <c r="AP34" s="76"/>
      <c r="AQ34" s="76"/>
      <c r="AR34" s="76"/>
      <c r="AS34" s="76"/>
      <c r="AT34" s="76"/>
      <c r="AU34" s="76"/>
      <c r="AV34" s="76"/>
      <c r="AW34" s="76"/>
      <c r="AX34" s="76" t="b">
        <v>0</v>
      </c>
      <c r="AY34" s="76"/>
      <c r="AZ34" s="76"/>
      <c r="BA34" s="76" t="b">
        <v>0</v>
      </c>
      <c r="BB34" s="76" t="b">
        <v>1</v>
      </c>
      <c r="BC34" s="76" t="b">
        <v>1</v>
      </c>
      <c r="BD34" s="76" t="b">
        <v>1</v>
      </c>
      <c r="BE34" s="76" t="b">
        <v>0</v>
      </c>
      <c r="BF34" s="76" t="b">
        <v>0</v>
      </c>
      <c r="BG34" s="76" t="b">
        <v>0</v>
      </c>
      <c r="BH34" s="76"/>
      <c r="BI34" s="76"/>
      <c r="BJ34" s="76" t="s">
        <v>2656</v>
      </c>
      <c r="BK34" s="76" t="b">
        <v>0</v>
      </c>
      <c r="BL34" s="76"/>
      <c r="BM34" s="76" t="s">
        <v>65</v>
      </c>
      <c r="BN34" s="76" t="s">
        <v>2657</v>
      </c>
      <c r="BO34" s="82" t="str">
        <f>HYPERLINK("https://twitter.com/hulivar1")</f>
        <v>https://twitter.com/hulivar1</v>
      </c>
      <c r="BP34" s="76" t="str">
        <f>REPLACE(INDEX(GroupVertices[Group],MATCH(Vertices[[#This Row],[Vertex]],GroupVertices[Vertex],0)),1,1,"")</f>
        <v>4</v>
      </c>
      <c r="BQ34" s="45"/>
      <c r="BR34" s="46"/>
      <c r="BS34" s="45"/>
      <c r="BT34" s="46"/>
      <c r="BU34" s="45"/>
      <c r="BV34" s="46"/>
      <c r="BW34" s="45"/>
      <c r="BX34" s="46"/>
      <c r="BY34" s="45"/>
      <c r="BZ34" s="45"/>
      <c r="CA34" s="45"/>
      <c r="CB34" s="45"/>
      <c r="CC34" s="45"/>
      <c r="CD34" s="45"/>
      <c r="CE34" s="45"/>
      <c r="CF34" s="45"/>
      <c r="CG34" s="45"/>
      <c r="CH34" s="45"/>
      <c r="CI34" s="45"/>
      <c r="CJ34" s="2"/>
    </row>
    <row r="35" spans="1:88" ht="15">
      <c r="A35" s="61" t="s">
        <v>287</v>
      </c>
      <c r="B35" s="62"/>
      <c r="C35" s="62"/>
      <c r="D35" s="63">
        <v>535</v>
      </c>
      <c r="E35" s="65"/>
      <c r="F35" s="100" t="str">
        <f>HYPERLINK("https://abs.twimg.com/sticky/default_profile_images/default_profile_normal.png")</f>
        <v>https://abs.twimg.com/sticky/default_profile_images/default_profile_normal.png</v>
      </c>
      <c r="G35" s="62"/>
      <c r="H35" s="66" t="s">
        <v>287</v>
      </c>
      <c r="I35" s="67"/>
      <c r="J35" s="67" t="s">
        <v>159</v>
      </c>
      <c r="K35" s="66" t="s">
        <v>2689</v>
      </c>
      <c r="L35" s="70">
        <v>477.0952380952381</v>
      </c>
      <c r="M35" s="71">
        <v>9740.666015625</v>
      </c>
      <c r="N35" s="71">
        <v>8923.580078125</v>
      </c>
      <c r="O35" s="72"/>
      <c r="P35" s="73"/>
      <c r="Q35" s="73"/>
      <c r="R35" s="86"/>
      <c r="S35" s="45">
        <v>1</v>
      </c>
      <c r="T35" s="45">
        <v>0</v>
      </c>
      <c r="U35" s="46">
        <v>0</v>
      </c>
      <c r="V35" s="46">
        <v>0.248892</v>
      </c>
      <c r="W35" s="46">
        <v>0.004381</v>
      </c>
      <c r="X35" s="46">
        <v>0.002759</v>
      </c>
      <c r="Y35" s="46">
        <v>0</v>
      </c>
      <c r="Z35" s="46">
        <v>0</v>
      </c>
      <c r="AA35" s="68">
        <v>35</v>
      </c>
      <c r="AB35" s="68"/>
      <c r="AC35" s="69"/>
      <c r="AD35" s="76" t="s">
        <v>290</v>
      </c>
      <c r="AE35" s="80" t="s">
        <v>1591</v>
      </c>
      <c r="AF35" s="76">
        <v>0</v>
      </c>
      <c r="AG35" s="76">
        <v>0</v>
      </c>
      <c r="AH35" s="76">
        <v>0</v>
      </c>
      <c r="AI35" s="76">
        <v>0</v>
      </c>
      <c r="AJ35" s="76">
        <v>0</v>
      </c>
      <c r="AK35" s="76">
        <v>0</v>
      </c>
      <c r="AL35" s="76" t="b">
        <v>0</v>
      </c>
      <c r="AM35" s="78">
        <v>44959.13685185185</v>
      </c>
      <c r="AN35" s="76"/>
      <c r="AO35" s="76"/>
      <c r="AP35" s="76"/>
      <c r="AQ35" s="76"/>
      <c r="AR35" s="76"/>
      <c r="AS35" s="76"/>
      <c r="AT35" s="76"/>
      <c r="AU35" s="76"/>
      <c r="AV35" s="76"/>
      <c r="AW35" s="76"/>
      <c r="AX35" s="76" t="b">
        <v>0</v>
      </c>
      <c r="AY35" s="76"/>
      <c r="AZ35" s="76"/>
      <c r="BA35" s="76" t="b">
        <v>0</v>
      </c>
      <c r="BB35" s="76" t="b">
        <v>1</v>
      </c>
      <c r="BC35" s="76" t="b">
        <v>1</v>
      </c>
      <c r="BD35" s="76" t="b">
        <v>1</v>
      </c>
      <c r="BE35" s="76" t="b">
        <v>0</v>
      </c>
      <c r="BF35" s="76" t="b">
        <v>0</v>
      </c>
      <c r="BG35" s="76" t="b">
        <v>0</v>
      </c>
      <c r="BH35" s="76"/>
      <c r="BI35" s="76"/>
      <c r="BJ35" s="76" t="s">
        <v>2656</v>
      </c>
      <c r="BK35" s="76" t="b">
        <v>0</v>
      </c>
      <c r="BL35" s="76"/>
      <c r="BM35" s="76" t="s">
        <v>65</v>
      </c>
      <c r="BN35" s="76" t="s">
        <v>2657</v>
      </c>
      <c r="BO35" s="82" t="str">
        <f>HYPERLINK("https://twitter.com/hulivar2")</f>
        <v>https://twitter.com/hulivar2</v>
      </c>
      <c r="BP35" s="76" t="str">
        <f>REPLACE(INDEX(GroupVertices[Group],MATCH(Vertices[[#This Row],[Vertex]],GroupVertices[Vertex],0)),1,1,"")</f>
        <v>4</v>
      </c>
      <c r="BQ35" s="45"/>
      <c r="BR35" s="46"/>
      <c r="BS35" s="45"/>
      <c r="BT35" s="46"/>
      <c r="BU35" s="45"/>
      <c r="BV35" s="46"/>
      <c r="BW35" s="45"/>
      <c r="BX35" s="46"/>
      <c r="BY35" s="45"/>
      <c r="BZ35" s="45"/>
      <c r="CA35" s="45"/>
      <c r="CB35" s="45"/>
      <c r="CC35" s="45"/>
      <c r="CD35" s="45"/>
      <c r="CE35" s="45"/>
      <c r="CF35" s="45"/>
      <c r="CG35" s="45"/>
      <c r="CH35" s="45"/>
      <c r="CI35" s="45"/>
      <c r="CJ35" s="2"/>
    </row>
    <row r="36" spans="1:88" ht="15">
      <c r="A36" s="61" t="s">
        <v>288</v>
      </c>
      <c r="B36" s="62"/>
      <c r="C36" s="62"/>
      <c r="D36" s="63">
        <v>535</v>
      </c>
      <c r="E36" s="65"/>
      <c r="F36" s="100" t="str">
        <f>HYPERLINK("https://pbs.twimg.com/profile_images/1463012177539784707/p4QPrsNg_normal.jpg")</f>
        <v>https://pbs.twimg.com/profile_images/1463012177539784707/p4QPrsNg_normal.jpg</v>
      </c>
      <c r="G36" s="62"/>
      <c r="H36" s="66" t="s">
        <v>288</v>
      </c>
      <c r="I36" s="67"/>
      <c r="J36" s="67" t="s">
        <v>159</v>
      </c>
      <c r="K36" s="66" t="s">
        <v>2690</v>
      </c>
      <c r="L36" s="70">
        <v>477.0952380952381</v>
      </c>
      <c r="M36" s="71">
        <v>8475.953125</v>
      </c>
      <c r="N36" s="71">
        <v>9800.962890625</v>
      </c>
      <c r="O36" s="72"/>
      <c r="P36" s="73"/>
      <c r="Q36" s="73"/>
      <c r="R36" s="86"/>
      <c r="S36" s="45">
        <v>1</v>
      </c>
      <c r="T36" s="45">
        <v>0</v>
      </c>
      <c r="U36" s="46">
        <v>0</v>
      </c>
      <c r="V36" s="46">
        <v>0.248892</v>
      </c>
      <c r="W36" s="46">
        <v>0.004381</v>
      </c>
      <c r="X36" s="46">
        <v>0.002759</v>
      </c>
      <c r="Y36" s="46">
        <v>0</v>
      </c>
      <c r="Z36" s="46">
        <v>0</v>
      </c>
      <c r="AA36" s="68">
        <v>36</v>
      </c>
      <c r="AB36" s="68"/>
      <c r="AC36" s="69"/>
      <c r="AD36" s="76" t="s">
        <v>1282</v>
      </c>
      <c r="AE36" s="80" t="s">
        <v>1592</v>
      </c>
      <c r="AF36" s="76">
        <v>42</v>
      </c>
      <c r="AG36" s="76">
        <v>206</v>
      </c>
      <c r="AH36" s="76">
        <v>242</v>
      </c>
      <c r="AI36" s="76">
        <v>0</v>
      </c>
      <c r="AJ36" s="76">
        <v>105</v>
      </c>
      <c r="AK36" s="76">
        <v>18</v>
      </c>
      <c r="AL36" s="76" t="b">
        <v>0</v>
      </c>
      <c r="AM36" s="78">
        <v>40707.13315972222</v>
      </c>
      <c r="AN36" s="76" t="s">
        <v>1868</v>
      </c>
      <c r="AO36" s="76"/>
      <c r="AP36" s="82" t="str">
        <f>HYPERLINK("https://t.co/lXPp5Ibq3f")</f>
        <v>https://t.co/lXPp5Ibq3f</v>
      </c>
      <c r="AQ36" s="82" t="str">
        <f>HYPERLINK("http://www.facebook.com/humbertoulivarri")</f>
        <v>http://www.facebook.com/humbertoulivarri</v>
      </c>
      <c r="AR36" s="76" t="s">
        <v>2371</v>
      </c>
      <c r="AS36" s="76"/>
      <c r="AT36" s="76"/>
      <c r="AU36" s="76"/>
      <c r="AV36" s="76"/>
      <c r="AW36" s="82" t="str">
        <f>HYPERLINK("https://t.co/lXPp5Ibq3f")</f>
        <v>https://t.co/lXPp5Ibq3f</v>
      </c>
      <c r="AX36" s="76" t="b">
        <v>0</v>
      </c>
      <c r="AY36" s="76"/>
      <c r="AZ36" s="76"/>
      <c r="BA36" s="76" t="b">
        <v>0</v>
      </c>
      <c r="BB36" s="76" t="b">
        <v>1</v>
      </c>
      <c r="BC36" s="76" t="b">
        <v>0</v>
      </c>
      <c r="BD36" s="76" t="b">
        <v>0</v>
      </c>
      <c r="BE36" s="76" t="b">
        <v>1</v>
      </c>
      <c r="BF36" s="76" t="b">
        <v>0</v>
      </c>
      <c r="BG36" s="76" t="b">
        <v>0</v>
      </c>
      <c r="BH36" s="82" t="str">
        <f>HYPERLINK("https://pbs.twimg.com/profile_banners/316208284/1527003764")</f>
        <v>https://pbs.twimg.com/profile_banners/316208284/1527003764</v>
      </c>
      <c r="BI36" s="76"/>
      <c r="BJ36" s="76" t="s">
        <v>2656</v>
      </c>
      <c r="BK36" s="76" t="b">
        <v>0</v>
      </c>
      <c r="BL36" s="76"/>
      <c r="BM36" s="76" t="s">
        <v>65</v>
      </c>
      <c r="BN36" s="76" t="s">
        <v>2657</v>
      </c>
      <c r="BO36" s="82" t="str">
        <f>HYPERLINK("https://twitter.com/hulivarri")</f>
        <v>https://twitter.com/hulivarri</v>
      </c>
      <c r="BP36" s="76" t="str">
        <f>REPLACE(INDEX(GroupVertices[Group],MATCH(Vertices[[#This Row],[Vertex]],GroupVertices[Vertex],0)),1,1,"")</f>
        <v>4</v>
      </c>
      <c r="BQ36" s="45"/>
      <c r="BR36" s="46"/>
      <c r="BS36" s="45"/>
      <c r="BT36" s="46"/>
      <c r="BU36" s="45"/>
      <c r="BV36" s="46"/>
      <c r="BW36" s="45"/>
      <c r="BX36" s="46"/>
      <c r="BY36" s="45"/>
      <c r="BZ36" s="45"/>
      <c r="CA36" s="45"/>
      <c r="CB36" s="45"/>
      <c r="CC36" s="45"/>
      <c r="CD36" s="45"/>
      <c r="CE36" s="45"/>
      <c r="CF36" s="45"/>
      <c r="CG36" s="45"/>
      <c r="CH36" s="45"/>
      <c r="CI36" s="45"/>
      <c r="CJ36" s="2"/>
    </row>
    <row r="37" spans="1:88" ht="15">
      <c r="A37" s="61" t="s">
        <v>289</v>
      </c>
      <c r="B37" s="62"/>
      <c r="C37" s="62"/>
      <c r="D37" s="63">
        <v>535</v>
      </c>
      <c r="E37" s="65"/>
      <c r="F37" s="100" t="str">
        <f>HYPERLINK("https://pbs.twimg.com/profile_images/1083499249529180161/Ogr5a2dQ_normal.jpg")</f>
        <v>https://pbs.twimg.com/profile_images/1083499249529180161/Ogr5a2dQ_normal.jpg</v>
      </c>
      <c r="G37" s="62"/>
      <c r="H37" s="66" t="s">
        <v>289</v>
      </c>
      <c r="I37" s="67"/>
      <c r="J37" s="67" t="s">
        <v>159</v>
      </c>
      <c r="K37" s="66" t="s">
        <v>2691</v>
      </c>
      <c r="L37" s="70">
        <v>477.0952380952381</v>
      </c>
      <c r="M37" s="71">
        <v>9798.00390625</v>
      </c>
      <c r="N37" s="71">
        <v>7388.982421875</v>
      </c>
      <c r="O37" s="72"/>
      <c r="P37" s="73"/>
      <c r="Q37" s="73"/>
      <c r="R37" s="86"/>
      <c r="S37" s="45">
        <v>1</v>
      </c>
      <c r="T37" s="45">
        <v>0</v>
      </c>
      <c r="U37" s="46">
        <v>0</v>
      </c>
      <c r="V37" s="46">
        <v>0.248892</v>
      </c>
      <c r="W37" s="46">
        <v>0.004381</v>
      </c>
      <c r="X37" s="46">
        <v>0.002759</v>
      </c>
      <c r="Y37" s="46">
        <v>0</v>
      </c>
      <c r="Z37" s="46">
        <v>0</v>
      </c>
      <c r="AA37" s="68">
        <v>37</v>
      </c>
      <c r="AB37" s="68"/>
      <c r="AC37" s="69"/>
      <c r="AD37" s="76" t="s">
        <v>1283</v>
      </c>
      <c r="AE37" s="80" t="s">
        <v>1593</v>
      </c>
      <c r="AF37" s="76">
        <v>236</v>
      </c>
      <c r="AG37" s="76">
        <v>620</v>
      </c>
      <c r="AH37" s="76">
        <v>290</v>
      </c>
      <c r="AI37" s="76">
        <v>0</v>
      </c>
      <c r="AJ37" s="76">
        <v>165</v>
      </c>
      <c r="AK37" s="76">
        <v>17</v>
      </c>
      <c r="AL37" s="76" t="b">
        <v>0</v>
      </c>
      <c r="AM37" s="78">
        <v>42383.91606481482</v>
      </c>
      <c r="AN37" s="76"/>
      <c r="AO37" s="76" t="s">
        <v>2074</v>
      </c>
      <c r="AP37" s="76"/>
      <c r="AQ37" s="76"/>
      <c r="AR37" s="76"/>
      <c r="AS37" s="76"/>
      <c r="AT37" s="76"/>
      <c r="AU37" s="76"/>
      <c r="AV37" s="76">
        <v>9.67944973743284E+17</v>
      </c>
      <c r="AW37" s="76"/>
      <c r="AX37" s="76" t="b">
        <v>0</v>
      </c>
      <c r="AY37" s="76"/>
      <c r="AZ37" s="76"/>
      <c r="BA37" s="76" t="b">
        <v>0</v>
      </c>
      <c r="BB37" s="76" t="b">
        <v>1</v>
      </c>
      <c r="BC37" s="76" t="b">
        <v>0</v>
      </c>
      <c r="BD37" s="76" t="b">
        <v>0</v>
      </c>
      <c r="BE37" s="76" t="b">
        <v>0</v>
      </c>
      <c r="BF37" s="76" t="b">
        <v>0</v>
      </c>
      <c r="BG37" s="76" t="b">
        <v>0</v>
      </c>
      <c r="BH37" s="82" t="str">
        <f>HYPERLINK("https://pbs.twimg.com/profile_banners/4808084836/1591992814")</f>
        <v>https://pbs.twimg.com/profile_banners/4808084836/1591992814</v>
      </c>
      <c r="BI37" s="76"/>
      <c r="BJ37" s="76" t="s">
        <v>2656</v>
      </c>
      <c r="BK37" s="76" t="b">
        <v>0</v>
      </c>
      <c r="BL37" s="76"/>
      <c r="BM37" s="76" t="s">
        <v>65</v>
      </c>
      <c r="BN37" s="76" t="s">
        <v>2657</v>
      </c>
      <c r="BO37" s="82" t="str">
        <f>HYPERLINK("https://twitter.com/hulivar6")</f>
        <v>https://twitter.com/hulivar6</v>
      </c>
      <c r="BP37" s="76" t="str">
        <f>REPLACE(INDEX(GroupVertices[Group],MATCH(Vertices[[#This Row],[Vertex]],GroupVertices[Vertex],0)),1,1,"")</f>
        <v>4</v>
      </c>
      <c r="BQ37" s="45"/>
      <c r="BR37" s="46"/>
      <c r="BS37" s="45"/>
      <c r="BT37" s="46"/>
      <c r="BU37" s="45"/>
      <c r="BV37" s="46"/>
      <c r="BW37" s="45"/>
      <c r="BX37" s="46"/>
      <c r="BY37" s="45"/>
      <c r="BZ37" s="45"/>
      <c r="CA37" s="45"/>
      <c r="CB37" s="45"/>
      <c r="CC37" s="45"/>
      <c r="CD37" s="45"/>
      <c r="CE37" s="45"/>
      <c r="CF37" s="45"/>
      <c r="CG37" s="45"/>
      <c r="CH37" s="45"/>
      <c r="CI37" s="45"/>
      <c r="CJ37" s="2"/>
    </row>
    <row r="38" spans="1:88" ht="15">
      <c r="A38" s="61" t="s">
        <v>290</v>
      </c>
      <c r="B38" s="62"/>
      <c r="C38" s="62"/>
      <c r="D38" s="63">
        <v>535</v>
      </c>
      <c r="E38" s="65"/>
      <c r="F38" s="100" t="str">
        <f>HYPERLINK("https://pbs.twimg.com/profile_images/1401663935/l_d826b697f29e493a8c1d796e74b18dd0_normal.jpg")</f>
        <v>https://pbs.twimg.com/profile_images/1401663935/l_d826b697f29e493a8c1d796e74b18dd0_normal.jpg</v>
      </c>
      <c r="G38" s="62"/>
      <c r="H38" s="66" t="s">
        <v>290</v>
      </c>
      <c r="I38" s="67"/>
      <c r="J38" s="67" t="s">
        <v>159</v>
      </c>
      <c r="K38" s="66" t="s">
        <v>2692</v>
      </c>
      <c r="L38" s="70">
        <v>477.0952380952381</v>
      </c>
      <c r="M38" s="71">
        <v>7807.2607421875</v>
      </c>
      <c r="N38" s="71">
        <v>9364.560546875</v>
      </c>
      <c r="O38" s="72"/>
      <c r="P38" s="73"/>
      <c r="Q38" s="73"/>
      <c r="R38" s="86"/>
      <c r="S38" s="45">
        <v>1</v>
      </c>
      <c r="T38" s="45">
        <v>0</v>
      </c>
      <c r="U38" s="46">
        <v>0</v>
      </c>
      <c r="V38" s="46">
        <v>0.248892</v>
      </c>
      <c r="W38" s="46">
        <v>0.004381</v>
      </c>
      <c r="X38" s="46">
        <v>0.002759</v>
      </c>
      <c r="Y38" s="46">
        <v>0</v>
      </c>
      <c r="Z38" s="46">
        <v>0</v>
      </c>
      <c r="AA38" s="68">
        <v>38</v>
      </c>
      <c r="AB38" s="68"/>
      <c r="AC38" s="69"/>
      <c r="AD38" s="76" t="s">
        <v>290</v>
      </c>
      <c r="AE38" s="80" t="s">
        <v>1594</v>
      </c>
      <c r="AF38" s="76">
        <v>175</v>
      </c>
      <c r="AG38" s="76">
        <v>894</v>
      </c>
      <c r="AH38" s="76">
        <v>15067</v>
      </c>
      <c r="AI38" s="76">
        <v>5</v>
      </c>
      <c r="AJ38" s="76">
        <v>95729</v>
      </c>
      <c r="AK38" s="76">
        <v>296</v>
      </c>
      <c r="AL38" s="76" t="b">
        <v>0</v>
      </c>
      <c r="AM38" s="78">
        <v>39768.336863425924</v>
      </c>
      <c r="AN38" s="76" t="s">
        <v>1869</v>
      </c>
      <c r="AO38" s="76" t="s">
        <v>2075</v>
      </c>
      <c r="AP38" s="82" t="str">
        <f>HYPERLINK("http://t.co/LFtIs87zgo")</f>
        <v>http://t.co/LFtIs87zgo</v>
      </c>
      <c r="AQ38" s="82" t="str">
        <f>HYPERLINK("http://www.myspace.com/hulivar")</f>
        <v>http://www.myspace.com/hulivar</v>
      </c>
      <c r="AR38" s="76" t="s">
        <v>2372</v>
      </c>
      <c r="AS38" s="76"/>
      <c r="AT38" s="76"/>
      <c r="AU38" s="76"/>
      <c r="AV38" s="76"/>
      <c r="AW38" s="82" t="str">
        <f>HYPERLINK("http://t.co/LFtIs87zgo")</f>
        <v>http://t.co/LFtIs87zgo</v>
      </c>
      <c r="AX38" s="76" t="b">
        <v>0</v>
      </c>
      <c r="AY38" s="76"/>
      <c r="AZ38" s="76"/>
      <c r="BA38" s="76" t="b">
        <v>0</v>
      </c>
      <c r="BB38" s="76" t="b">
        <v>1</v>
      </c>
      <c r="BC38" s="76" t="b">
        <v>1</v>
      </c>
      <c r="BD38" s="76" t="b">
        <v>0</v>
      </c>
      <c r="BE38" s="76" t="b">
        <v>1</v>
      </c>
      <c r="BF38" s="76" t="b">
        <v>0</v>
      </c>
      <c r="BG38" s="76" t="b">
        <v>0</v>
      </c>
      <c r="BH38" s="76"/>
      <c r="BI38" s="76"/>
      <c r="BJ38" s="76" t="s">
        <v>2656</v>
      </c>
      <c r="BK38" s="76" t="b">
        <v>0</v>
      </c>
      <c r="BL38" s="76"/>
      <c r="BM38" s="76" t="s">
        <v>65</v>
      </c>
      <c r="BN38" s="76" t="s">
        <v>2657</v>
      </c>
      <c r="BO38" s="82" t="str">
        <f>HYPERLINK("https://twitter.com/hulivar")</f>
        <v>https://twitter.com/hulivar</v>
      </c>
      <c r="BP38" s="76" t="str">
        <f>REPLACE(INDEX(GroupVertices[Group],MATCH(Vertices[[#This Row],[Vertex]],GroupVertices[Vertex],0)),1,1,"")</f>
        <v>4</v>
      </c>
      <c r="BQ38" s="45"/>
      <c r="BR38" s="46"/>
      <c r="BS38" s="45"/>
      <c r="BT38" s="46"/>
      <c r="BU38" s="45"/>
      <c r="BV38" s="46"/>
      <c r="BW38" s="45"/>
      <c r="BX38" s="46"/>
      <c r="BY38" s="45"/>
      <c r="BZ38" s="45"/>
      <c r="CA38" s="45"/>
      <c r="CB38" s="45"/>
      <c r="CC38" s="45"/>
      <c r="CD38" s="45"/>
      <c r="CE38" s="45"/>
      <c r="CF38" s="45"/>
      <c r="CG38" s="45"/>
      <c r="CH38" s="45"/>
      <c r="CI38" s="45"/>
      <c r="CJ38" s="2"/>
    </row>
    <row r="39" spans="1:88" ht="15">
      <c r="A39" s="61" t="s">
        <v>291</v>
      </c>
      <c r="B39" s="62"/>
      <c r="C39" s="62"/>
      <c r="D39" s="63">
        <v>535</v>
      </c>
      <c r="E39" s="65"/>
      <c r="F39" s="100" t="str">
        <f>HYPERLINK("https://abs.twimg.com/sticky/default_profile_images/default_profile_normal.png")</f>
        <v>https://abs.twimg.com/sticky/default_profile_images/default_profile_normal.png</v>
      </c>
      <c r="G39" s="62"/>
      <c r="H39" s="66" t="s">
        <v>291</v>
      </c>
      <c r="I39" s="67"/>
      <c r="J39" s="67" t="s">
        <v>159</v>
      </c>
      <c r="K39" s="66" t="s">
        <v>2693</v>
      </c>
      <c r="L39" s="70">
        <v>477.0952380952381</v>
      </c>
      <c r="M39" s="71">
        <v>9257.240234375</v>
      </c>
      <c r="N39" s="71">
        <v>8591.2578125</v>
      </c>
      <c r="O39" s="72"/>
      <c r="P39" s="73"/>
      <c r="Q39" s="73"/>
      <c r="R39" s="86"/>
      <c r="S39" s="45">
        <v>1</v>
      </c>
      <c r="T39" s="45">
        <v>0</v>
      </c>
      <c r="U39" s="46">
        <v>0</v>
      </c>
      <c r="V39" s="46">
        <v>0.248892</v>
      </c>
      <c r="W39" s="46">
        <v>0.004381</v>
      </c>
      <c r="X39" s="46">
        <v>0.002759</v>
      </c>
      <c r="Y39" s="46">
        <v>0</v>
      </c>
      <c r="Z39" s="46">
        <v>0</v>
      </c>
      <c r="AA39" s="68">
        <v>39</v>
      </c>
      <c r="AB39" s="68"/>
      <c r="AC39" s="69"/>
      <c r="AD39" s="76" t="s">
        <v>1284</v>
      </c>
      <c r="AE39" s="80" t="s">
        <v>1595</v>
      </c>
      <c r="AF39" s="76">
        <v>0</v>
      </c>
      <c r="AG39" s="76">
        <v>0</v>
      </c>
      <c r="AH39" s="76">
        <v>0</v>
      </c>
      <c r="AI39" s="76">
        <v>0</v>
      </c>
      <c r="AJ39" s="76">
        <v>0</v>
      </c>
      <c r="AK39" s="76">
        <v>0</v>
      </c>
      <c r="AL39" s="76" t="b">
        <v>0</v>
      </c>
      <c r="AM39" s="78">
        <v>45098.0512962963</v>
      </c>
      <c r="AN39" s="76"/>
      <c r="AO39" s="76"/>
      <c r="AP39" s="76"/>
      <c r="AQ39" s="76"/>
      <c r="AR39" s="76"/>
      <c r="AS39" s="76"/>
      <c r="AT39" s="76"/>
      <c r="AU39" s="76"/>
      <c r="AV39" s="76"/>
      <c r="AW39" s="76"/>
      <c r="AX39" s="76" t="b">
        <v>0</v>
      </c>
      <c r="AY39" s="76"/>
      <c r="AZ39" s="76"/>
      <c r="BA39" s="76" t="b">
        <v>0</v>
      </c>
      <c r="BB39" s="76" t="b">
        <v>1</v>
      </c>
      <c r="BC39" s="76" t="b">
        <v>1</v>
      </c>
      <c r="BD39" s="76" t="b">
        <v>1</v>
      </c>
      <c r="BE39" s="76" t="b">
        <v>0</v>
      </c>
      <c r="BF39" s="76" t="b">
        <v>0</v>
      </c>
      <c r="BG39" s="76" t="b">
        <v>0</v>
      </c>
      <c r="BH39" s="76"/>
      <c r="BI39" s="76"/>
      <c r="BJ39" s="76" t="s">
        <v>2656</v>
      </c>
      <c r="BK39" s="76" t="b">
        <v>0</v>
      </c>
      <c r="BL39" s="76"/>
      <c r="BM39" s="76" t="s">
        <v>65</v>
      </c>
      <c r="BN39" s="76" t="s">
        <v>2657</v>
      </c>
      <c r="BO39" s="82" t="str">
        <f>HYPERLINK("https://twitter.com/stillgrays65149")</f>
        <v>https://twitter.com/stillgrays65149</v>
      </c>
      <c r="BP39" s="76" t="str">
        <f>REPLACE(INDEX(GroupVertices[Group],MATCH(Vertices[[#This Row],[Vertex]],GroupVertices[Vertex],0)),1,1,"")</f>
        <v>4</v>
      </c>
      <c r="BQ39" s="45"/>
      <c r="BR39" s="46"/>
      <c r="BS39" s="45"/>
      <c r="BT39" s="46"/>
      <c r="BU39" s="45"/>
      <c r="BV39" s="46"/>
      <c r="BW39" s="45"/>
      <c r="BX39" s="46"/>
      <c r="BY39" s="45"/>
      <c r="BZ39" s="45"/>
      <c r="CA39" s="45"/>
      <c r="CB39" s="45"/>
      <c r="CC39" s="45"/>
      <c r="CD39" s="45"/>
      <c r="CE39" s="45"/>
      <c r="CF39" s="45"/>
      <c r="CG39" s="45"/>
      <c r="CH39" s="45"/>
      <c r="CI39" s="45"/>
      <c r="CJ39" s="2"/>
    </row>
    <row r="40" spans="1:88" ht="15">
      <c r="A40" s="61" t="s">
        <v>292</v>
      </c>
      <c r="B40" s="62"/>
      <c r="C40" s="62"/>
      <c r="D40" s="63">
        <v>535</v>
      </c>
      <c r="E40" s="65"/>
      <c r="F40" s="100" t="str">
        <f>HYPERLINK("https://pbs.twimg.com/profile_images/1655228804342726659/aOuBlhn2_normal.jpg")</f>
        <v>https://pbs.twimg.com/profile_images/1655228804342726659/aOuBlhn2_normal.jpg</v>
      </c>
      <c r="G40" s="62"/>
      <c r="H40" s="66" t="s">
        <v>292</v>
      </c>
      <c r="I40" s="67"/>
      <c r="J40" s="67" t="s">
        <v>159</v>
      </c>
      <c r="K40" s="66" t="s">
        <v>2694</v>
      </c>
      <c r="L40" s="70">
        <v>477.0952380952381</v>
      </c>
      <c r="M40" s="71">
        <v>7495.767578125</v>
      </c>
      <c r="N40" s="71">
        <v>7752.91259765625</v>
      </c>
      <c r="O40" s="72"/>
      <c r="P40" s="73"/>
      <c r="Q40" s="73"/>
      <c r="R40" s="86"/>
      <c r="S40" s="45">
        <v>1</v>
      </c>
      <c r="T40" s="45">
        <v>0</v>
      </c>
      <c r="U40" s="46">
        <v>0</v>
      </c>
      <c r="V40" s="46">
        <v>0.248892</v>
      </c>
      <c r="W40" s="46">
        <v>0.004381</v>
      </c>
      <c r="X40" s="46">
        <v>0.002759</v>
      </c>
      <c r="Y40" s="46">
        <v>0</v>
      </c>
      <c r="Z40" s="46">
        <v>0</v>
      </c>
      <c r="AA40" s="68">
        <v>40</v>
      </c>
      <c r="AB40" s="68"/>
      <c r="AC40" s="69"/>
      <c r="AD40" s="76" t="s">
        <v>1285</v>
      </c>
      <c r="AE40" s="80" t="s">
        <v>1596</v>
      </c>
      <c r="AF40" s="76">
        <v>70</v>
      </c>
      <c r="AG40" s="76">
        <v>652</v>
      </c>
      <c r="AH40" s="76">
        <v>0</v>
      </c>
      <c r="AI40" s="76">
        <v>0</v>
      </c>
      <c r="AJ40" s="76">
        <v>0</v>
      </c>
      <c r="AK40" s="76">
        <v>0</v>
      </c>
      <c r="AL40" s="76" t="b">
        <v>0</v>
      </c>
      <c r="AM40" s="78">
        <v>45053.63263888889</v>
      </c>
      <c r="AN40" s="76" t="s">
        <v>1870</v>
      </c>
      <c r="AO40" s="76" t="s">
        <v>2076</v>
      </c>
      <c r="AP40" s="82" t="str">
        <f>HYPERLINK("https://t.co/rpqPn5kNw8")</f>
        <v>https://t.co/rpqPn5kNw8</v>
      </c>
      <c r="AQ40" s="82" t="str">
        <f>HYPERLINK("http://youtube.com/catchupcatchup")</f>
        <v>http://youtube.com/catchupcatchup</v>
      </c>
      <c r="AR40" s="76" t="s">
        <v>2373</v>
      </c>
      <c r="AS40" s="82" t="str">
        <f>HYPERLINK("https://t.co/vBiM9o4YtH")</f>
        <v>https://t.co/vBiM9o4YtH</v>
      </c>
      <c r="AT40" s="82" t="str">
        <f>HYPERLINK("http://t.me/CultureWarRoom")</f>
        <v>http://t.me/CultureWarRoom</v>
      </c>
      <c r="AU40" s="76" t="s">
        <v>2615</v>
      </c>
      <c r="AV40" s="76"/>
      <c r="AW40" s="82" t="str">
        <f>HYPERLINK("https://t.co/rpqPn5kNw8")</f>
        <v>https://t.co/rpqPn5kNw8</v>
      </c>
      <c r="AX40" s="76" t="b">
        <v>0</v>
      </c>
      <c r="AY40" s="76"/>
      <c r="AZ40" s="76"/>
      <c r="BA40" s="76" t="b">
        <v>0</v>
      </c>
      <c r="BB40" s="76" t="b">
        <v>0</v>
      </c>
      <c r="BC40" s="76" t="b">
        <v>1</v>
      </c>
      <c r="BD40" s="76" t="b">
        <v>0</v>
      </c>
      <c r="BE40" s="76" t="b">
        <v>0</v>
      </c>
      <c r="BF40" s="76" t="b">
        <v>0</v>
      </c>
      <c r="BG40" s="76" t="b">
        <v>0</v>
      </c>
      <c r="BH40" s="82" t="str">
        <f>HYPERLINK("https://pbs.twimg.com/profile_banners/1655228684624699400/1683472359")</f>
        <v>https://pbs.twimg.com/profile_banners/1655228684624699400/1683472359</v>
      </c>
      <c r="BI40" s="76"/>
      <c r="BJ40" s="76" t="s">
        <v>2656</v>
      </c>
      <c r="BK40" s="76" t="b">
        <v>0</v>
      </c>
      <c r="BL40" s="76"/>
      <c r="BM40" s="76" t="s">
        <v>65</v>
      </c>
      <c r="BN40" s="76" t="s">
        <v>2657</v>
      </c>
      <c r="BO40" s="82" t="str">
        <f>HYPERLINK("https://twitter.com/stillgray3")</f>
        <v>https://twitter.com/stillgray3</v>
      </c>
      <c r="BP40" s="76" t="str">
        <f>REPLACE(INDEX(GroupVertices[Group],MATCH(Vertices[[#This Row],[Vertex]],GroupVertices[Vertex],0)),1,1,"")</f>
        <v>4</v>
      </c>
      <c r="BQ40" s="45"/>
      <c r="BR40" s="46"/>
      <c r="BS40" s="45"/>
      <c r="BT40" s="46"/>
      <c r="BU40" s="45"/>
      <c r="BV40" s="46"/>
      <c r="BW40" s="45"/>
      <c r="BX40" s="46"/>
      <c r="BY40" s="45"/>
      <c r="BZ40" s="45"/>
      <c r="CA40" s="45"/>
      <c r="CB40" s="45"/>
      <c r="CC40" s="45"/>
      <c r="CD40" s="45"/>
      <c r="CE40" s="45"/>
      <c r="CF40" s="45"/>
      <c r="CG40" s="45"/>
      <c r="CH40" s="45"/>
      <c r="CI40" s="45"/>
      <c r="CJ40" s="2"/>
    </row>
    <row r="41" spans="1:88" ht="15">
      <c r="A41" s="61" t="s">
        <v>293</v>
      </c>
      <c r="B41" s="62"/>
      <c r="C41" s="62"/>
      <c r="D41" s="63">
        <v>535</v>
      </c>
      <c r="E41" s="65"/>
      <c r="F41" s="100" t="str">
        <f>HYPERLINK("https://pbs.twimg.com/profile_images/1644049426066063360/nY_s0oD3_normal.jpg")</f>
        <v>https://pbs.twimg.com/profile_images/1644049426066063360/nY_s0oD3_normal.jpg</v>
      </c>
      <c r="G41" s="62"/>
      <c r="H41" s="66" t="s">
        <v>293</v>
      </c>
      <c r="I41" s="67"/>
      <c r="J41" s="67" t="s">
        <v>159</v>
      </c>
      <c r="K41" s="66" t="s">
        <v>2695</v>
      </c>
      <c r="L41" s="70">
        <v>477.0952380952381</v>
      </c>
      <c r="M41" s="71">
        <v>7564.15185546875</v>
      </c>
      <c r="N41" s="71">
        <v>8817.908203125</v>
      </c>
      <c r="O41" s="72"/>
      <c r="P41" s="73"/>
      <c r="Q41" s="73"/>
      <c r="R41" s="86"/>
      <c r="S41" s="45">
        <v>1</v>
      </c>
      <c r="T41" s="45">
        <v>0</v>
      </c>
      <c r="U41" s="46">
        <v>0</v>
      </c>
      <c r="V41" s="46">
        <v>0.248892</v>
      </c>
      <c r="W41" s="46">
        <v>0.004381</v>
      </c>
      <c r="X41" s="46">
        <v>0.002759</v>
      </c>
      <c r="Y41" s="46">
        <v>0</v>
      </c>
      <c r="Z41" s="46">
        <v>0</v>
      </c>
      <c r="AA41" s="68">
        <v>41</v>
      </c>
      <c r="AB41" s="68"/>
      <c r="AC41" s="69"/>
      <c r="AD41" s="76" t="s">
        <v>1286</v>
      </c>
      <c r="AE41" s="80" t="s">
        <v>1597</v>
      </c>
      <c r="AF41" s="76">
        <v>751521</v>
      </c>
      <c r="AG41" s="76">
        <v>2434</v>
      </c>
      <c r="AH41" s="76">
        <v>443504</v>
      </c>
      <c r="AI41" s="76">
        <v>5240</v>
      </c>
      <c r="AJ41" s="76">
        <v>212056</v>
      </c>
      <c r="AK41" s="76">
        <v>44252</v>
      </c>
      <c r="AL41" s="76" t="b">
        <v>0</v>
      </c>
      <c r="AM41" s="78">
        <v>39694.07226851852</v>
      </c>
      <c r="AN41" s="76" t="s">
        <v>1870</v>
      </c>
      <c r="AO41" s="76" t="s">
        <v>2077</v>
      </c>
      <c r="AP41" s="82" t="str">
        <f>HYPERLINK("https://t.co/aFdmE67zus")</f>
        <v>https://t.co/aFdmE67zus</v>
      </c>
      <c r="AQ41" s="82" t="str">
        <f>HYPERLINK("https://www.youtube.com/catchupcatchup")</f>
        <v>https://www.youtube.com/catchupcatchup</v>
      </c>
      <c r="AR41" s="76" t="s">
        <v>2373</v>
      </c>
      <c r="AS41" s="82" t="str">
        <f>HYPERLINK("https://t.co/tM0qN8t4hD")</f>
        <v>https://t.co/tM0qN8t4hD</v>
      </c>
      <c r="AT41" s="82" t="str">
        <f>HYPERLINK("http://t.me/CultureWarRoom")</f>
        <v>http://t.me/CultureWarRoom</v>
      </c>
      <c r="AU41" s="76" t="s">
        <v>2615</v>
      </c>
      <c r="AV41" s="76">
        <v>1.65233717319318E+18</v>
      </c>
      <c r="AW41" s="82" t="str">
        <f>HYPERLINK("https://t.co/aFdmE67zus")</f>
        <v>https://t.co/aFdmE67zus</v>
      </c>
      <c r="AX41" s="76" t="b">
        <v>1</v>
      </c>
      <c r="AY41" s="76"/>
      <c r="AZ41" s="76"/>
      <c r="BA41" s="76" t="b">
        <v>1</v>
      </c>
      <c r="BB41" s="76" t="b">
        <v>0</v>
      </c>
      <c r="BC41" s="76" t="b">
        <v>0</v>
      </c>
      <c r="BD41" s="76" t="b">
        <v>0</v>
      </c>
      <c r="BE41" s="76" t="b">
        <v>1</v>
      </c>
      <c r="BF41" s="76" t="b">
        <v>0</v>
      </c>
      <c r="BG41" s="76" t="b">
        <v>0</v>
      </c>
      <c r="BH41" s="82" t="str">
        <f>HYPERLINK("https://pbs.twimg.com/profile_banners/16106584/1662227888")</f>
        <v>https://pbs.twimg.com/profile_banners/16106584/1662227888</v>
      </c>
      <c r="BI41" s="76"/>
      <c r="BJ41" s="76" t="s">
        <v>2656</v>
      </c>
      <c r="BK41" s="76" t="b">
        <v>0</v>
      </c>
      <c r="BL41" s="76"/>
      <c r="BM41" s="76" t="s">
        <v>65</v>
      </c>
      <c r="BN41" s="76" t="s">
        <v>2657</v>
      </c>
      <c r="BO41" s="82" t="str">
        <f>HYPERLINK("https://twitter.com/stillgray")</f>
        <v>https://twitter.com/stillgray</v>
      </c>
      <c r="BP41" s="76" t="str">
        <f>REPLACE(INDEX(GroupVertices[Group],MATCH(Vertices[[#This Row],[Vertex]],GroupVertices[Vertex],0)),1,1,"")</f>
        <v>4</v>
      </c>
      <c r="BQ41" s="45"/>
      <c r="BR41" s="46"/>
      <c r="BS41" s="45"/>
      <c r="BT41" s="46"/>
      <c r="BU41" s="45"/>
      <c r="BV41" s="46"/>
      <c r="BW41" s="45"/>
      <c r="BX41" s="46"/>
      <c r="BY41" s="45"/>
      <c r="BZ41" s="45"/>
      <c r="CA41" s="45"/>
      <c r="CB41" s="45"/>
      <c r="CC41" s="45"/>
      <c r="CD41" s="45"/>
      <c r="CE41" s="45"/>
      <c r="CF41" s="45"/>
      <c r="CG41" s="45"/>
      <c r="CH41" s="45"/>
      <c r="CI41" s="45"/>
      <c r="CJ41" s="2"/>
    </row>
    <row r="42" spans="1:88" ht="15">
      <c r="A42" s="61" t="s">
        <v>294</v>
      </c>
      <c r="B42" s="62"/>
      <c r="C42" s="62"/>
      <c r="D42" s="63">
        <v>535</v>
      </c>
      <c r="E42" s="65"/>
      <c r="F42" s="100" t="str">
        <f>HYPERLINK("https://abs.twimg.com/sticky/default_profile_images/default_profile_normal.png")</f>
        <v>https://abs.twimg.com/sticky/default_profile_images/default_profile_normal.png</v>
      </c>
      <c r="G42" s="62"/>
      <c r="H42" s="66" t="s">
        <v>294</v>
      </c>
      <c r="I42" s="67"/>
      <c r="J42" s="67" t="s">
        <v>159</v>
      </c>
      <c r="K42" s="66" t="s">
        <v>2696</v>
      </c>
      <c r="L42" s="70">
        <v>477.0952380952381</v>
      </c>
      <c r="M42" s="71">
        <v>8749.607421875</v>
      </c>
      <c r="N42" s="71">
        <v>7331.9384765625</v>
      </c>
      <c r="O42" s="72"/>
      <c r="P42" s="73"/>
      <c r="Q42" s="73"/>
      <c r="R42" s="86"/>
      <c r="S42" s="45">
        <v>1</v>
      </c>
      <c r="T42" s="45">
        <v>0</v>
      </c>
      <c r="U42" s="46">
        <v>0</v>
      </c>
      <c r="V42" s="46">
        <v>0.248892</v>
      </c>
      <c r="W42" s="46">
        <v>0.004381</v>
      </c>
      <c r="X42" s="46">
        <v>0.002759</v>
      </c>
      <c r="Y42" s="46">
        <v>0</v>
      </c>
      <c r="Z42" s="46">
        <v>0</v>
      </c>
      <c r="AA42" s="68">
        <v>42</v>
      </c>
      <c r="AB42" s="68"/>
      <c r="AC42" s="69"/>
      <c r="AD42" s="76" t="s">
        <v>1287</v>
      </c>
      <c r="AE42" s="80" t="s">
        <v>1598</v>
      </c>
      <c r="AF42" s="76">
        <v>46</v>
      </c>
      <c r="AG42" s="76">
        <v>0</v>
      </c>
      <c r="AH42" s="76">
        <v>0</v>
      </c>
      <c r="AI42" s="76">
        <v>2</v>
      </c>
      <c r="AJ42" s="76">
        <v>0</v>
      </c>
      <c r="AK42" s="76">
        <v>0</v>
      </c>
      <c r="AL42" s="76" t="b">
        <v>0</v>
      </c>
      <c r="AM42" s="78">
        <v>43019.858090277776</v>
      </c>
      <c r="AN42" s="76"/>
      <c r="AO42" s="76"/>
      <c r="AP42" s="76"/>
      <c r="AQ42" s="76"/>
      <c r="AR42" s="76"/>
      <c r="AS42" s="76"/>
      <c r="AT42" s="76"/>
      <c r="AU42" s="76"/>
      <c r="AV42" s="76"/>
      <c r="AW42" s="76"/>
      <c r="AX42" s="76" t="b">
        <v>0</v>
      </c>
      <c r="AY42" s="76"/>
      <c r="AZ42" s="76"/>
      <c r="BA42" s="76" t="b">
        <v>0</v>
      </c>
      <c r="BB42" s="76" t="b">
        <v>1</v>
      </c>
      <c r="BC42" s="76" t="b">
        <v>1</v>
      </c>
      <c r="BD42" s="76" t="b">
        <v>1</v>
      </c>
      <c r="BE42" s="76" t="b">
        <v>0</v>
      </c>
      <c r="BF42" s="76" t="b">
        <v>0</v>
      </c>
      <c r="BG42" s="76" t="b">
        <v>0</v>
      </c>
      <c r="BH42" s="76"/>
      <c r="BI42" s="76"/>
      <c r="BJ42" s="76" t="s">
        <v>2656</v>
      </c>
      <c r="BK42" s="76" t="b">
        <v>0</v>
      </c>
      <c r="BL42" s="76"/>
      <c r="BM42" s="76" t="s">
        <v>65</v>
      </c>
      <c r="BN42" s="76" t="s">
        <v>2657</v>
      </c>
      <c r="BO42" s="82" t="str">
        <f>HYPERLINK("https://twitter.com/jackposobiec1")</f>
        <v>https://twitter.com/jackposobiec1</v>
      </c>
      <c r="BP42" s="76" t="str">
        <f>REPLACE(INDEX(GroupVertices[Group],MATCH(Vertices[[#This Row],[Vertex]],GroupVertices[Vertex],0)),1,1,"")</f>
        <v>4</v>
      </c>
      <c r="BQ42" s="45"/>
      <c r="BR42" s="46"/>
      <c r="BS42" s="45"/>
      <c r="BT42" s="46"/>
      <c r="BU42" s="45"/>
      <c r="BV42" s="46"/>
      <c r="BW42" s="45"/>
      <c r="BX42" s="46"/>
      <c r="BY42" s="45"/>
      <c r="BZ42" s="45"/>
      <c r="CA42" s="45"/>
      <c r="CB42" s="45"/>
      <c r="CC42" s="45"/>
      <c r="CD42" s="45"/>
      <c r="CE42" s="45"/>
      <c r="CF42" s="45"/>
      <c r="CG42" s="45"/>
      <c r="CH42" s="45"/>
      <c r="CI42" s="45"/>
      <c r="CJ42" s="2"/>
    </row>
    <row r="43" spans="1:88" ht="15">
      <c r="A43" s="61" t="s">
        <v>295</v>
      </c>
      <c r="B43" s="62"/>
      <c r="C43" s="62"/>
      <c r="D43" s="63">
        <v>535</v>
      </c>
      <c r="E43" s="65"/>
      <c r="F43" s="100" t="str">
        <f>HYPERLINK("https://pbs.twimg.com/profile_images/1680463079656628224/a94BpmVo_normal.jpg")</f>
        <v>https://pbs.twimg.com/profile_images/1680463079656628224/a94BpmVo_normal.jpg</v>
      </c>
      <c r="G43" s="62"/>
      <c r="H43" s="66" t="s">
        <v>295</v>
      </c>
      <c r="I43" s="67"/>
      <c r="J43" s="67" t="s">
        <v>159</v>
      </c>
      <c r="K43" s="66" t="s">
        <v>2697</v>
      </c>
      <c r="L43" s="70">
        <v>477.0952380952381</v>
      </c>
      <c r="M43" s="71">
        <v>8439.326171875</v>
      </c>
      <c r="N43" s="71">
        <v>6781.75146484375</v>
      </c>
      <c r="O43" s="72"/>
      <c r="P43" s="73"/>
      <c r="Q43" s="73"/>
      <c r="R43" s="86"/>
      <c r="S43" s="45">
        <v>1</v>
      </c>
      <c r="T43" s="45">
        <v>0</v>
      </c>
      <c r="U43" s="46">
        <v>0</v>
      </c>
      <c r="V43" s="46">
        <v>0.248892</v>
      </c>
      <c r="W43" s="46">
        <v>0.004381</v>
      </c>
      <c r="X43" s="46">
        <v>0.002759</v>
      </c>
      <c r="Y43" s="46">
        <v>0</v>
      </c>
      <c r="Z43" s="46">
        <v>0</v>
      </c>
      <c r="AA43" s="68">
        <v>43</v>
      </c>
      <c r="AB43" s="68"/>
      <c r="AC43" s="69"/>
      <c r="AD43" s="76" t="s">
        <v>1288</v>
      </c>
      <c r="AE43" s="80" t="s">
        <v>1599</v>
      </c>
      <c r="AF43" s="76">
        <v>286</v>
      </c>
      <c r="AG43" s="76">
        <v>0</v>
      </c>
      <c r="AH43" s="76">
        <v>3</v>
      </c>
      <c r="AI43" s="76">
        <v>0</v>
      </c>
      <c r="AJ43" s="76">
        <v>108</v>
      </c>
      <c r="AK43" s="76">
        <v>0</v>
      </c>
      <c r="AL43" s="76" t="b">
        <v>0</v>
      </c>
      <c r="AM43" s="78">
        <v>40687.313680555555</v>
      </c>
      <c r="AN43" s="76"/>
      <c r="AO43" s="76"/>
      <c r="AP43" s="76"/>
      <c r="AQ43" s="76"/>
      <c r="AR43" s="76"/>
      <c r="AS43" s="76"/>
      <c r="AT43" s="76"/>
      <c r="AU43" s="76"/>
      <c r="AV43" s="76"/>
      <c r="AW43" s="76"/>
      <c r="AX43" s="76" t="b">
        <v>0</v>
      </c>
      <c r="AY43" s="76"/>
      <c r="AZ43" s="76"/>
      <c r="BA43" s="76" t="b">
        <v>0</v>
      </c>
      <c r="BB43" s="76" t="b">
        <v>1</v>
      </c>
      <c r="BC43" s="76" t="b">
        <v>1</v>
      </c>
      <c r="BD43" s="76" t="b">
        <v>0</v>
      </c>
      <c r="BE43" s="76" t="b">
        <v>0</v>
      </c>
      <c r="BF43" s="76" t="b">
        <v>0</v>
      </c>
      <c r="BG43" s="76" t="b">
        <v>0</v>
      </c>
      <c r="BH43" s="82" t="str">
        <f>HYPERLINK("https://pbs.twimg.com/profile_banners/304278938/1689488611")</f>
        <v>https://pbs.twimg.com/profile_banners/304278938/1689488611</v>
      </c>
      <c r="BI43" s="76"/>
      <c r="BJ43" s="76" t="s">
        <v>2656</v>
      </c>
      <c r="BK43" s="76" t="b">
        <v>0</v>
      </c>
      <c r="BL43" s="76"/>
      <c r="BM43" s="76" t="s">
        <v>65</v>
      </c>
      <c r="BN43" s="76" t="s">
        <v>2657</v>
      </c>
      <c r="BO43" s="82" t="str">
        <f>HYPERLINK("https://twitter.com/jackposobiec456")</f>
        <v>https://twitter.com/jackposobiec456</v>
      </c>
      <c r="BP43" s="76" t="str">
        <f>REPLACE(INDEX(GroupVertices[Group],MATCH(Vertices[[#This Row],[Vertex]],GroupVertices[Vertex],0)),1,1,"")</f>
        <v>4</v>
      </c>
      <c r="BQ43" s="45"/>
      <c r="BR43" s="46"/>
      <c r="BS43" s="45"/>
      <c r="BT43" s="46"/>
      <c r="BU43" s="45"/>
      <c r="BV43" s="46"/>
      <c r="BW43" s="45"/>
      <c r="BX43" s="46"/>
      <c r="BY43" s="45"/>
      <c r="BZ43" s="45"/>
      <c r="CA43" s="45"/>
      <c r="CB43" s="45"/>
      <c r="CC43" s="45"/>
      <c r="CD43" s="45"/>
      <c r="CE43" s="45"/>
      <c r="CF43" s="45"/>
      <c r="CG43" s="45"/>
      <c r="CH43" s="45"/>
      <c r="CI43" s="45"/>
      <c r="CJ43" s="2"/>
    </row>
    <row r="44" spans="1:88" ht="15">
      <c r="A44" s="61" t="s">
        <v>296</v>
      </c>
      <c r="B44" s="62"/>
      <c r="C44" s="62"/>
      <c r="D44" s="63">
        <v>535</v>
      </c>
      <c r="E44" s="65"/>
      <c r="F44" s="100" t="str">
        <f>HYPERLINK("https://pbs.twimg.com/profile_images/1659260980302422024/5FggSFsW_normal.jpg")</f>
        <v>https://pbs.twimg.com/profile_images/1659260980302422024/5FggSFsW_normal.jpg</v>
      </c>
      <c r="G44" s="62"/>
      <c r="H44" s="66" t="s">
        <v>296</v>
      </c>
      <c r="I44" s="67"/>
      <c r="J44" s="67" t="s">
        <v>159</v>
      </c>
      <c r="K44" s="66" t="s">
        <v>2698</v>
      </c>
      <c r="L44" s="70">
        <v>477.0952380952381</v>
      </c>
      <c r="M44" s="71">
        <v>8587.76171875</v>
      </c>
      <c r="N44" s="71">
        <v>6234.67041015625</v>
      </c>
      <c r="O44" s="72"/>
      <c r="P44" s="73"/>
      <c r="Q44" s="73"/>
      <c r="R44" s="86"/>
      <c r="S44" s="45">
        <v>1</v>
      </c>
      <c r="T44" s="45">
        <v>0</v>
      </c>
      <c r="U44" s="46">
        <v>0</v>
      </c>
      <c r="V44" s="46">
        <v>0.248892</v>
      </c>
      <c r="W44" s="46">
        <v>0.004381</v>
      </c>
      <c r="X44" s="46">
        <v>0.002759</v>
      </c>
      <c r="Y44" s="46">
        <v>0</v>
      </c>
      <c r="Z44" s="46">
        <v>0</v>
      </c>
      <c r="AA44" s="68">
        <v>44</v>
      </c>
      <c r="AB44" s="68"/>
      <c r="AC44" s="69"/>
      <c r="AD44" s="76" t="s">
        <v>1289</v>
      </c>
      <c r="AE44" s="80" t="s">
        <v>1600</v>
      </c>
      <c r="AF44" s="76">
        <v>66</v>
      </c>
      <c r="AG44" s="76">
        <v>64</v>
      </c>
      <c r="AH44" s="76">
        <v>69</v>
      </c>
      <c r="AI44" s="76">
        <v>0</v>
      </c>
      <c r="AJ44" s="76">
        <v>48</v>
      </c>
      <c r="AK44" s="76">
        <v>44</v>
      </c>
      <c r="AL44" s="76" t="b">
        <v>0</v>
      </c>
      <c r="AM44" s="78">
        <v>45064.75947916666</v>
      </c>
      <c r="AN44" s="76" t="s">
        <v>1864</v>
      </c>
      <c r="AO44" s="76" t="s">
        <v>2078</v>
      </c>
      <c r="AP44" s="82" t="str">
        <f>HYPERLINK("https://t.co/qBzNNiZaus")</f>
        <v>https://t.co/qBzNNiZaus</v>
      </c>
      <c r="AQ44" s="82" t="str">
        <f>HYPERLINK("http://podcasts.apple.com/us/podcast/hum")</f>
        <v>http://podcasts.apple.com/us/podcast/hum</v>
      </c>
      <c r="AR44" s="76" t="s">
        <v>2374</v>
      </c>
      <c r="AS44" s="82" t="str">
        <f>HYPERLINK("https://t.co/KrWj39FxzQ")</f>
        <v>https://t.co/KrWj39FxzQ</v>
      </c>
      <c r="AT44" s="82" t="str">
        <f>HYPERLINK("http://HumanEvents.com")</f>
        <v>http://HumanEvents.com</v>
      </c>
      <c r="AU44" s="76" t="s">
        <v>2616</v>
      </c>
      <c r="AV44" s="76"/>
      <c r="AW44" s="82" t="str">
        <f>HYPERLINK("https://t.co/qBzNNiZaus")</f>
        <v>https://t.co/qBzNNiZaus</v>
      </c>
      <c r="AX44" s="76" t="b">
        <v>0</v>
      </c>
      <c r="AY44" s="76"/>
      <c r="AZ44" s="76"/>
      <c r="BA44" s="76" t="b">
        <v>0</v>
      </c>
      <c r="BB44" s="76" t="b">
        <v>1</v>
      </c>
      <c r="BC44" s="76" t="b">
        <v>1</v>
      </c>
      <c r="BD44" s="76" t="b">
        <v>0</v>
      </c>
      <c r="BE44" s="76" t="b">
        <v>0</v>
      </c>
      <c r="BF44" s="76" t="b">
        <v>0</v>
      </c>
      <c r="BG44" s="76" t="b">
        <v>0</v>
      </c>
      <c r="BH44" s="82" t="str">
        <f>HYPERLINK("https://pbs.twimg.com/profile_banners/1659260871275601920/1684668736")</f>
        <v>https://pbs.twimg.com/profile_banners/1659260871275601920/1684668736</v>
      </c>
      <c r="BI44" s="76"/>
      <c r="BJ44" s="76" t="s">
        <v>2656</v>
      </c>
      <c r="BK44" s="76" t="b">
        <v>0</v>
      </c>
      <c r="BL44" s="76"/>
      <c r="BM44" s="76" t="s">
        <v>65</v>
      </c>
      <c r="BN44" s="76" t="s">
        <v>2657</v>
      </c>
      <c r="BO44" s="82" t="str">
        <f>HYPERLINK("https://twitter.com/jackposobiec60")</f>
        <v>https://twitter.com/jackposobiec60</v>
      </c>
      <c r="BP44" s="76" t="str">
        <f>REPLACE(INDEX(GroupVertices[Group],MATCH(Vertices[[#This Row],[Vertex]],GroupVertices[Vertex],0)),1,1,"")</f>
        <v>4</v>
      </c>
      <c r="BQ44" s="45"/>
      <c r="BR44" s="46"/>
      <c r="BS44" s="45"/>
      <c r="BT44" s="46"/>
      <c r="BU44" s="45"/>
      <c r="BV44" s="46"/>
      <c r="BW44" s="45"/>
      <c r="BX44" s="46"/>
      <c r="BY44" s="45"/>
      <c r="BZ44" s="45"/>
      <c r="CA44" s="45"/>
      <c r="CB44" s="45"/>
      <c r="CC44" s="45"/>
      <c r="CD44" s="45"/>
      <c r="CE44" s="45"/>
      <c r="CF44" s="45"/>
      <c r="CG44" s="45"/>
      <c r="CH44" s="45"/>
      <c r="CI44" s="45"/>
      <c r="CJ44" s="2"/>
    </row>
    <row r="45" spans="1:88" ht="15">
      <c r="A45" s="61" t="s">
        <v>297</v>
      </c>
      <c r="B45" s="62"/>
      <c r="C45" s="62"/>
      <c r="D45" s="63">
        <v>535</v>
      </c>
      <c r="E45" s="65"/>
      <c r="F45" s="100" t="str">
        <f>HYPERLINK("https://pbs.twimg.com/profile_images/1324910778336628736/fcVKeOiM_normal.jpg")</f>
        <v>https://pbs.twimg.com/profile_images/1324910778336628736/fcVKeOiM_normal.jpg</v>
      </c>
      <c r="G45" s="62"/>
      <c r="H45" s="66" t="s">
        <v>297</v>
      </c>
      <c r="I45" s="67"/>
      <c r="J45" s="67" t="s">
        <v>159</v>
      </c>
      <c r="K45" s="66" t="s">
        <v>2699</v>
      </c>
      <c r="L45" s="70">
        <v>477.0952380952381</v>
      </c>
      <c r="M45" s="71">
        <v>7598.21875</v>
      </c>
      <c r="N45" s="71">
        <v>7239.87744140625</v>
      </c>
      <c r="O45" s="72"/>
      <c r="P45" s="73"/>
      <c r="Q45" s="73"/>
      <c r="R45" s="86"/>
      <c r="S45" s="45">
        <v>1</v>
      </c>
      <c r="T45" s="45">
        <v>0</v>
      </c>
      <c r="U45" s="46">
        <v>0</v>
      </c>
      <c r="V45" s="46">
        <v>0.248892</v>
      </c>
      <c r="W45" s="46">
        <v>0.004381</v>
      </c>
      <c r="X45" s="46">
        <v>0.002759</v>
      </c>
      <c r="Y45" s="46">
        <v>0</v>
      </c>
      <c r="Z45" s="46">
        <v>0</v>
      </c>
      <c r="AA45" s="68">
        <v>45</v>
      </c>
      <c r="AB45" s="68"/>
      <c r="AC45" s="69"/>
      <c r="AD45" s="76" t="s">
        <v>1290</v>
      </c>
      <c r="AE45" s="80" t="s">
        <v>1601</v>
      </c>
      <c r="AF45" s="76">
        <v>2133</v>
      </c>
      <c r="AG45" s="76">
        <v>54</v>
      </c>
      <c r="AH45" s="76">
        <v>404</v>
      </c>
      <c r="AI45" s="76">
        <v>4</v>
      </c>
      <c r="AJ45" s="76">
        <v>186</v>
      </c>
      <c r="AK45" s="76">
        <v>32</v>
      </c>
      <c r="AL45" s="76" t="b">
        <v>0</v>
      </c>
      <c r="AM45" s="78">
        <v>44100.2871875</v>
      </c>
      <c r="AN45" s="76"/>
      <c r="AO45" s="76" t="s">
        <v>2079</v>
      </c>
      <c r="AP45" s="76"/>
      <c r="AQ45" s="76"/>
      <c r="AR45" s="76"/>
      <c r="AS45" s="76"/>
      <c r="AT45" s="76"/>
      <c r="AU45" s="76"/>
      <c r="AV45" s="76"/>
      <c r="AW45" s="76"/>
      <c r="AX45" s="76" t="b">
        <v>0</v>
      </c>
      <c r="AY45" s="76"/>
      <c r="AZ45" s="76"/>
      <c r="BA45" s="76" t="b">
        <v>0</v>
      </c>
      <c r="BB45" s="76" t="b">
        <v>1</v>
      </c>
      <c r="BC45" s="76" t="b">
        <v>1</v>
      </c>
      <c r="BD45" s="76" t="b">
        <v>0</v>
      </c>
      <c r="BE45" s="76" t="b">
        <v>0</v>
      </c>
      <c r="BF45" s="76" t="b">
        <v>0</v>
      </c>
      <c r="BG45" s="76" t="b">
        <v>0</v>
      </c>
      <c r="BH45" s="76"/>
      <c r="BI45" s="76"/>
      <c r="BJ45" s="76" t="s">
        <v>2656</v>
      </c>
      <c r="BK45" s="76" t="b">
        <v>0</v>
      </c>
      <c r="BL45" s="76"/>
      <c r="BM45" s="76" t="s">
        <v>65</v>
      </c>
      <c r="BN45" s="76" t="s">
        <v>2657</v>
      </c>
      <c r="BO45" s="82" t="str">
        <f>HYPERLINK("https://twitter.com/jackposobiec__")</f>
        <v>https://twitter.com/jackposobiec__</v>
      </c>
      <c r="BP45" s="76" t="str">
        <f>REPLACE(INDEX(GroupVertices[Group],MATCH(Vertices[[#This Row],[Vertex]],GroupVertices[Vertex],0)),1,1,"")</f>
        <v>4</v>
      </c>
      <c r="BQ45" s="45"/>
      <c r="BR45" s="46"/>
      <c r="BS45" s="45"/>
      <c r="BT45" s="46"/>
      <c r="BU45" s="45"/>
      <c r="BV45" s="46"/>
      <c r="BW45" s="45"/>
      <c r="BX45" s="46"/>
      <c r="BY45" s="45"/>
      <c r="BZ45" s="45"/>
      <c r="CA45" s="45"/>
      <c r="CB45" s="45"/>
      <c r="CC45" s="45"/>
      <c r="CD45" s="45"/>
      <c r="CE45" s="45"/>
      <c r="CF45" s="45"/>
      <c r="CG45" s="45"/>
      <c r="CH45" s="45"/>
      <c r="CI45" s="45"/>
      <c r="CJ45" s="2"/>
    </row>
    <row r="46" spans="1:88" ht="15">
      <c r="A46" s="61" t="s">
        <v>298</v>
      </c>
      <c r="B46" s="62"/>
      <c r="C46" s="62"/>
      <c r="D46" s="63">
        <v>535</v>
      </c>
      <c r="E46" s="65"/>
      <c r="F46" s="100" t="str">
        <f>HYPERLINK("https://pbs.twimg.com/profile_images/1640854555951878148/uNu7ON8d_normal.jpg")</f>
        <v>https://pbs.twimg.com/profile_images/1640854555951878148/uNu7ON8d_normal.jpg</v>
      </c>
      <c r="G46" s="62"/>
      <c r="H46" s="66" t="s">
        <v>298</v>
      </c>
      <c r="I46" s="67"/>
      <c r="J46" s="67" t="s">
        <v>159</v>
      </c>
      <c r="K46" s="66" t="s">
        <v>2700</v>
      </c>
      <c r="L46" s="70">
        <v>477.0952380952381</v>
      </c>
      <c r="M46" s="71">
        <v>8945.13671875</v>
      </c>
      <c r="N46" s="71">
        <v>9177.119140625</v>
      </c>
      <c r="O46" s="72"/>
      <c r="P46" s="73"/>
      <c r="Q46" s="73"/>
      <c r="R46" s="86"/>
      <c r="S46" s="45">
        <v>1</v>
      </c>
      <c r="T46" s="45">
        <v>0</v>
      </c>
      <c r="U46" s="46">
        <v>0</v>
      </c>
      <c r="V46" s="46">
        <v>0.248892</v>
      </c>
      <c r="W46" s="46">
        <v>0.004381</v>
      </c>
      <c r="X46" s="46">
        <v>0.002759</v>
      </c>
      <c r="Y46" s="46">
        <v>0</v>
      </c>
      <c r="Z46" s="46">
        <v>0</v>
      </c>
      <c r="AA46" s="68">
        <v>46</v>
      </c>
      <c r="AB46" s="68"/>
      <c r="AC46" s="69"/>
      <c r="AD46" s="76" t="s">
        <v>1291</v>
      </c>
      <c r="AE46" s="80" t="s">
        <v>1602</v>
      </c>
      <c r="AF46" s="76">
        <v>2280623</v>
      </c>
      <c r="AG46" s="76">
        <v>979</v>
      </c>
      <c r="AH46" s="76">
        <v>184024</v>
      </c>
      <c r="AI46" s="76">
        <v>10612</v>
      </c>
      <c r="AJ46" s="76">
        <v>129201</v>
      </c>
      <c r="AK46" s="76">
        <v>22436</v>
      </c>
      <c r="AL46" s="76" t="b">
        <v>0</v>
      </c>
      <c r="AM46" s="78">
        <v>41057.56344907408</v>
      </c>
      <c r="AN46" s="76"/>
      <c r="AO46" s="76" t="s">
        <v>2080</v>
      </c>
      <c r="AP46" s="82" t="str">
        <f>HYPERLINK("https://t.co/fTxYG7YLmC")</f>
        <v>https://t.co/fTxYG7YLmC</v>
      </c>
      <c r="AQ46" s="82" t="str">
        <f>HYPERLINK("https://podcasts.apple.com/us/podcast/human-events-daily-with-jack-posobiec/id1585243541")</f>
        <v>https://podcasts.apple.com/us/podcast/human-events-daily-with-jack-posobiec/id1585243541</v>
      </c>
      <c r="AR46" s="76" t="s">
        <v>2375</v>
      </c>
      <c r="AS46" s="82" t="str">
        <f>HYPERLINK("https://t.co/73SQwmnWs8")</f>
        <v>https://t.co/73SQwmnWs8</v>
      </c>
      <c r="AT46" s="82" t="str">
        <f>HYPERLINK("http://HumanEvents.com")</f>
        <v>http://HumanEvents.com</v>
      </c>
      <c r="AU46" s="76" t="s">
        <v>2616</v>
      </c>
      <c r="AV46" s="76">
        <v>1.70098322251838E+18</v>
      </c>
      <c r="AW46" s="82" t="str">
        <f>HYPERLINK("https://t.co/fTxYG7YLmC")</f>
        <v>https://t.co/fTxYG7YLmC</v>
      </c>
      <c r="AX46" s="76" t="b">
        <v>1</v>
      </c>
      <c r="AY46" s="76"/>
      <c r="AZ46" s="76"/>
      <c r="BA46" s="76" t="b">
        <v>0</v>
      </c>
      <c r="BB46" s="76" t="b">
        <v>0</v>
      </c>
      <c r="BC46" s="76" t="b">
        <v>0</v>
      </c>
      <c r="BD46" s="76" t="b">
        <v>0</v>
      </c>
      <c r="BE46" s="76" t="b">
        <v>1</v>
      </c>
      <c r="BF46" s="76" t="b">
        <v>0</v>
      </c>
      <c r="BG46" s="76" t="b">
        <v>0</v>
      </c>
      <c r="BH46" s="82" t="str">
        <f>HYPERLINK("https://pbs.twimg.com/profile_banners/592730371/1658678326")</f>
        <v>https://pbs.twimg.com/profile_banners/592730371/1658678326</v>
      </c>
      <c r="BI46" s="76"/>
      <c r="BJ46" s="76" t="s">
        <v>2656</v>
      </c>
      <c r="BK46" s="76" t="b">
        <v>0</v>
      </c>
      <c r="BL46" s="76"/>
      <c r="BM46" s="76" t="s">
        <v>65</v>
      </c>
      <c r="BN46" s="76" t="s">
        <v>2657</v>
      </c>
      <c r="BO46" s="82" t="str">
        <f>HYPERLINK("https://twitter.com/jackposobiec")</f>
        <v>https://twitter.com/jackposobiec</v>
      </c>
      <c r="BP46" s="76" t="str">
        <f>REPLACE(INDEX(GroupVertices[Group],MATCH(Vertices[[#This Row],[Vertex]],GroupVertices[Vertex],0)),1,1,"")</f>
        <v>4</v>
      </c>
      <c r="BQ46" s="45"/>
      <c r="BR46" s="46"/>
      <c r="BS46" s="45"/>
      <c r="BT46" s="46"/>
      <c r="BU46" s="45"/>
      <c r="BV46" s="46"/>
      <c r="BW46" s="45"/>
      <c r="BX46" s="46"/>
      <c r="BY46" s="45"/>
      <c r="BZ46" s="45"/>
      <c r="CA46" s="45"/>
      <c r="CB46" s="45"/>
      <c r="CC46" s="45"/>
      <c r="CD46" s="45"/>
      <c r="CE46" s="45"/>
      <c r="CF46" s="45"/>
      <c r="CG46" s="45"/>
      <c r="CH46" s="45"/>
      <c r="CI46" s="45"/>
      <c r="CJ46" s="2"/>
    </row>
    <row r="47" spans="1:88" ht="15">
      <c r="A47" s="61" t="s">
        <v>299</v>
      </c>
      <c r="B47" s="62"/>
      <c r="C47" s="62"/>
      <c r="D47" s="63">
        <v>535</v>
      </c>
      <c r="E47" s="65"/>
      <c r="F47" s="100" t="str">
        <f>HYPERLINK("https://pbs.twimg.com/profile_images/1678468849933381632/5gxkN3-t_normal.jpg")</f>
        <v>https://pbs.twimg.com/profile_images/1678468849933381632/5gxkN3-t_normal.jpg</v>
      </c>
      <c r="G47" s="62"/>
      <c r="H47" s="66" t="s">
        <v>299</v>
      </c>
      <c r="I47" s="67"/>
      <c r="J47" s="67" t="s">
        <v>159</v>
      </c>
      <c r="K47" s="66" t="s">
        <v>2701</v>
      </c>
      <c r="L47" s="70">
        <v>477.0952380952381</v>
      </c>
      <c r="M47" s="71">
        <v>9853.5126953125</v>
      </c>
      <c r="N47" s="71">
        <v>8432.6455078125</v>
      </c>
      <c r="O47" s="72"/>
      <c r="P47" s="73"/>
      <c r="Q47" s="73"/>
      <c r="R47" s="86"/>
      <c r="S47" s="45">
        <v>1</v>
      </c>
      <c r="T47" s="45">
        <v>0</v>
      </c>
      <c r="U47" s="46">
        <v>0</v>
      </c>
      <c r="V47" s="46">
        <v>0.248892</v>
      </c>
      <c r="W47" s="46">
        <v>0.004381</v>
      </c>
      <c r="X47" s="46">
        <v>0.002759</v>
      </c>
      <c r="Y47" s="46">
        <v>0</v>
      </c>
      <c r="Z47" s="46">
        <v>0</v>
      </c>
      <c r="AA47" s="68">
        <v>47</v>
      </c>
      <c r="AB47" s="68"/>
      <c r="AC47" s="69"/>
      <c r="AD47" s="76" t="s">
        <v>1292</v>
      </c>
      <c r="AE47" s="80" t="s">
        <v>1603</v>
      </c>
      <c r="AF47" s="76">
        <v>991751</v>
      </c>
      <c r="AG47" s="76">
        <v>775</v>
      </c>
      <c r="AH47" s="76">
        <v>22794</v>
      </c>
      <c r="AI47" s="76">
        <v>3677</v>
      </c>
      <c r="AJ47" s="76">
        <v>2975</v>
      </c>
      <c r="AK47" s="76">
        <v>1089</v>
      </c>
      <c r="AL47" s="76" t="b">
        <v>0</v>
      </c>
      <c r="AM47" s="78">
        <v>41474.14166666667</v>
      </c>
      <c r="AN47" s="76" t="s">
        <v>1871</v>
      </c>
      <c r="AO47" s="76" t="s">
        <v>2081</v>
      </c>
      <c r="AP47" s="82" t="str">
        <f>HYPERLINK("https://t.co/MuzlMw298Q")</f>
        <v>https://t.co/MuzlMw298Q</v>
      </c>
      <c r="AQ47" s="82" t="str">
        <f>HYPERLINK("http://Blacklivesmatter.com/")</f>
        <v>http://Blacklivesmatter.com/</v>
      </c>
      <c r="AR47" s="76" t="s">
        <v>2376</v>
      </c>
      <c r="AS47" s="76"/>
      <c r="AT47" s="76"/>
      <c r="AU47" s="76"/>
      <c r="AV47" s="76">
        <v>1.61910991900495E+18</v>
      </c>
      <c r="AW47" s="82" t="str">
        <f>HYPERLINK("https://t.co/MuzlMw298Q")</f>
        <v>https://t.co/MuzlMw298Q</v>
      </c>
      <c r="AX47" s="76" t="b">
        <v>1</v>
      </c>
      <c r="AY47" s="76"/>
      <c r="AZ47" s="76"/>
      <c r="BA47" s="76" t="b">
        <v>0</v>
      </c>
      <c r="BB47" s="76" t="b">
        <v>0</v>
      </c>
      <c r="BC47" s="76" t="b">
        <v>0</v>
      </c>
      <c r="BD47" s="76" t="b">
        <v>0</v>
      </c>
      <c r="BE47" s="76" t="b">
        <v>1</v>
      </c>
      <c r="BF47" s="76" t="b">
        <v>0</v>
      </c>
      <c r="BG47" s="76" t="b">
        <v>0</v>
      </c>
      <c r="BH47" s="82" t="str">
        <f>HYPERLINK("https://pbs.twimg.com/profile_banners/1604931252/1499929294")</f>
        <v>https://pbs.twimg.com/profile_banners/1604931252/1499929294</v>
      </c>
      <c r="BI47" s="76"/>
      <c r="BJ47" s="76" t="s">
        <v>2656</v>
      </c>
      <c r="BK47" s="76" t="b">
        <v>0</v>
      </c>
      <c r="BL47" s="76"/>
      <c r="BM47" s="76" t="s">
        <v>65</v>
      </c>
      <c r="BN47" s="76" t="s">
        <v>2657</v>
      </c>
      <c r="BO47" s="82" t="str">
        <f>HYPERLINK("https://twitter.com/blklivesmatter")</f>
        <v>https://twitter.com/blklivesmatter</v>
      </c>
      <c r="BP47" s="76" t="str">
        <f>REPLACE(INDEX(GroupVertices[Group],MATCH(Vertices[[#This Row],[Vertex]],GroupVertices[Vertex],0)),1,1,"")</f>
        <v>4</v>
      </c>
      <c r="BQ47" s="45"/>
      <c r="BR47" s="46"/>
      <c r="BS47" s="45"/>
      <c r="BT47" s="46"/>
      <c r="BU47" s="45"/>
      <c r="BV47" s="46"/>
      <c r="BW47" s="45"/>
      <c r="BX47" s="46"/>
      <c r="BY47" s="45"/>
      <c r="BZ47" s="45"/>
      <c r="CA47" s="45"/>
      <c r="CB47" s="45"/>
      <c r="CC47" s="45"/>
      <c r="CD47" s="45"/>
      <c r="CE47" s="45"/>
      <c r="CF47" s="45"/>
      <c r="CG47" s="45"/>
      <c r="CH47" s="45"/>
      <c r="CI47" s="45"/>
      <c r="CJ47" s="2"/>
    </row>
    <row r="48" spans="1:88" ht="15">
      <c r="A48" s="61" t="s">
        <v>300</v>
      </c>
      <c r="B48" s="62"/>
      <c r="C48" s="62"/>
      <c r="D48" s="63">
        <v>535</v>
      </c>
      <c r="E48" s="65"/>
      <c r="F48" s="100" t="str">
        <f>HYPERLINK("https://pbs.twimg.com/profile_images/1265070746931302401/2w71OcJP_normal.jpg")</f>
        <v>https://pbs.twimg.com/profile_images/1265070746931302401/2w71OcJP_normal.jpg</v>
      </c>
      <c r="G48" s="62"/>
      <c r="H48" s="66" t="s">
        <v>300</v>
      </c>
      <c r="I48" s="67"/>
      <c r="J48" s="67" t="s">
        <v>159</v>
      </c>
      <c r="K48" s="66" t="s">
        <v>2702</v>
      </c>
      <c r="L48" s="70">
        <v>477.0952380952381</v>
      </c>
      <c r="M48" s="71">
        <v>9382.541015625</v>
      </c>
      <c r="N48" s="71">
        <v>7894.89697265625</v>
      </c>
      <c r="O48" s="72"/>
      <c r="P48" s="73"/>
      <c r="Q48" s="73"/>
      <c r="R48" s="86"/>
      <c r="S48" s="45">
        <v>1</v>
      </c>
      <c r="T48" s="45">
        <v>0</v>
      </c>
      <c r="U48" s="46">
        <v>0</v>
      </c>
      <c r="V48" s="46">
        <v>0.248892</v>
      </c>
      <c r="W48" s="46">
        <v>0.004381</v>
      </c>
      <c r="X48" s="46">
        <v>0.002759</v>
      </c>
      <c r="Y48" s="46">
        <v>0</v>
      </c>
      <c r="Z48" s="46">
        <v>0</v>
      </c>
      <c r="AA48" s="68">
        <v>48</v>
      </c>
      <c r="AB48" s="68"/>
      <c r="AC48" s="69"/>
      <c r="AD48" s="76" t="s">
        <v>1293</v>
      </c>
      <c r="AE48" s="80" t="s">
        <v>1172</v>
      </c>
      <c r="AF48" s="76">
        <v>1355049</v>
      </c>
      <c r="AG48" s="76">
        <v>2675</v>
      </c>
      <c r="AH48" s="76">
        <v>37149</v>
      </c>
      <c r="AI48" s="76">
        <v>5739</v>
      </c>
      <c r="AJ48" s="76">
        <v>64137</v>
      </c>
      <c r="AK48" s="76">
        <v>12784</v>
      </c>
      <c r="AL48" s="76" t="b">
        <v>0</v>
      </c>
      <c r="AM48" s="78">
        <v>41911.24868055555</v>
      </c>
      <c r="AN48" s="76" t="s">
        <v>1872</v>
      </c>
      <c r="AO48" s="76" t="s">
        <v>2082</v>
      </c>
      <c r="AP48" s="82" t="str">
        <f>HYPERLINK("https://t.co/g8LZzaVjZV")</f>
        <v>https://t.co/g8LZzaVjZV</v>
      </c>
      <c r="AQ48" s="82" t="str">
        <f>HYPERLINK("http://www.andy-ngo.com")</f>
        <v>http://www.andy-ngo.com</v>
      </c>
      <c r="AR48" s="76" t="s">
        <v>2377</v>
      </c>
      <c r="AS48" s="82" t="str">
        <f>HYPERLINK("https://t.co/qNoFCtvckk")</f>
        <v>https://t.co/qNoFCtvckk</v>
      </c>
      <c r="AT48" s="82" t="str">
        <f>HYPERLINK("http://linktr.ee/andyngo")</f>
        <v>http://linktr.ee/andyngo</v>
      </c>
      <c r="AU48" s="76" t="s">
        <v>2617</v>
      </c>
      <c r="AV48" s="76">
        <v>1.69598289324222E+18</v>
      </c>
      <c r="AW48" s="82" t="str">
        <f>HYPERLINK("https://t.co/g8LZzaVjZV")</f>
        <v>https://t.co/g8LZzaVjZV</v>
      </c>
      <c r="AX48" s="76" t="b">
        <v>1</v>
      </c>
      <c r="AY48" s="76"/>
      <c r="AZ48" s="76"/>
      <c r="BA48" s="76" t="b">
        <v>1</v>
      </c>
      <c r="BB48" s="76" t="b">
        <v>1</v>
      </c>
      <c r="BC48" s="76" t="b">
        <v>0</v>
      </c>
      <c r="BD48" s="76" t="b">
        <v>0</v>
      </c>
      <c r="BE48" s="76" t="b">
        <v>1</v>
      </c>
      <c r="BF48" s="76" t="b">
        <v>0</v>
      </c>
      <c r="BG48" s="76" t="b">
        <v>0</v>
      </c>
      <c r="BH48" s="82" t="str">
        <f>HYPERLINK("https://pbs.twimg.com/profile_banners/2835451658/1687535112")</f>
        <v>https://pbs.twimg.com/profile_banners/2835451658/1687535112</v>
      </c>
      <c r="BI48" s="76"/>
      <c r="BJ48" s="76" t="s">
        <v>2656</v>
      </c>
      <c r="BK48" s="76" t="b">
        <v>0</v>
      </c>
      <c r="BL48" s="76"/>
      <c r="BM48" s="76" t="s">
        <v>65</v>
      </c>
      <c r="BN48" s="76" t="s">
        <v>2657</v>
      </c>
      <c r="BO48" s="82" t="str">
        <f>HYPERLINK("https://twitter.com/mrandyngo")</f>
        <v>https://twitter.com/mrandyngo</v>
      </c>
      <c r="BP48" s="76" t="str">
        <f>REPLACE(INDEX(GroupVertices[Group],MATCH(Vertices[[#This Row],[Vertex]],GroupVertices[Vertex],0)),1,1,"")</f>
        <v>4</v>
      </c>
      <c r="BQ48" s="45"/>
      <c r="BR48" s="46"/>
      <c r="BS48" s="45"/>
      <c r="BT48" s="46"/>
      <c r="BU48" s="45"/>
      <c r="BV48" s="46"/>
      <c r="BW48" s="45"/>
      <c r="BX48" s="46"/>
      <c r="BY48" s="45"/>
      <c r="BZ48" s="45"/>
      <c r="CA48" s="45"/>
      <c r="CB48" s="45"/>
      <c r="CC48" s="45"/>
      <c r="CD48" s="45"/>
      <c r="CE48" s="45"/>
      <c r="CF48" s="45"/>
      <c r="CG48" s="45"/>
      <c r="CH48" s="45"/>
      <c r="CI48" s="45"/>
      <c r="CJ48" s="2"/>
    </row>
    <row r="49" spans="1:88" ht="15">
      <c r="A49" s="61" t="s">
        <v>301</v>
      </c>
      <c r="B49" s="62"/>
      <c r="C49" s="62"/>
      <c r="D49" s="63">
        <v>535</v>
      </c>
      <c r="E49" s="65"/>
      <c r="F49" s="100" t="str">
        <f>HYPERLINK("https://pbs.twimg.com/profile_images/1683507779477155843/Po3rXXk4_normal.jpg")</f>
        <v>https://pbs.twimg.com/profile_images/1683507779477155843/Po3rXXk4_normal.jpg</v>
      </c>
      <c r="G49" s="62"/>
      <c r="H49" s="66" t="s">
        <v>301</v>
      </c>
      <c r="I49" s="67"/>
      <c r="J49" s="67" t="s">
        <v>159</v>
      </c>
      <c r="K49" s="66" t="s">
        <v>2703</v>
      </c>
      <c r="L49" s="70">
        <v>477.0952380952381</v>
      </c>
      <c r="M49" s="71">
        <v>8144.9375</v>
      </c>
      <c r="N49" s="71">
        <v>9650.4287109375</v>
      </c>
      <c r="O49" s="72"/>
      <c r="P49" s="73"/>
      <c r="Q49" s="73"/>
      <c r="R49" s="86"/>
      <c r="S49" s="45">
        <v>1</v>
      </c>
      <c r="T49" s="45">
        <v>0</v>
      </c>
      <c r="U49" s="46">
        <v>0</v>
      </c>
      <c r="V49" s="46">
        <v>0.248892</v>
      </c>
      <c r="W49" s="46">
        <v>0.004381</v>
      </c>
      <c r="X49" s="46">
        <v>0.002759</v>
      </c>
      <c r="Y49" s="46">
        <v>0</v>
      </c>
      <c r="Z49" s="46">
        <v>0</v>
      </c>
      <c r="AA49" s="68">
        <v>49</v>
      </c>
      <c r="AB49" s="68"/>
      <c r="AC49" s="69"/>
      <c r="AD49" s="76" t="s">
        <v>1294</v>
      </c>
      <c r="AE49" s="80" t="s">
        <v>1604</v>
      </c>
      <c r="AF49" s="76">
        <v>38714</v>
      </c>
      <c r="AG49" s="76">
        <v>0</v>
      </c>
      <c r="AH49" s="76">
        <v>126</v>
      </c>
      <c r="AI49" s="76">
        <v>414</v>
      </c>
      <c r="AJ49" s="76">
        <v>15</v>
      </c>
      <c r="AK49" s="76">
        <v>12</v>
      </c>
      <c r="AL49" s="76" t="b">
        <v>0</v>
      </c>
      <c r="AM49" s="78">
        <v>41305.81784722222</v>
      </c>
      <c r="AN49" s="76"/>
      <c r="AO49" s="76" t="s">
        <v>2083</v>
      </c>
      <c r="AP49" s="82" t="str">
        <f>HYPERLINK("https://t.co/qLDfmg8ZCE")</f>
        <v>https://t.co/qLDfmg8ZCE</v>
      </c>
      <c r="AQ49" s="82" t="str">
        <f>HYPERLINK("https://twitter.com/about/security")</f>
        <v>https://twitter.com/about/security</v>
      </c>
      <c r="AR49" s="76" t="s">
        <v>2378</v>
      </c>
      <c r="AS49" s="76" t="s">
        <v>2585</v>
      </c>
      <c r="AT49" s="76" t="s">
        <v>2597</v>
      </c>
      <c r="AU49" s="76" t="s">
        <v>2618</v>
      </c>
      <c r="AV49" s="76"/>
      <c r="AW49" s="82" t="str">
        <f>HYPERLINK("https://t.co/qLDfmg8ZCE")</f>
        <v>https://t.co/qLDfmg8ZCE</v>
      </c>
      <c r="AX49" s="76" t="b">
        <v>1</v>
      </c>
      <c r="AY49" s="76"/>
      <c r="AZ49" s="76"/>
      <c r="BA49" s="76" t="b">
        <v>0</v>
      </c>
      <c r="BB49" s="76" t="b">
        <v>0</v>
      </c>
      <c r="BC49" s="76" t="b">
        <v>0</v>
      </c>
      <c r="BD49" s="76" t="b">
        <v>0</v>
      </c>
      <c r="BE49" s="76" t="b">
        <v>0</v>
      </c>
      <c r="BF49" s="76" t="b">
        <v>0</v>
      </c>
      <c r="BG49" s="76" t="b">
        <v>0</v>
      </c>
      <c r="BH49" s="82" t="str">
        <f>HYPERLINK("https://pbs.twimg.com/profile_banners/1137751093/1690214508")</f>
        <v>https://pbs.twimg.com/profile_banners/1137751093/1690214508</v>
      </c>
      <c r="BI49" s="76"/>
      <c r="BJ49" s="76" t="s">
        <v>2656</v>
      </c>
      <c r="BK49" s="76" t="b">
        <v>0</v>
      </c>
      <c r="BL49" s="76"/>
      <c r="BM49" s="76" t="s">
        <v>65</v>
      </c>
      <c r="BN49" s="76" t="s">
        <v>2657</v>
      </c>
      <c r="BO49" s="82" t="str">
        <f>HYPERLINK("https://twitter.com/xsecurity")</f>
        <v>https://twitter.com/xsecurity</v>
      </c>
      <c r="BP49" s="76" t="str">
        <f>REPLACE(INDEX(GroupVertices[Group],MATCH(Vertices[[#This Row],[Vertex]],GroupVertices[Vertex],0)),1,1,"")</f>
        <v>4</v>
      </c>
      <c r="BQ49" s="45"/>
      <c r="BR49" s="46"/>
      <c r="BS49" s="45"/>
      <c r="BT49" s="46"/>
      <c r="BU49" s="45"/>
      <c r="BV49" s="46"/>
      <c r="BW49" s="45"/>
      <c r="BX49" s="46"/>
      <c r="BY49" s="45"/>
      <c r="BZ49" s="45"/>
      <c r="CA49" s="45"/>
      <c r="CB49" s="45"/>
      <c r="CC49" s="45"/>
      <c r="CD49" s="45"/>
      <c r="CE49" s="45"/>
      <c r="CF49" s="45"/>
      <c r="CG49" s="45"/>
      <c r="CH49" s="45"/>
      <c r="CI49" s="45"/>
      <c r="CJ49" s="2"/>
    </row>
    <row r="50" spans="1:88" ht="15">
      <c r="A50" s="61" t="s">
        <v>302</v>
      </c>
      <c r="B50" s="62"/>
      <c r="C50" s="62"/>
      <c r="D50" s="63">
        <v>535</v>
      </c>
      <c r="E50" s="65"/>
      <c r="F50" s="100" t="str">
        <f>HYPERLINK("https://pbs.twimg.com/profile_images/1659561668945354755/c5dthMBt_normal.jpg")</f>
        <v>https://pbs.twimg.com/profile_images/1659561668945354755/c5dthMBt_normal.jpg</v>
      </c>
      <c r="G50" s="62"/>
      <c r="H50" s="66" t="s">
        <v>302</v>
      </c>
      <c r="I50" s="67"/>
      <c r="J50" s="67" t="s">
        <v>159</v>
      </c>
      <c r="K50" s="66" t="s">
        <v>2704</v>
      </c>
      <c r="L50" s="70">
        <v>477.0952380952381</v>
      </c>
      <c r="M50" s="71">
        <v>9519.119140625</v>
      </c>
      <c r="N50" s="71">
        <v>9338.798828125</v>
      </c>
      <c r="O50" s="72"/>
      <c r="P50" s="73"/>
      <c r="Q50" s="73"/>
      <c r="R50" s="86"/>
      <c r="S50" s="45">
        <v>1</v>
      </c>
      <c r="T50" s="45">
        <v>0</v>
      </c>
      <c r="U50" s="46">
        <v>0</v>
      </c>
      <c r="V50" s="46">
        <v>0.248892</v>
      </c>
      <c r="W50" s="46">
        <v>0.004381</v>
      </c>
      <c r="X50" s="46">
        <v>0.002759</v>
      </c>
      <c r="Y50" s="46">
        <v>0</v>
      </c>
      <c r="Z50" s="46">
        <v>0</v>
      </c>
      <c r="AA50" s="68">
        <v>50</v>
      </c>
      <c r="AB50" s="68"/>
      <c r="AC50" s="69"/>
      <c r="AD50" s="76" t="s">
        <v>1295</v>
      </c>
      <c r="AE50" s="80" t="s">
        <v>1605</v>
      </c>
      <c r="AF50" s="76">
        <v>522775</v>
      </c>
      <c r="AG50" s="76">
        <v>1262</v>
      </c>
      <c r="AH50" s="76">
        <v>1438</v>
      </c>
      <c r="AI50" s="76">
        <v>1545</v>
      </c>
      <c r="AJ50" s="76">
        <v>4937</v>
      </c>
      <c r="AK50" s="76">
        <v>229</v>
      </c>
      <c r="AL50" s="76" t="b">
        <v>0</v>
      </c>
      <c r="AM50" s="78">
        <v>41007.35837962963</v>
      </c>
      <c r="AN50" s="76"/>
      <c r="AO50" s="76" t="s">
        <v>2084</v>
      </c>
      <c r="AP50" s="76"/>
      <c r="AQ50" s="76"/>
      <c r="AR50" s="76"/>
      <c r="AS50" s="76"/>
      <c r="AT50" s="76"/>
      <c r="AU50" s="76"/>
      <c r="AV50" s="76">
        <v>1.68622448685554E+18</v>
      </c>
      <c r="AW50" s="76"/>
      <c r="AX50" s="76" t="b">
        <v>1</v>
      </c>
      <c r="AY50" s="76"/>
      <c r="AZ50" s="76"/>
      <c r="BA50" s="76" t="b">
        <v>0</v>
      </c>
      <c r="BB50" s="76" t="b">
        <v>1</v>
      </c>
      <c r="BC50" s="76" t="b">
        <v>1</v>
      </c>
      <c r="BD50" s="76" t="b">
        <v>0</v>
      </c>
      <c r="BE50" s="76" t="b">
        <v>0</v>
      </c>
      <c r="BF50" s="76" t="b">
        <v>0</v>
      </c>
      <c r="BG50" s="76" t="b">
        <v>0</v>
      </c>
      <c r="BH50" s="82" t="str">
        <f>HYPERLINK("https://pbs.twimg.com/profile_banners/548263294/1690308383")</f>
        <v>https://pbs.twimg.com/profile_banners/548263294/1690308383</v>
      </c>
      <c r="BI50" s="76"/>
      <c r="BJ50" s="76" t="s">
        <v>2656</v>
      </c>
      <c r="BK50" s="76" t="b">
        <v>0</v>
      </c>
      <c r="BL50" s="76"/>
      <c r="BM50" s="76" t="s">
        <v>65</v>
      </c>
      <c r="BN50" s="76" t="s">
        <v>2657</v>
      </c>
      <c r="BO50" s="82" t="str">
        <f>HYPERLINK("https://twitter.com/lindayax")</f>
        <v>https://twitter.com/lindayax</v>
      </c>
      <c r="BP50" s="76" t="str">
        <f>REPLACE(INDEX(GroupVertices[Group],MATCH(Vertices[[#This Row],[Vertex]],GroupVertices[Vertex],0)),1,1,"")</f>
        <v>4</v>
      </c>
      <c r="BQ50" s="45"/>
      <c r="BR50" s="46"/>
      <c r="BS50" s="45"/>
      <c r="BT50" s="46"/>
      <c r="BU50" s="45"/>
      <c r="BV50" s="46"/>
      <c r="BW50" s="45"/>
      <c r="BX50" s="46"/>
      <c r="BY50" s="45"/>
      <c r="BZ50" s="45"/>
      <c r="CA50" s="45"/>
      <c r="CB50" s="45"/>
      <c r="CC50" s="45"/>
      <c r="CD50" s="45"/>
      <c r="CE50" s="45"/>
      <c r="CF50" s="45"/>
      <c r="CG50" s="45"/>
      <c r="CH50" s="45"/>
      <c r="CI50" s="45"/>
      <c r="CJ50" s="2"/>
    </row>
    <row r="51" spans="1:88" ht="15">
      <c r="A51" s="61" t="s">
        <v>255</v>
      </c>
      <c r="B51" s="62"/>
      <c r="C51" s="62"/>
      <c r="D51" s="63">
        <v>1000</v>
      </c>
      <c r="E51" s="65"/>
      <c r="F51" s="100" t="str">
        <f>HYPERLINK("https://pbs.twimg.com/profile_images/1683325380441128960/yRsRRjGO_normal.jpg")</f>
        <v>https://pbs.twimg.com/profile_images/1683325380441128960/yRsRRjGO_normal.jpg</v>
      </c>
      <c r="G51" s="62"/>
      <c r="H51" s="66" t="s">
        <v>255</v>
      </c>
      <c r="I51" s="67"/>
      <c r="J51" s="67" t="s">
        <v>159</v>
      </c>
      <c r="K51" s="66" t="s">
        <v>2705</v>
      </c>
      <c r="L51" s="70">
        <v>2381.4761904761904</v>
      </c>
      <c r="M51" s="71">
        <v>5138.9130859375</v>
      </c>
      <c r="N51" s="71">
        <v>5363.60205078125</v>
      </c>
      <c r="O51" s="72"/>
      <c r="P51" s="73"/>
      <c r="Q51" s="73"/>
      <c r="R51" s="86"/>
      <c r="S51" s="45">
        <v>5</v>
      </c>
      <c r="T51" s="45">
        <v>1</v>
      </c>
      <c r="U51" s="46">
        <v>1510.333333</v>
      </c>
      <c r="V51" s="46">
        <v>0.306286</v>
      </c>
      <c r="W51" s="46">
        <v>0.025229</v>
      </c>
      <c r="X51" s="46">
        <v>0.003056</v>
      </c>
      <c r="Y51" s="46">
        <v>0</v>
      </c>
      <c r="Z51" s="46">
        <v>0</v>
      </c>
      <c r="AA51" s="68">
        <v>51</v>
      </c>
      <c r="AB51" s="68"/>
      <c r="AC51" s="69"/>
      <c r="AD51" s="76" t="s">
        <v>1296</v>
      </c>
      <c r="AE51" s="80" t="s">
        <v>1187</v>
      </c>
      <c r="AF51" s="76">
        <v>156336577</v>
      </c>
      <c r="AG51" s="76">
        <v>425</v>
      </c>
      <c r="AH51" s="76">
        <v>30619</v>
      </c>
      <c r="AI51" s="76">
        <v>127076</v>
      </c>
      <c r="AJ51" s="76">
        <v>32151</v>
      </c>
      <c r="AK51" s="76">
        <v>1690</v>
      </c>
      <c r="AL51" s="76" t="b">
        <v>0</v>
      </c>
      <c r="AM51" s="78">
        <v>39966.842002314814</v>
      </c>
      <c r="AN51" s="76" t="s">
        <v>1873</v>
      </c>
      <c r="AO51" s="76"/>
      <c r="AP51" s="76"/>
      <c r="AQ51" s="76"/>
      <c r="AR51" s="76"/>
      <c r="AS51" s="76"/>
      <c r="AT51" s="76"/>
      <c r="AU51" s="76"/>
      <c r="AV51" s="76">
        <v>1.7010035501582E+18</v>
      </c>
      <c r="AW51" s="76"/>
      <c r="AX51" s="76" t="b">
        <v>1</v>
      </c>
      <c r="AY51" s="76"/>
      <c r="AZ51" s="76" t="b">
        <v>1</v>
      </c>
      <c r="BA51" s="76" t="b">
        <v>0</v>
      </c>
      <c r="BB51" s="76" t="b">
        <v>0</v>
      </c>
      <c r="BC51" s="76" t="b">
        <v>0</v>
      </c>
      <c r="BD51" s="76" t="b">
        <v>0</v>
      </c>
      <c r="BE51" s="76" t="b">
        <v>1</v>
      </c>
      <c r="BF51" s="76" t="b">
        <v>0</v>
      </c>
      <c r="BG51" s="76" t="b">
        <v>0</v>
      </c>
      <c r="BH51" s="82" t="str">
        <f>HYPERLINK("https://pbs.twimg.com/profile_banners/44196397/1690621312")</f>
        <v>https://pbs.twimg.com/profile_banners/44196397/1690621312</v>
      </c>
      <c r="BI51" s="76"/>
      <c r="BJ51" s="76" t="s">
        <v>2656</v>
      </c>
      <c r="BK51" s="76" t="b">
        <v>1</v>
      </c>
      <c r="BL51" s="76"/>
      <c r="BM51" s="76" t="s">
        <v>66</v>
      </c>
      <c r="BN51" s="76" t="s">
        <v>2657</v>
      </c>
      <c r="BO51" s="82" t="str">
        <f>HYPERLINK("https://twitter.com/elonmusk")</f>
        <v>https://twitter.com/elonmusk</v>
      </c>
      <c r="BP51" s="76" t="str">
        <f>REPLACE(INDEX(GroupVertices[Group],MATCH(Vertices[[#This Row],[Vertex]],GroupVertices[Vertex],0)),1,1,"")</f>
        <v>5</v>
      </c>
      <c r="BQ51" s="45">
        <v>0</v>
      </c>
      <c r="BR51" s="46">
        <v>0</v>
      </c>
      <c r="BS51" s="45">
        <v>0</v>
      </c>
      <c r="BT51" s="46">
        <v>0</v>
      </c>
      <c r="BU51" s="45">
        <v>0</v>
      </c>
      <c r="BV51" s="46">
        <v>0</v>
      </c>
      <c r="BW51" s="45">
        <v>11</v>
      </c>
      <c r="BX51" s="46">
        <v>45.833333333333336</v>
      </c>
      <c r="BY51" s="45">
        <v>24</v>
      </c>
      <c r="BZ51" s="45"/>
      <c r="CA51" s="45"/>
      <c r="CB51" s="45"/>
      <c r="CC51" s="45"/>
      <c r="CD51" s="45"/>
      <c r="CE51" s="45"/>
      <c r="CF51" s="112" t="s">
        <v>11594</v>
      </c>
      <c r="CG51" s="112" t="s">
        <v>11594</v>
      </c>
      <c r="CH51" s="112" t="s">
        <v>11649</v>
      </c>
      <c r="CI51" s="112" t="s">
        <v>11649</v>
      </c>
      <c r="CJ51" s="2"/>
    </row>
    <row r="52" spans="1:88" ht="15">
      <c r="A52" s="61" t="s">
        <v>303</v>
      </c>
      <c r="B52" s="62"/>
      <c r="C52" s="62"/>
      <c r="D52" s="63">
        <v>1000</v>
      </c>
      <c r="E52" s="65"/>
      <c r="F52" s="100" t="str">
        <f>HYPERLINK("https://pbs.twimg.com/profile_images/1427292844612595720/RC1YSvuT_normal.jpg")</f>
        <v>https://pbs.twimg.com/profile_images/1427292844612595720/RC1YSvuT_normal.jpg</v>
      </c>
      <c r="G52" s="62"/>
      <c r="H52" s="66" t="s">
        <v>303</v>
      </c>
      <c r="I52" s="67"/>
      <c r="J52" s="67" t="s">
        <v>159</v>
      </c>
      <c r="K52" s="66" t="s">
        <v>2706</v>
      </c>
      <c r="L52" s="70">
        <v>953.1904761904761</v>
      </c>
      <c r="M52" s="71">
        <v>9229.1171875</v>
      </c>
      <c r="N52" s="71">
        <v>7140.67578125</v>
      </c>
      <c r="O52" s="72"/>
      <c r="P52" s="73"/>
      <c r="Q52" s="73"/>
      <c r="R52" s="86"/>
      <c r="S52" s="45">
        <v>2</v>
      </c>
      <c r="T52" s="45">
        <v>0</v>
      </c>
      <c r="U52" s="46">
        <v>3167</v>
      </c>
      <c r="V52" s="46">
        <v>0.330071</v>
      </c>
      <c r="W52" s="46">
        <v>0.061011</v>
      </c>
      <c r="X52" s="46">
        <v>0.002818</v>
      </c>
      <c r="Y52" s="46">
        <v>0</v>
      </c>
      <c r="Z52" s="46">
        <v>0</v>
      </c>
      <c r="AA52" s="68">
        <v>52</v>
      </c>
      <c r="AB52" s="68"/>
      <c r="AC52" s="69"/>
      <c r="AD52" s="76" t="s">
        <v>1297</v>
      </c>
      <c r="AE52" s="80" t="s">
        <v>1606</v>
      </c>
      <c r="AF52" s="76">
        <v>79243919</v>
      </c>
      <c r="AG52" s="76">
        <v>1180</v>
      </c>
      <c r="AH52" s="76">
        <v>56410</v>
      </c>
      <c r="AI52" s="76">
        <v>79860</v>
      </c>
      <c r="AJ52" s="76">
        <v>6182</v>
      </c>
      <c r="AK52" s="76">
        <v>15677</v>
      </c>
      <c r="AL52" s="76" t="b">
        <v>0</v>
      </c>
      <c r="AM52" s="78">
        <v>39399.90539351852</v>
      </c>
      <c r="AN52" s="76" t="s">
        <v>1874</v>
      </c>
      <c r="AO52" s="76" t="s">
        <v>2085</v>
      </c>
      <c r="AP52" s="82" t="str">
        <f>HYPERLINK("https://t.co/bUisN3Y1A6")</f>
        <v>https://t.co/bUisN3Y1A6</v>
      </c>
      <c r="AQ52" s="82" t="str">
        <f>HYPERLINK("http://youtube.com")</f>
        <v>http://youtube.com</v>
      </c>
      <c r="AR52" s="76" t="s">
        <v>2379</v>
      </c>
      <c r="AS52" s="76"/>
      <c r="AT52" s="76"/>
      <c r="AU52" s="76"/>
      <c r="AV52" s="76"/>
      <c r="AW52" s="82" t="str">
        <f>HYPERLINK("https://t.co/bUisN3Y1A6")</f>
        <v>https://t.co/bUisN3Y1A6</v>
      </c>
      <c r="AX52" s="76" t="b">
        <v>1</v>
      </c>
      <c r="AY52" s="76"/>
      <c r="AZ52" s="76"/>
      <c r="BA52" s="76" t="b">
        <v>0</v>
      </c>
      <c r="BB52" s="76" t="b">
        <v>1</v>
      </c>
      <c r="BC52" s="76" t="b">
        <v>0</v>
      </c>
      <c r="BD52" s="76" t="b">
        <v>0</v>
      </c>
      <c r="BE52" s="76" t="b">
        <v>1</v>
      </c>
      <c r="BF52" s="76" t="b">
        <v>0</v>
      </c>
      <c r="BG52" s="76" t="b">
        <v>0</v>
      </c>
      <c r="BH52" s="82" t="str">
        <f>HYPERLINK("https://pbs.twimg.com/profile_banners/10228272/1694202402")</f>
        <v>https://pbs.twimg.com/profile_banners/10228272/1694202402</v>
      </c>
      <c r="BI52" s="76"/>
      <c r="BJ52" s="76" t="s">
        <v>2655</v>
      </c>
      <c r="BK52" s="76" t="b">
        <v>0</v>
      </c>
      <c r="BL52" s="76"/>
      <c r="BM52" s="76" t="s">
        <v>65</v>
      </c>
      <c r="BN52" s="76" t="s">
        <v>2657</v>
      </c>
      <c r="BO52" s="82" t="str">
        <f>HYPERLINK("https://twitter.com/youtube")</f>
        <v>https://twitter.com/youtube</v>
      </c>
      <c r="BP52" s="76" t="str">
        <f>REPLACE(INDEX(GroupVertices[Group],MATCH(Vertices[[#This Row],[Vertex]],GroupVertices[Vertex],0)),1,1,"")</f>
        <v>4</v>
      </c>
      <c r="BQ52" s="45"/>
      <c r="BR52" s="46"/>
      <c r="BS52" s="45"/>
      <c r="BT52" s="46"/>
      <c r="BU52" s="45"/>
      <c r="BV52" s="46"/>
      <c r="BW52" s="45"/>
      <c r="BX52" s="46"/>
      <c r="BY52" s="45"/>
      <c r="BZ52" s="45"/>
      <c r="CA52" s="45"/>
      <c r="CB52" s="45"/>
      <c r="CC52" s="45"/>
      <c r="CD52" s="45"/>
      <c r="CE52" s="45"/>
      <c r="CF52" s="45"/>
      <c r="CG52" s="45"/>
      <c r="CH52" s="45"/>
      <c r="CI52" s="45"/>
      <c r="CJ52" s="2"/>
    </row>
    <row r="53" spans="1:88" ht="15">
      <c r="A53" s="61" t="s">
        <v>304</v>
      </c>
      <c r="B53" s="62"/>
      <c r="C53" s="62"/>
      <c r="D53" s="63">
        <v>535</v>
      </c>
      <c r="E53" s="65"/>
      <c r="F53" s="100" t="str">
        <f>HYPERLINK("https://pbs.twimg.com/profile_images/1331376273755664384/mF7tQg3B_normal.jpg")</f>
        <v>https://pbs.twimg.com/profile_images/1331376273755664384/mF7tQg3B_normal.jpg</v>
      </c>
      <c r="G53" s="62"/>
      <c r="H53" s="66" t="s">
        <v>304</v>
      </c>
      <c r="I53" s="67"/>
      <c r="J53" s="67" t="s">
        <v>159</v>
      </c>
      <c r="K53" s="66" t="s">
        <v>2707</v>
      </c>
      <c r="L53" s="70">
        <v>477.0952380952381</v>
      </c>
      <c r="M53" s="71">
        <v>5171.34130859375</v>
      </c>
      <c r="N53" s="71">
        <v>7651.80712890625</v>
      </c>
      <c r="O53" s="72"/>
      <c r="P53" s="73"/>
      <c r="Q53" s="73"/>
      <c r="R53" s="86"/>
      <c r="S53" s="45">
        <v>1</v>
      </c>
      <c r="T53" s="45">
        <v>0</v>
      </c>
      <c r="U53" s="46">
        <v>0</v>
      </c>
      <c r="V53" s="46">
        <v>0.314658</v>
      </c>
      <c r="W53" s="46">
        <v>0.025226</v>
      </c>
      <c r="X53" s="46">
        <v>0.002732</v>
      </c>
      <c r="Y53" s="46">
        <v>0</v>
      </c>
      <c r="Z53" s="46">
        <v>0</v>
      </c>
      <c r="AA53" s="68">
        <v>53</v>
      </c>
      <c r="AB53" s="68"/>
      <c r="AC53" s="69"/>
      <c r="AD53" s="76" t="s">
        <v>1298</v>
      </c>
      <c r="AE53" s="80" t="s">
        <v>1607</v>
      </c>
      <c r="AF53" s="76">
        <v>3709</v>
      </c>
      <c r="AG53" s="76">
        <v>4997</v>
      </c>
      <c r="AH53" s="76">
        <v>79631</v>
      </c>
      <c r="AI53" s="76">
        <v>86</v>
      </c>
      <c r="AJ53" s="76">
        <v>208660</v>
      </c>
      <c r="AK53" s="76">
        <v>6124</v>
      </c>
      <c r="AL53" s="76" t="b">
        <v>0</v>
      </c>
      <c r="AM53" s="78">
        <v>40863.78055555555</v>
      </c>
      <c r="AN53" s="76" t="s">
        <v>1875</v>
      </c>
      <c r="AO53" s="76" t="s">
        <v>2086</v>
      </c>
      <c r="AP53" s="82" t="str">
        <f>HYPERLINK("https://t.co/ivjshEoVN8")</f>
        <v>https://t.co/ivjshEoVN8</v>
      </c>
      <c r="AQ53" s="82" t="str">
        <f>HYPERLINK("https://www.lsu.edu/manship/people/faculty-staff/mari.php")</f>
        <v>https://www.lsu.edu/manship/people/faculty-staff/mari.php</v>
      </c>
      <c r="AR53" s="76" t="s">
        <v>2380</v>
      </c>
      <c r="AS53" s="76"/>
      <c r="AT53" s="76"/>
      <c r="AU53" s="76"/>
      <c r="AV53" s="76">
        <v>1.5864285387307E+18</v>
      </c>
      <c r="AW53" s="82" t="str">
        <f>HYPERLINK("https://t.co/ivjshEoVN8")</f>
        <v>https://t.co/ivjshEoVN8</v>
      </c>
      <c r="AX53" s="76" t="b">
        <v>0</v>
      </c>
      <c r="AY53" s="76"/>
      <c r="AZ53" s="76"/>
      <c r="BA53" s="76" t="b">
        <v>0</v>
      </c>
      <c r="BB53" s="76" t="b">
        <v>0</v>
      </c>
      <c r="BC53" s="76" t="b">
        <v>0</v>
      </c>
      <c r="BD53" s="76" t="b">
        <v>0</v>
      </c>
      <c r="BE53" s="76" t="b">
        <v>1</v>
      </c>
      <c r="BF53" s="76" t="b">
        <v>0</v>
      </c>
      <c r="BG53" s="76" t="b">
        <v>0</v>
      </c>
      <c r="BH53" s="82" t="str">
        <f>HYPERLINK("https://pbs.twimg.com/profile_banners/414179273/1411577603")</f>
        <v>https://pbs.twimg.com/profile_banners/414179273/1411577603</v>
      </c>
      <c r="BI53" s="76"/>
      <c r="BJ53" s="76" t="s">
        <v>2656</v>
      </c>
      <c r="BK53" s="76" t="b">
        <v>0</v>
      </c>
      <c r="BL53" s="76"/>
      <c r="BM53" s="76" t="s">
        <v>65</v>
      </c>
      <c r="BN53" s="76" t="s">
        <v>2657</v>
      </c>
      <c r="BO53" s="82" t="str">
        <f>HYPERLINK("https://twitter.com/willthewordguy")</f>
        <v>https://twitter.com/willthewordguy</v>
      </c>
      <c r="BP53" s="76" t="str">
        <f>REPLACE(INDEX(GroupVertices[Group],MATCH(Vertices[[#This Row],[Vertex]],GroupVertices[Vertex],0)),1,1,"")</f>
        <v>2</v>
      </c>
      <c r="BQ53" s="45"/>
      <c r="BR53" s="46"/>
      <c r="BS53" s="45"/>
      <c r="BT53" s="46"/>
      <c r="BU53" s="45"/>
      <c r="BV53" s="46"/>
      <c r="BW53" s="45"/>
      <c r="BX53" s="46"/>
      <c r="BY53" s="45"/>
      <c r="BZ53" s="45"/>
      <c r="CA53" s="45"/>
      <c r="CB53" s="45"/>
      <c r="CC53" s="45"/>
      <c r="CD53" s="45"/>
      <c r="CE53" s="45"/>
      <c r="CF53" s="45"/>
      <c r="CG53" s="45"/>
      <c r="CH53" s="45"/>
      <c r="CI53" s="45"/>
      <c r="CJ53" s="2"/>
    </row>
    <row r="54" spans="1:88" ht="15">
      <c r="A54" s="61" t="s">
        <v>305</v>
      </c>
      <c r="B54" s="62"/>
      <c r="C54" s="62"/>
      <c r="D54" s="63">
        <v>535</v>
      </c>
      <c r="E54" s="65"/>
      <c r="F54" s="100" t="str">
        <f>HYPERLINK("https://pbs.twimg.com/profile_images/378800000222228855/439bc6b6eb66f1f47554f50be28108f0_normal.png")</f>
        <v>https://pbs.twimg.com/profile_images/378800000222228855/439bc6b6eb66f1f47554f50be28108f0_normal.png</v>
      </c>
      <c r="G54" s="62"/>
      <c r="H54" s="66" t="s">
        <v>305</v>
      </c>
      <c r="I54" s="67"/>
      <c r="J54" s="67" t="s">
        <v>159</v>
      </c>
      <c r="K54" s="66" t="s">
        <v>2708</v>
      </c>
      <c r="L54" s="70">
        <v>477.0952380952381</v>
      </c>
      <c r="M54" s="71">
        <v>5845.4755859375</v>
      </c>
      <c r="N54" s="71">
        <v>6293.64208984375</v>
      </c>
      <c r="O54" s="72"/>
      <c r="P54" s="73"/>
      <c r="Q54" s="73"/>
      <c r="R54" s="86"/>
      <c r="S54" s="45">
        <v>1</v>
      </c>
      <c r="T54" s="45">
        <v>0</v>
      </c>
      <c r="U54" s="46">
        <v>0</v>
      </c>
      <c r="V54" s="46">
        <v>0.314658</v>
      </c>
      <c r="W54" s="46">
        <v>0.025226</v>
      </c>
      <c r="X54" s="46">
        <v>0.002732</v>
      </c>
      <c r="Y54" s="46">
        <v>0</v>
      </c>
      <c r="Z54" s="46">
        <v>0</v>
      </c>
      <c r="AA54" s="68">
        <v>54</v>
      </c>
      <c r="AB54" s="68"/>
      <c r="AC54" s="69"/>
      <c r="AD54" s="76" t="s">
        <v>1299</v>
      </c>
      <c r="AE54" s="80" t="s">
        <v>1608</v>
      </c>
      <c r="AF54" s="76">
        <v>1053</v>
      </c>
      <c r="AG54" s="76">
        <v>861</v>
      </c>
      <c r="AH54" s="76">
        <v>2391</v>
      </c>
      <c r="AI54" s="76">
        <v>22</v>
      </c>
      <c r="AJ54" s="76">
        <v>2186</v>
      </c>
      <c r="AK54" s="76">
        <v>293</v>
      </c>
      <c r="AL54" s="76" t="b">
        <v>0</v>
      </c>
      <c r="AM54" s="78">
        <v>41486.97707175926</v>
      </c>
      <c r="AN54" s="76"/>
      <c r="AO54" s="76" t="s">
        <v>2087</v>
      </c>
      <c r="AP54" s="82" t="str">
        <f>HYPERLINK("https://t.co/1JKwdTBuII")</f>
        <v>https://t.co/1JKwdTBuII</v>
      </c>
      <c r="AQ54" s="82" t="str">
        <f>HYPERLINK("http://aejmc.us/icd/")</f>
        <v>http://aejmc.us/icd/</v>
      </c>
      <c r="AR54" s="76" t="s">
        <v>2381</v>
      </c>
      <c r="AS54" s="76"/>
      <c r="AT54" s="76"/>
      <c r="AU54" s="76"/>
      <c r="AV54" s="76"/>
      <c r="AW54" s="82" t="str">
        <f>HYPERLINK("https://t.co/1JKwdTBuII")</f>
        <v>https://t.co/1JKwdTBuII</v>
      </c>
      <c r="AX54" s="76" t="b">
        <v>0</v>
      </c>
      <c r="AY54" s="76"/>
      <c r="AZ54" s="76"/>
      <c r="BA54" s="76" t="b">
        <v>0</v>
      </c>
      <c r="BB54" s="76" t="b">
        <v>1</v>
      </c>
      <c r="BC54" s="76" t="b">
        <v>1</v>
      </c>
      <c r="BD54" s="76" t="b">
        <v>0</v>
      </c>
      <c r="BE54" s="76" t="b">
        <v>1</v>
      </c>
      <c r="BF54" s="76" t="b">
        <v>0</v>
      </c>
      <c r="BG54" s="76" t="b">
        <v>0</v>
      </c>
      <c r="BH54" s="82" t="str">
        <f>HYPERLINK("https://pbs.twimg.com/profile_banners/1636606320/1501778381")</f>
        <v>https://pbs.twimg.com/profile_banners/1636606320/1501778381</v>
      </c>
      <c r="BI54" s="76"/>
      <c r="BJ54" s="76" t="s">
        <v>2656</v>
      </c>
      <c r="BK54" s="76" t="b">
        <v>0</v>
      </c>
      <c r="BL54" s="76"/>
      <c r="BM54" s="76" t="s">
        <v>65</v>
      </c>
      <c r="BN54" s="76" t="s">
        <v>2657</v>
      </c>
      <c r="BO54" s="82" t="str">
        <f>HYPERLINK("https://twitter.com/icd_aejmc")</f>
        <v>https://twitter.com/icd_aejmc</v>
      </c>
      <c r="BP54" s="76" t="str">
        <f>REPLACE(INDEX(GroupVertices[Group],MATCH(Vertices[[#This Row],[Vertex]],GroupVertices[Vertex],0)),1,1,"")</f>
        <v>2</v>
      </c>
      <c r="BQ54" s="45"/>
      <c r="BR54" s="46"/>
      <c r="BS54" s="45"/>
      <c r="BT54" s="46"/>
      <c r="BU54" s="45"/>
      <c r="BV54" s="46"/>
      <c r="BW54" s="45"/>
      <c r="BX54" s="46"/>
      <c r="BY54" s="45"/>
      <c r="BZ54" s="45"/>
      <c r="CA54" s="45"/>
      <c r="CB54" s="45"/>
      <c r="CC54" s="45"/>
      <c r="CD54" s="45"/>
      <c r="CE54" s="45"/>
      <c r="CF54" s="45"/>
      <c r="CG54" s="45"/>
      <c r="CH54" s="45"/>
      <c r="CI54" s="45"/>
      <c r="CJ54" s="2"/>
    </row>
    <row r="55" spans="1:88" ht="15">
      <c r="A55" s="61" t="s">
        <v>306</v>
      </c>
      <c r="B55" s="62"/>
      <c r="C55" s="62"/>
      <c r="D55" s="63">
        <v>535</v>
      </c>
      <c r="E55" s="65"/>
      <c r="F55" s="100" t="str">
        <f>HYPERLINK("https://pbs.twimg.com/profile_images/1661036445027692544/tRXI-XSo_normal.jpg")</f>
        <v>https://pbs.twimg.com/profile_images/1661036445027692544/tRXI-XSo_normal.jpg</v>
      </c>
      <c r="G55" s="62"/>
      <c r="H55" s="66" t="s">
        <v>306</v>
      </c>
      <c r="I55" s="67"/>
      <c r="J55" s="67" t="s">
        <v>159</v>
      </c>
      <c r="K55" s="66" t="s">
        <v>2709</v>
      </c>
      <c r="L55" s="70">
        <v>477.0952380952381</v>
      </c>
      <c r="M55" s="71">
        <v>7238.947265625</v>
      </c>
      <c r="N55" s="71">
        <v>8427.365234375</v>
      </c>
      <c r="O55" s="72"/>
      <c r="P55" s="73"/>
      <c r="Q55" s="73"/>
      <c r="R55" s="86"/>
      <c r="S55" s="45">
        <v>1</v>
      </c>
      <c r="T55" s="45">
        <v>0</v>
      </c>
      <c r="U55" s="46">
        <v>0</v>
      </c>
      <c r="V55" s="46">
        <v>0.314658</v>
      </c>
      <c r="W55" s="46">
        <v>0.025226</v>
      </c>
      <c r="X55" s="46">
        <v>0.002732</v>
      </c>
      <c r="Y55" s="46">
        <v>0</v>
      </c>
      <c r="Z55" s="46">
        <v>0</v>
      </c>
      <c r="AA55" s="68">
        <v>55</v>
      </c>
      <c r="AB55" s="68"/>
      <c r="AC55" s="69"/>
      <c r="AD55" s="76" t="s">
        <v>1300</v>
      </c>
      <c r="AE55" s="80" t="s">
        <v>1609</v>
      </c>
      <c r="AF55" s="76">
        <v>6539</v>
      </c>
      <c r="AG55" s="76">
        <v>392</v>
      </c>
      <c r="AH55" s="76">
        <v>14656</v>
      </c>
      <c r="AI55" s="76">
        <v>25</v>
      </c>
      <c r="AJ55" s="76">
        <v>18194</v>
      </c>
      <c r="AK55" s="76">
        <v>3104</v>
      </c>
      <c r="AL55" s="76" t="b">
        <v>0</v>
      </c>
      <c r="AM55" s="78">
        <v>40068.488078703704</v>
      </c>
      <c r="AN55" s="76" t="s">
        <v>1876</v>
      </c>
      <c r="AO55" s="76" t="s">
        <v>2088</v>
      </c>
      <c r="AP55" s="82" t="str">
        <f>HYPERLINK("https://t.co/MVikLEERBp")</f>
        <v>https://t.co/MVikLEERBp</v>
      </c>
      <c r="AQ55" s="82" t="str">
        <f>HYPERLINK("http://www.mcu.ac.in")</f>
        <v>http://www.mcu.ac.in</v>
      </c>
      <c r="AR55" s="76" t="s">
        <v>2382</v>
      </c>
      <c r="AS55" s="76"/>
      <c r="AT55" s="76"/>
      <c r="AU55" s="76"/>
      <c r="AV55" s="76"/>
      <c r="AW55" s="82" t="str">
        <f>HYPERLINK("https://t.co/MVikLEERBp")</f>
        <v>https://t.co/MVikLEERBp</v>
      </c>
      <c r="AX55" s="76" t="b">
        <v>0</v>
      </c>
      <c r="AY55" s="76"/>
      <c r="AZ55" s="76"/>
      <c r="BA55" s="76" t="b">
        <v>0</v>
      </c>
      <c r="BB55" s="76" t="b">
        <v>0</v>
      </c>
      <c r="BC55" s="76" t="b">
        <v>0</v>
      </c>
      <c r="BD55" s="76" t="b">
        <v>0</v>
      </c>
      <c r="BE55" s="76" t="b">
        <v>1</v>
      </c>
      <c r="BF55" s="76" t="b">
        <v>0</v>
      </c>
      <c r="BG55" s="76" t="b">
        <v>0</v>
      </c>
      <c r="BH55" s="82" t="str">
        <f>HYPERLINK("https://pbs.twimg.com/profile_banners/73625501/1692807871")</f>
        <v>https://pbs.twimg.com/profile_banners/73625501/1692807871</v>
      </c>
      <c r="BI55" s="76"/>
      <c r="BJ55" s="76" t="s">
        <v>2656</v>
      </c>
      <c r="BK55" s="76" t="b">
        <v>0</v>
      </c>
      <c r="BL55" s="76"/>
      <c r="BM55" s="76" t="s">
        <v>65</v>
      </c>
      <c r="BN55" s="76" t="s">
        <v>2657</v>
      </c>
      <c r="BO55" s="82" t="str">
        <f>HYPERLINK("https://twitter.com/kg_suresh")</f>
        <v>https://twitter.com/kg_suresh</v>
      </c>
      <c r="BP55" s="76" t="str">
        <f>REPLACE(INDEX(GroupVertices[Group],MATCH(Vertices[[#This Row],[Vertex]],GroupVertices[Vertex],0)),1,1,"")</f>
        <v>2</v>
      </c>
      <c r="BQ55" s="45"/>
      <c r="BR55" s="46"/>
      <c r="BS55" s="45"/>
      <c r="BT55" s="46"/>
      <c r="BU55" s="45"/>
      <c r="BV55" s="46"/>
      <c r="BW55" s="45"/>
      <c r="BX55" s="46"/>
      <c r="BY55" s="45"/>
      <c r="BZ55" s="45"/>
      <c r="CA55" s="45"/>
      <c r="CB55" s="45"/>
      <c r="CC55" s="45"/>
      <c r="CD55" s="45"/>
      <c r="CE55" s="45"/>
      <c r="CF55" s="45"/>
      <c r="CG55" s="45"/>
      <c r="CH55" s="45"/>
      <c r="CI55" s="45"/>
      <c r="CJ55" s="2"/>
    </row>
    <row r="56" spans="1:88" ht="15">
      <c r="A56" s="61" t="s">
        <v>307</v>
      </c>
      <c r="B56" s="62"/>
      <c r="C56" s="62"/>
      <c r="D56" s="63">
        <v>535</v>
      </c>
      <c r="E56" s="65"/>
      <c r="F56" s="100" t="str">
        <f>HYPERLINK("https://pbs.twimg.com/profile_images/1653952703993884673/rasMMMhD_normal.jpg")</f>
        <v>https://pbs.twimg.com/profile_images/1653952703993884673/rasMMMhD_normal.jpg</v>
      </c>
      <c r="G56" s="62"/>
      <c r="H56" s="66" t="s">
        <v>307</v>
      </c>
      <c r="I56" s="67"/>
      <c r="J56" s="67" t="s">
        <v>159</v>
      </c>
      <c r="K56" s="66" t="s">
        <v>2710</v>
      </c>
      <c r="L56" s="70">
        <v>477.0952380952381</v>
      </c>
      <c r="M56" s="71">
        <v>6844.49267578125</v>
      </c>
      <c r="N56" s="71">
        <v>6424.06787109375</v>
      </c>
      <c r="O56" s="72"/>
      <c r="P56" s="73"/>
      <c r="Q56" s="73"/>
      <c r="R56" s="86"/>
      <c r="S56" s="45">
        <v>1</v>
      </c>
      <c r="T56" s="45">
        <v>0</v>
      </c>
      <c r="U56" s="46">
        <v>0</v>
      </c>
      <c r="V56" s="46">
        <v>0.314658</v>
      </c>
      <c r="W56" s="46">
        <v>0.025226</v>
      </c>
      <c r="X56" s="46">
        <v>0.002732</v>
      </c>
      <c r="Y56" s="46">
        <v>0</v>
      </c>
      <c r="Z56" s="46">
        <v>0</v>
      </c>
      <c r="AA56" s="68">
        <v>56</v>
      </c>
      <c r="AB56" s="68"/>
      <c r="AC56" s="69"/>
      <c r="AD56" s="76" t="s">
        <v>1301</v>
      </c>
      <c r="AE56" s="80" t="s">
        <v>1610</v>
      </c>
      <c r="AF56" s="76">
        <v>19529</v>
      </c>
      <c r="AG56" s="76">
        <v>1988</v>
      </c>
      <c r="AH56" s="76">
        <v>21827</v>
      </c>
      <c r="AI56" s="76">
        <v>35</v>
      </c>
      <c r="AJ56" s="76">
        <v>48777</v>
      </c>
      <c r="AK56" s="76">
        <v>3057</v>
      </c>
      <c r="AL56" s="76" t="b">
        <v>0</v>
      </c>
      <c r="AM56" s="78">
        <v>44766.85716435185</v>
      </c>
      <c r="AN56" s="76" t="s">
        <v>1877</v>
      </c>
      <c r="AO56" s="76" t="s">
        <v>2089</v>
      </c>
      <c r="AP56" s="76"/>
      <c r="AQ56" s="76"/>
      <c r="AR56" s="76"/>
      <c r="AS56" s="76"/>
      <c r="AT56" s="76"/>
      <c r="AU56" s="76"/>
      <c r="AV56" s="76">
        <v>1.69937824212447E+18</v>
      </c>
      <c r="AW56" s="76"/>
      <c r="AX56" s="76" t="b">
        <v>1</v>
      </c>
      <c r="AY56" s="76"/>
      <c r="AZ56" s="76"/>
      <c r="BA56" s="76" t="b">
        <v>0</v>
      </c>
      <c r="BB56" s="76" t="b">
        <v>0</v>
      </c>
      <c r="BC56" s="76" t="b">
        <v>1</v>
      </c>
      <c r="BD56" s="76" t="b">
        <v>0</v>
      </c>
      <c r="BE56" s="76" t="b">
        <v>1</v>
      </c>
      <c r="BF56" s="76" t="b">
        <v>0</v>
      </c>
      <c r="BG56" s="76" t="b">
        <v>0</v>
      </c>
      <c r="BH56" s="82" t="str">
        <f>HYPERLINK("https://pbs.twimg.com/profile_banners/1551304754562678788/1690143052")</f>
        <v>https://pbs.twimg.com/profile_banners/1551304754562678788/1690143052</v>
      </c>
      <c r="BI56" s="76"/>
      <c r="BJ56" s="76" t="s">
        <v>2656</v>
      </c>
      <c r="BK56" s="76" t="b">
        <v>0</v>
      </c>
      <c r="BL56" s="76"/>
      <c r="BM56" s="76" t="s">
        <v>65</v>
      </c>
      <c r="BN56" s="76" t="s">
        <v>2657</v>
      </c>
      <c r="BO56" s="82" t="str">
        <f>HYPERLINK("https://twitter.com/politics_2022_")</f>
        <v>https://twitter.com/politics_2022_</v>
      </c>
      <c r="BP56" s="76" t="str">
        <f>REPLACE(INDEX(GroupVertices[Group],MATCH(Vertices[[#This Row],[Vertex]],GroupVertices[Vertex],0)),1,1,"")</f>
        <v>2</v>
      </c>
      <c r="BQ56" s="45"/>
      <c r="BR56" s="46"/>
      <c r="BS56" s="45"/>
      <c r="BT56" s="46"/>
      <c r="BU56" s="45"/>
      <c r="BV56" s="46"/>
      <c r="BW56" s="45"/>
      <c r="BX56" s="46"/>
      <c r="BY56" s="45"/>
      <c r="BZ56" s="45"/>
      <c r="CA56" s="45"/>
      <c r="CB56" s="45"/>
      <c r="CC56" s="45"/>
      <c r="CD56" s="45"/>
      <c r="CE56" s="45"/>
      <c r="CF56" s="45"/>
      <c r="CG56" s="45"/>
      <c r="CH56" s="45"/>
      <c r="CI56" s="45"/>
      <c r="CJ56" s="2"/>
    </row>
    <row r="57" spans="1:88" ht="15">
      <c r="A57" s="61" t="s">
        <v>308</v>
      </c>
      <c r="B57" s="62"/>
      <c r="C57" s="62"/>
      <c r="D57" s="63">
        <v>535</v>
      </c>
      <c r="E57" s="65"/>
      <c r="F57" s="100" t="str">
        <f>HYPERLINK("https://pbs.twimg.com/profile_images/1559567810061185024/iBSAXxE4_normal.jpg")</f>
        <v>https://pbs.twimg.com/profile_images/1559567810061185024/iBSAXxE4_normal.jpg</v>
      </c>
      <c r="G57" s="62"/>
      <c r="H57" s="66" t="s">
        <v>308</v>
      </c>
      <c r="I57" s="67"/>
      <c r="J57" s="67" t="s">
        <v>159</v>
      </c>
      <c r="K57" s="66" t="s">
        <v>2711</v>
      </c>
      <c r="L57" s="70">
        <v>477.0952380952381</v>
      </c>
      <c r="M57" s="71">
        <v>6509.1962890625</v>
      </c>
      <c r="N57" s="71">
        <v>9106.771484375</v>
      </c>
      <c r="O57" s="72"/>
      <c r="P57" s="73"/>
      <c r="Q57" s="73"/>
      <c r="R57" s="86"/>
      <c r="S57" s="45">
        <v>1</v>
      </c>
      <c r="T57" s="45">
        <v>0</v>
      </c>
      <c r="U57" s="46">
        <v>0</v>
      </c>
      <c r="V57" s="46">
        <v>0.314658</v>
      </c>
      <c r="W57" s="46">
        <v>0.025226</v>
      </c>
      <c r="X57" s="46">
        <v>0.002732</v>
      </c>
      <c r="Y57" s="46">
        <v>0</v>
      </c>
      <c r="Z57" s="46">
        <v>0</v>
      </c>
      <c r="AA57" s="68">
        <v>57</v>
      </c>
      <c r="AB57" s="68"/>
      <c r="AC57" s="69"/>
      <c r="AD57" s="76" t="s">
        <v>1302</v>
      </c>
      <c r="AE57" s="80" t="s">
        <v>1611</v>
      </c>
      <c r="AF57" s="76">
        <v>353678</v>
      </c>
      <c r="AG57" s="76">
        <v>1504</v>
      </c>
      <c r="AH57" s="76">
        <v>50414</v>
      </c>
      <c r="AI57" s="76">
        <v>836</v>
      </c>
      <c r="AJ57" s="76">
        <v>64836</v>
      </c>
      <c r="AK57" s="76">
        <v>14904</v>
      </c>
      <c r="AL57" s="76" t="b">
        <v>0</v>
      </c>
      <c r="AM57" s="78">
        <v>40323.6434375</v>
      </c>
      <c r="AN57" s="76" t="s">
        <v>1878</v>
      </c>
      <c r="AO57" s="76" t="s">
        <v>2090</v>
      </c>
      <c r="AP57" s="82" t="str">
        <f>HYPERLINK("https://t.co/AfCi35pwBP")</f>
        <v>https://t.co/AfCi35pwBP</v>
      </c>
      <c r="AQ57" s="82" t="str">
        <f>HYPERLINK("https://www.facebook.com/rishibagree/")</f>
        <v>https://www.facebook.com/rishibagree/</v>
      </c>
      <c r="AR57" s="76" t="s">
        <v>2383</v>
      </c>
      <c r="AS57" s="76"/>
      <c r="AT57" s="76"/>
      <c r="AU57" s="76"/>
      <c r="AV57" s="76"/>
      <c r="AW57" s="82" t="str">
        <f>HYPERLINK("https://t.co/AfCi35pwBP")</f>
        <v>https://t.co/AfCi35pwBP</v>
      </c>
      <c r="AX57" s="76" t="b">
        <v>1</v>
      </c>
      <c r="AY57" s="76"/>
      <c r="AZ57" s="76"/>
      <c r="BA57" s="76" t="b">
        <v>1</v>
      </c>
      <c r="BB57" s="76" t="b">
        <v>0</v>
      </c>
      <c r="BC57" s="76" t="b">
        <v>0</v>
      </c>
      <c r="BD57" s="76" t="b">
        <v>0</v>
      </c>
      <c r="BE57" s="76" t="b">
        <v>1</v>
      </c>
      <c r="BF57" s="76" t="b">
        <v>0</v>
      </c>
      <c r="BG57" s="76" t="b">
        <v>0</v>
      </c>
      <c r="BH57" s="82" t="str">
        <f>HYPERLINK("https://pbs.twimg.com/profile_banners/147994804/1659274569")</f>
        <v>https://pbs.twimg.com/profile_banners/147994804/1659274569</v>
      </c>
      <c r="BI57" s="76"/>
      <c r="BJ57" s="76" t="s">
        <v>2656</v>
      </c>
      <c r="BK57" s="76" t="b">
        <v>0</v>
      </c>
      <c r="BL57" s="76"/>
      <c r="BM57" s="76" t="s">
        <v>65</v>
      </c>
      <c r="BN57" s="76" t="s">
        <v>2657</v>
      </c>
      <c r="BO57" s="82" t="str">
        <f>HYPERLINK("https://twitter.com/rishibagree")</f>
        <v>https://twitter.com/rishibagree</v>
      </c>
      <c r="BP57" s="76" t="str">
        <f>REPLACE(INDEX(GroupVertices[Group],MATCH(Vertices[[#This Row],[Vertex]],GroupVertices[Vertex],0)),1,1,"")</f>
        <v>2</v>
      </c>
      <c r="BQ57" s="45"/>
      <c r="BR57" s="46"/>
      <c r="BS57" s="45"/>
      <c r="BT57" s="46"/>
      <c r="BU57" s="45"/>
      <c r="BV57" s="46"/>
      <c r="BW57" s="45"/>
      <c r="BX57" s="46"/>
      <c r="BY57" s="45"/>
      <c r="BZ57" s="45"/>
      <c r="CA57" s="45"/>
      <c r="CB57" s="45"/>
      <c r="CC57" s="45"/>
      <c r="CD57" s="45"/>
      <c r="CE57" s="45"/>
      <c r="CF57" s="45"/>
      <c r="CG57" s="45"/>
      <c r="CH57" s="45"/>
      <c r="CI57" s="45"/>
      <c r="CJ57" s="2"/>
    </row>
    <row r="58" spans="1:88" ht="15">
      <c r="A58" s="61" t="s">
        <v>309</v>
      </c>
      <c r="B58" s="62"/>
      <c r="C58" s="62"/>
      <c r="D58" s="63">
        <v>535</v>
      </c>
      <c r="E58" s="65"/>
      <c r="F58" s="100" t="str">
        <f>HYPERLINK("https://pbs.twimg.com/profile_images/1588074674478620673/2IeVUepu_normal.jpg")</f>
        <v>https://pbs.twimg.com/profile_images/1588074674478620673/2IeVUepu_normal.jpg</v>
      </c>
      <c r="G58" s="62"/>
      <c r="H58" s="66" t="s">
        <v>309</v>
      </c>
      <c r="I58" s="67"/>
      <c r="J58" s="67" t="s">
        <v>159</v>
      </c>
      <c r="K58" s="66" t="s">
        <v>2712</v>
      </c>
      <c r="L58" s="70">
        <v>477.0952380952381</v>
      </c>
      <c r="M58" s="71">
        <v>6160.34521484375</v>
      </c>
      <c r="N58" s="71">
        <v>6234.67041015625</v>
      </c>
      <c r="O58" s="72"/>
      <c r="P58" s="73"/>
      <c r="Q58" s="73"/>
      <c r="R58" s="86"/>
      <c r="S58" s="45">
        <v>1</v>
      </c>
      <c r="T58" s="45">
        <v>0</v>
      </c>
      <c r="U58" s="46">
        <v>0</v>
      </c>
      <c r="V58" s="46">
        <v>0.314658</v>
      </c>
      <c r="W58" s="46">
        <v>0.025226</v>
      </c>
      <c r="X58" s="46">
        <v>0.002732</v>
      </c>
      <c r="Y58" s="46">
        <v>0</v>
      </c>
      <c r="Z58" s="46">
        <v>0</v>
      </c>
      <c r="AA58" s="68">
        <v>58</v>
      </c>
      <c r="AB58" s="68"/>
      <c r="AC58" s="69"/>
      <c r="AD58" s="76" t="s">
        <v>1303</v>
      </c>
      <c r="AE58" s="80" t="s">
        <v>1612</v>
      </c>
      <c r="AF58" s="76">
        <v>170073</v>
      </c>
      <c r="AG58" s="76">
        <v>30</v>
      </c>
      <c r="AH58" s="76">
        <v>3342</v>
      </c>
      <c r="AI58" s="76">
        <v>359</v>
      </c>
      <c r="AJ58" s="76">
        <v>129</v>
      </c>
      <c r="AK58" s="76">
        <v>46</v>
      </c>
      <c r="AL58" s="76" t="b">
        <v>0</v>
      </c>
      <c r="AM58" s="78">
        <v>44868.308020833334</v>
      </c>
      <c r="AN58" s="76" t="s">
        <v>1879</v>
      </c>
      <c r="AO58" s="76" t="s">
        <v>2091</v>
      </c>
      <c r="AP58" s="82" t="str">
        <f>HYPERLINK("https://t.co/fqvcSO9kAr")</f>
        <v>https://t.co/fqvcSO9kAr</v>
      </c>
      <c r="AQ58" s="82" t="str">
        <f>HYPERLINK("https://www.theworldranking.com")</f>
        <v>https://www.theworldranking.com</v>
      </c>
      <c r="AR58" s="76" t="s">
        <v>2384</v>
      </c>
      <c r="AS58" s="76"/>
      <c r="AT58" s="76"/>
      <c r="AU58" s="76"/>
      <c r="AV58" s="76">
        <v>1.67692468584854E+18</v>
      </c>
      <c r="AW58" s="82" t="str">
        <f>HYPERLINK("https://t.co/fqvcSO9kAr")</f>
        <v>https://t.co/fqvcSO9kAr</v>
      </c>
      <c r="AX58" s="76" t="b">
        <v>1</v>
      </c>
      <c r="AY58" s="76"/>
      <c r="AZ58" s="76"/>
      <c r="BA58" s="76" t="b">
        <v>1</v>
      </c>
      <c r="BB58" s="76" t="b">
        <v>1</v>
      </c>
      <c r="BC58" s="76" t="b">
        <v>1</v>
      </c>
      <c r="BD58" s="76" t="b">
        <v>0</v>
      </c>
      <c r="BE58" s="76" t="b">
        <v>1</v>
      </c>
      <c r="BF58" s="76" t="b">
        <v>0</v>
      </c>
      <c r="BG58" s="76" t="b">
        <v>0</v>
      </c>
      <c r="BH58" s="82" t="str">
        <f>HYPERLINK("https://pbs.twimg.com/profile_banners/1588069292540583937/1667461547")</f>
        <v>https://pbs.twimg.com/profile_banners/1588069292540583937/1667461547</v>
      </c>
      <c r="BI58" s="76"/>
      <c r="BJ58" s="76" t="s">
        <v>2656</v>
      </c>
      <c r="BK58" s="76" t="b">
        <v>0</v>
      </c>
      <c r="BL58" s="76"/>
      <c r="BM58" s="76" t="s">
        <v>65</v>
      </c>
      <c r="BN58" s="76" t="s">
        <v>2657</v>
      </c>
      <c r="BO58" s="82" t="str">
        <f>HYPERLINK("https://twitter.com/worldranking_")</f>
        <v>https://twitter.com/worldranking_</v>
      </c>
      <c r="BP58" s="76" t="str">
        <f>REPLACE(INDEX(GroupVertices[Group],MATCH(Vertices[[#This Row],[Vertex]],GroupVertices[Vertex],0)),1,1,"")</f>
        <v>2</v>
      </c>
      <c r="BQ58" s="45"/>
      <c r="BR58" s="46"/>
      <c r="BS58" s="45"/>
      <c r="BT58" s="46"/>
      <c r="BU58" s="45"/>
      <c r="BV58" s="46"/>
      <c r="BW58" s="45"/>
      <c r="BX58" s="46"/>
      <c r="BY58" s="45"/>
      <c r="BZ58" s="45"/>
      <c r="CA58" s="45"/>
      <c r="CB58" s="45"/>
      <c r="CC58" s="45"/>
      <c r="CD58" s="45"/>
      <c r="CE58" s="45"/>
      <c r="CF58" s="45"/>
      <c r="CG58" s="45"/>
      <c r="CH58" s="45"/>
      <c r="CI58" s="45"/>
      <c r="CJ58" s="2"/>
    </row>
    <row r="59" spans="1:88" ht="15">
      <c r="A59" s="61" t="s">
        <v>310</v>
      </c>
      <c r="B59" s="62"/>
      <c r="C59" s="62"/>
      <c r="D59" s="63">
        <v>535</v>
      </c>
      <c r="E59" s="65"/>
      <c r="F59" s="100" t="str">
        <f>HYPERLINK("https://pbs.twimg.com/profile_images/1497864299/ani_mic_logo_normal.jpg")</f>
        <v>https://pbs.twimg.com/profile_images/1497864299/ani_mic_logo_normal.jpg</v>
      </c>
      <c r="G59" s="62"/>
      <c r="H59" s="66" t="s">
        <v>310</v>
      </c>
      <c r="I59" s="67"/>
      <c r="J59" s="67" t="s">
        <v>159</v>
      </c>
      <c r="K59" s="66" t="s">
        <v>2713</v>
      </c>
      <c r="L59" s="70">
        <v>477.0952380952381</v>
      </c>
      <c r="M59" s="71">
        <v>7040.8193359375</v>
      </c>
      <c r="N59" s="71">
        <v>7522.3818359375</v>
      </c>
      <c r="O59" s="72"/>
      <c r="P59" s="73"/>
      <c r="Q59" s="73"/>
      <c r="R59" s="86"/>
      <c r="S59" s="45">
        <v>1</v>
      </c>
      <c r="T59" s="45">
        <v>0</v>
      </c>
      <c r="U59" s="46">
        <v>0</v>
      </c>
      <c r="V59" s="46">
        <v>0.314658</v>
      </c>
      <c r="W59" s="46">
        <v>0.025226</v>
      </c>
      <c r="X59" s="46">
        <v>0.002732</v>
      </c>
      <c r="Y59" s="46">
        <v>0</v>
      </c>
      <c r="Z59" s="46">
        <v>0</v>
      </c>
      <c r="AA59" s="68">
        <v>59</v>
      </c>
      <c r="AB59" s="68"/>
      <c r="AC59" s="69"/>
      <c r="AD59" s="76" t="s">
        <v>1304</v>
      </c>
      <c r="AE59" s="80" t="s">
        <v>1613</v>
      </c>
      <c r="AF59" s="76">
        <v>7914806</v>
      </c>
      <c r="AG59" s="76">
        <v>0</v>
      </c>
      <c r="AH59" s="76">
        <v>689121</v>
      </c>
      <c r="AI59" s="76">
        <v>7021</v>
      </c>
      <c r="AJ59" s="76">
        <v>71</v>
      </c>
      <c r="AK59" s="76">
        <v>364708</v>
      </c>
      <c r="AL59" s="76" t="b">
        <v>0</v>
      </c>
      <c r="AM59" s="78">
        <v>40771.22478009259</v>
      </c>
      <c r="AN59" s="76" t="s">
        <v>1880</v>
      </c>
      <c r="AO59" s="76" t="s">
        <v>2092</v>
      </c>
      <c r="AP59" s="82" t="str">
        <f>HYPERLINK("https://t.co/s3iCrAa0s9")</f>
        <v>https://t.co/s3iCrAa0s9</v>
      </c>
      <c r="AQ59" s="82" t="str">
        <f>HYPERLINK("http://www.aninews.in")</f>
        <v>http://www.aninews.in</v>
      </c>
      <c r="AR59" s="76" t="s">
        <v>2385</v>
      </c>
      <c r="AS59" s="82" t="str">
        <f>HYPERLINK("https://t.co/eEMPAbAcms")</f>
        <v>https://t.co/eEMPAbAcms</v>
      </c>
      <c r="AT59" s="82" t="str">
        <f>HYPERLINK("http://facebook.com/ANINEWS.IN")</f>
        <v>http://facebook.com/ANINEWS.IN</v>
      </c>
      <c r="AU59" s="76" t="s">
        <v>2619</v>
      </c>
      <c r="AV59" s="76">
        <v>1.70010922595801E+18</v>
      </c>
      <c r="AW59" s="82" t="str">
        <f>HYPERLINK("https://t.co/s3iCrAa0s9")</f>
        <v>https://t.co/s3iCrAa0s9</v>
      </c>
      <c r="AX59" s="76" t="b">
        <v>1</v>
      </c>
      <c r="AY59" s="76"/>
      <c r="AZ59" s="76"/>
      <c r="BA59" s="76" t="b">
        <v>0</v>
      </c>
      <c r="BB59" s="76" t="b">
        <v>0</v>
      </c>
      <c r="BC59" s="76" t="b">
        <v>0</v>
      </c>
      <c r="BD59" s="76" t="b">
        <v>0</v>
      </c>
      <c r="BE59" s="76" t="b">
        <v>1</v>
      </c>
      <c r="BF59" s="76" t="b">
        <v>0</v>
      </c>
      <c r="BG59" s="76" t="b">
        <v>0</v>
      </c>
      <c r="BH59" s="82" t="str">
        <f>HYPERLINK("https://pbs.twimg.com/profile_banners/355989081/1658732199")</f>
        <v>https://pbs.twimg.com/profile_banners/355989081/1658732199</v>
      </c>
      <c r="BI59" s="76"/>
      <c r="BJ59" s="76" t="s">
        <v>2656</v>
      </c>
      <c r="BK59" s="76" t="b">
        <v>0</v>
      </c>
      <c r="BL59" s="76"/>
      <c r="BM59" s="76" t="s">
        <v>65</v>
      </c>
      <c r="BN59" s="76" t="s">
        <v>2657</v>
      </c>
      <c r="BO59" s="82" t="str">
        <f>HYPERLINK("https://twitter.com/ani")</f>
        <v>https://twitter.com/ani</v>
      </c>
      <c r="BP59" s="76" t="str">
        <f>REPLACE(INDEX(GroupVertices[Group],MATCH(Vertices[[#This Row],[Vertex]],GroupVertices[Vertex],0)),1,1,"")</f>
        <v>2</v>
      </c>
      <c r="BQ59" s="45"/>
      <c r="BR59" s="46"/>
      <c r="BS59" s="45"/>
      <c r="BT59" s="46"/>
      <c r="BU59" s="45"/>
      <c r="BV59" s="46"/>
      <c r="BW59" s="45"/>
      <c r="BX59" s="46"/>
      <c r="BY59" s="45"/>
      <c r="BZ59" s="45"/>
      <c r="CA59" s="45"/>
      <c r="CB59" s="45"/>
      <c r="CC59" s="45"/>
      <c r="CD59" s="45"/>
      <c r="CE59" s="45"/>
      <c r="CF59" s="45"/>
      <c r="CG59" s="45"/>
      <c r="CH59" s="45"/>
      <c r="CI59" s="45"/>
      <c r="CJ59" s="2"/>
    </row>
    <row r="60" spans="1:88" ht="15">
      <c r="A60" s="61" t="s">
        <v>311</v>
      </c>
      <c r="B60" s="62"/>
      <c r="C60" s="62"/>
      <c r="D60" s="63">
        <v>535</v>
      </c>
      <c r="E60" s="65"/>
      <c r="F60" s="100" t="str">
        <f>HYPERLINK("https://pbs.twimg.com/profile_images/1091624738168786946/2ySYq0lX_normal.jpg")</f>
        <v>https://pbs.twimg.com/profile_images/1091624738168786946/2ySYq0lX_normal.jpg</v>
      </c>
      <c r="G60" s="62"/>
      <c r="H60" s="66" t="s">
        <v>311</v>
      </c>
      <c r="I60" s="67"/>
      <c r="J60" s="67" t="s">
        <v>159</v>
      </c>
      <c r="K60" s="66" t="s">
        <v>2714</v>
      </c>
      <c r="L60" s="70">
        <v>477.0952380952381</v>
      </c>
      <c r="M60" s="71">
        <v>7041.91845703125</v>
      </c>
      <c r="N60" s="71">
        <v>8691.69140625</v>
      </c>
      <c r="O60" s="72"/>
      <c r="P60" s="73"/>
      <c r="Q60" s="73"/>
      <c r="R60" s="86"/>
      <c r="S60" s="45">
        <v>1</v>
      </c>
      <c r="T60" s="45">
        <v>0</v>
      </c>
      <c r="U60" s="46">
        <v>0</v>
      </c>
      <c r="V60" s="46">
        <v>0.314658</v>
      </c>
      <c r="W60" s="46">
        <v>0.025226</v>
      </c>
      <c r="X60" s="46">
        <v>0.002732</v>
      </c>
      <c r="Y60" s="46">
        <v>0</v>
      </c>
      <c r="Z60" s="46">
        <v>0</v>
      </c>
      <c r="AA60" s="68">
        <v>60</v>
      </c>
      <c r="AB60" s="68"/>
      <c r="AC60" s="69"/>
      <c r="AD60" s="76" t="s">
        <v>1305</v>
      </c>
      <c r="AE60" s="80" t="s">
        <v>1614</v>
      </c>
      <c r="AF60" s="76">
        <v>307839</v>
      </c>
      <c r="AG60" s="76">
        <v>35</v>
      </c>
      <c r="AH60" s="76">
        <v>34661</v>
      </c>
      <c r="AI60" s="76">
        <v>197</v>
      </c>
      <c r="AJ60" s="76">
        <v>7842</v>
      </c>
      <c r="AK60" s="76">
        <v>8315</v>
      </c>
      <c r="AL60" s="76" t="b">
        <v>0</v>
      </c>
      <c r="AM60" s="78">
        <v>42082.28413194444</v>
      </c>
      <c r="AN60" s="76" t="s">
        <v>1881</v>
      </c>
      <c r="AO60" s="76" t="s">
        <v>2093</v>
      </c>
      <c r="AP60" s="82" t="str">
        <f>HYPERLINK("https://t.co/z3dxondZHh")</f>
        <v>https://t.co/z3dxondZHh</v>
      </c>
      <c r="AQ60" s="82" t="str">
        <f>HYPERLINK("https://boltahindustan.com")</f>
        <v>https://boltahindustan.com</v>
      </c>
      <c r="AR60" s="76" t="s">
        <v>2386</v>
      </c>
      <c r="AS60" s="76"/>
      <c r="AT60" s="76"/>
      <c r="AU60" s="76"/>
      <c r="AV60" s="76"/>
      <c r="AW60" s="82" t="str">
        <f>HYPERLINK("https://t.co/z3dxondZHh")</f>
        <v>https://t.co/z3dxondZHh</v>
      </c>
      <c r="AX60" s="76" t="b">
        <v>1</v>
      </c>
      <c r="AY60" s="76"/>
      <c r="AZ60" s="76"/>
      <c r="BA60" s="76" t="b">
        <v>1</v>
      </c>
      <c r="BB60" s="76" t="b">
        <v>1</v>
      </c>
      <c r="BC60" s="76" t="b">
        <v>1</v>
      </c>
      <c r="BD60" s="76" t="b">
        <v>0</v>
      </c>
      <c r="BE60" s="76" t="b">
        <v>1</v>
      </c>
      <c r="BF60" s="76" t="b">
        <v>0</v>
      </c>
      <c r="BG60" s="76" t="b">
        <v>0</v>
      </c>
      <c r="BH60" s="82" t="str">
        <f>HYPERLINK("https://pbs.twimg.com/profile_banners/3097353133/1669994590")</f>
        <v>https://pbs.twimg.com/profile_banners/3097353133/1669994590</v>
      </c>
      <c r="BI60" s="76"/>
      <c r="BJ60" s="76" t="s">
        <v>2656</v>
      </c>
      <c r="BK60" s="76" t="b">
        <v>0</v>
      </c>
      <c r="BL60" s="76"/>
      <c r="BM60" s="76" t="s">
        <v>65</v>
      </c>
      <c r="BN60" s="76" t="s">
        <v>2657</v>
      </c>
      <c r="BO60" s="82" t="str">
        <f>HYPERLINK("https://twitter.com/boltahindustan")</f>
        <v>https://twitter.com/boltahindustan</v>
      </c>
      <c r="BP60" s="76" t="str">
        <f>REPLACE(INDEX(GroupVertices[Group],MATCH(Vertices[[#This Row],[Vertex]],GroupVertices[Vertex],0)),1,1,"")</f>
        <v>2</v>
      </c>
      <c r="BQ60" s="45"/>
      <c r="BR60" s="46"/>
      <c r="BS60" s="45"/>
      <c r="BT60" s="46"/>
      <c r="BU60" s="45"/>
      <c r="BV60" s="46"/>
      <c r="BW60" s="45"/>
      <c r="BX60" s="46"/>
      <c r="BY60" s="45"/>
      <c r="BZ60" s="45"/>
      <c r="CA60" s="45"/>
      <c r="CB60" s="45"/>
      <c r="CC60" s="45"/>
      <c r="CD60" s="45"/>
      <c r="CE60" s="45"/>
      <c r="CF60" s="45"/>
      <c r="CG60" s="45"/>
      <c r="CH60" s="45"/>
      <c r="CI60" s="45"/>
      <c r="CJ60" s="2"/>
    </row>
    <row r="61" spans="1:88" ht="15">
      <c r="A61" s="61" t="s">
        <v>312</v>
      </c>
      <c r="B61" s="62"/>
      <c r="C61" s="62"/>
      <c r="D61" s="63">
        <v>535</v>
      </c>
      <c r="E61" s="65"/>
      <c r="F61" s="100" t="str">
        <f>HYPERLINK("https://pbs.twimg.com/profile_images/1699582946804641792/g3BNDYDC_normal.jpg")</f>
        <v>https://pbs.twimg.com/profile_images/1699582946804641792/g3BNDYDC_normal.jpg</v>
      </c>
      <c r="G61" s="62"/>
      <c r="H61" s="66" t="s">
        <v>312</v>
      </c>
      <c r="I61" s="67"/>
      <c r="J61" s="67" t="s">
        <v>159</v>
      </c>
      <c r="K61" s="66" t="s">
        <v>2715</v>
      </c>
      <c r="L61" s="70">
        <v>477.0952380952381</v>
      </c>
      <c r="M61" s="71">
        <v>7261.6435546875</v>
      </c>
      <c r="N61" s="71">
        <v>7060.9794921875</v>
      </c>
      <c r="O61" s="72"/>
      <c r="P61" s="73"/>
      <c r="Q61" s="73"/>
      <c r="R61" s="86"/>
      <c r="S61" s="45">
        <v>1</v>
      </c>
      <c r="T61" s="45">
        <v>0</v>
      </c>
      <c r="U61" s="46">
        <v>0</v>
      </c>
      <c r="V61" s="46">
        <v>0.314658</v>
      </c>
      <c r="W61" s="46">
        <v>0.025226</v>
      </c>
      <c r="X61" s="46">
        <v>0.002732</v>
      </c>
      <c r="Y61" s="46">
        <v>0</v>
      </c>
      <c r="Z61" s="46">
        <v>0</v>
      </c>
      <c r="AA61" s="68">
        <v>61</v>
      </c>
      <c r="AB61" s="68"/>
      <c r="AC61" s="69"/>
      <c r="AD61" s="76" t="s">
        <v>1306</v>
      </c>
      <c r="AE61" s="80" t="s">
        <v>1615</v>
      </c>
      <c r="AF61" s="76">
        <v>9913040</v>
      </c>
      <c r="AG61" s="76">
        <v>527</v>
      </c>
      <c r="AH61" s="76">
        <v>132593</v>
      </c>
      <c r="AI61" s="76">
        <v>3461</v>
      </c>
      <c r="AJ61" s="76">
        <v>1283</v>
      </c>
      <c r="AK61" s="76">
        <v>74333</v>
      </c>
      <c r="AL61" s="76" t="b">
        <v>0</v>
      </c>
      <c r="AM61" s="78">
        <v>41311.23994212963</v>
      </c>
      <c r="AN61" s="76" t="s">
        <v>1882</v>
      </c>
      <c r="AO61" s="76" t="s">
        <v>2094</v>
      </c>
      <c r="AP61" s="82" t="str">
        <f>HYPERLINK("https://t.co/SoQ2J99D6J")</f>
        <v>https://t.co/SoQ2J99D6J</v>
      </c>
      <c r="AQ61" s="82" t="str">
        <f>HYPERLINK("http://www.inc.in/")</f>
        <v>http://www.inc.in/</v>
      </c>
      <c r="AR61" s="76" t="s">
        <v>2387</v>
      </c>
      <c r="AS61" s="76"/>
      <c r="AT61" s="76"/>
      <c r="AU61" s="76"/>
      <c r="AV61" s="76"/>
      <c r="AW61" s="82" t="str">
        <f>HYPERLINK("https://t.co/SoQ2J99D6J")</f>
        <v>https://t.co/SoQ2J99D6J</v>
      </c>
      <c r="AX61" s="76" t="b">
        <v>1</v>
      </c>
      <c r="AY61" s="76"/>
      <c r="AZ61" s="76"/>
      <c r="BA61" s="76" t="b">
        <v>1</v>
      </c>
      <c r="BB61" s="76" t="b">
        <v>1</v>
      </c>
      <c r="BC61" s="76" t="b">
        <v>0</v>
      </c>
      <c r="BD61" s="76" t="b">
        <v>0</v>
      </c>
      <c r="BE61" s="76" t="b">
        <v>1</v>
      </c>
      <c r="BF61" s="76" t="b">
        <v>0</v>
      </c>
      <c r="BG61" s="76" t="b">
        <v>0</v>
      </c>
      <c r="BH61" s="82" t="str">
        <f>HYPERLINK("https://pbs.twimg.com/profile_banners/1153045459/1694047222")</f>
        <v>https://pbs.twimg.com/profile_banners/1153045459/1694047222</v>
      </c>
      <c r="BI61" s="76"/>
      <c r="BJ61" s="76" t="s">
        <v>2655</v>
      </c>
      <c r="BK61" s="76" t="b">
        <v>0</v>
      </c>
      <c r="BL61" s="76"/>
      <c r="BM61" s="76" t="s">
        <v>65</v>
      </c>
      <c r="BN61" s="76" t="s">
        <v>2657</v>
      </c>
      <c r="BO61" s="82" t="str">
        <f>HYPERLINK("https://twitter.com/incindia")</f>
        <v>https://twitter.com/incindia</v>
      </c>
      <c r="BP61" s="76" t="str">
        <f>REPLACE(INDEX(GroupVertices[Group],MATCH(Vertices[[#This Row],[Vertex]],GroupVertices[Vertex],0)),1,1,"")</f>
        <v>2</v>
      </c>
      <c r="BQ61" s="45"/>
      <c r="BR61" s="46"/>
      <c r="BS61" s="45"/>
      <c r="BT61" s="46"/>
      <c r="BU61" s="45"/>
      <c r="BV61" s="46"/>
      <c r="BW61" s="45"/>
      <c r="BX61" s="46"/>
      <c r="BY61" s="45"/>
      <c r="BZ61" s="45"/>
      <c r="CA61" s="45"/>
      <c r="CB61" s="45"/>
      <c r="CC61" s="45"/>
      <c r="CD61" s="45"/>
      <c r="CE61" s="45"/>
      <c r="CF61" s="45"/>
      <c r="CG61" s="45"/>
      <c r="CH61" s="45"/>
      <c r="CI61" s="45"/>
      <c r="CJ61" s="2"/>
    </row>
    <row r="62" spans="1:88" ht="15">
      <c r="A62" s="61" t="s">
        <v>313</v>
      </c>
      <c r="B62" s="62"/>
      <c r="C62" s="62"/>
      <c r="D62" s="63">
        <v>535</v>
      </c>
      <c r="E62" s="65"/>
      <c r="F62" s="100" t="str">
        <f>HYPERLINK("https://pbs.twimg.com/profile_images/1564512488271466496/co_3FO0o_normal.jpg")</f>
        <v>https://pbs.twimg.com/profile_images/1564512488271466496/co_3FO0o_normal.jpg</v>
      </c>
      <c r="G62" s="62"/>
      <c r="H62" s="66" t="s">
        <v>313</v>
      </c>
      <c r="I62" s="67"/>
      <c r="J62" s="67" t="s">
        <v>159</v>
      </c>
      <c r="K62" s="66" t="s">
        <v>2716</v>
      </c>
      <c r="L62" s="70">
        <v>477.0952380952381</v>
      </c>
      <c r="M62" s="71">
        <v>7371.59423828125</v>
      </c>
      <c r="N62" s="71">
        <v>7436.80810546875</v>
      </c>
      <c r="O62" s="72"/>
      <c r="P62" s="73"/>
      <c r="Q62" s="73"/>
      <c r="R62" s="86"/>
      <c r="S62" s="45">
        <v>1</v>
      </c>
      <c r="T62" s="45">
        <v>0</v>
      </c>
      <c r="U62" s="46">
        <v>0</v>
      </c>
      <c r="V62" s="46">
        <v>0.314658</v>
      </c>
      <c r="W62" s="46">
        <v>0.025226</v>
      </c>
      <c r="X62" s="46">
        <v>0.002732</v>
      </c>
      <c r="Y62" s="46">
        <v>0</v>
      </c>
      <c r="Z62" s="46">
        <v>0</v>
      </c>
      <c r="AA62" s="68">
        <v>62</v>
      </c>
      <c r="AB62" s="68"/>
      <c r="AC62" s="69"/>
      <c r="AD62" s="76" t="s">
        <v>1307</v>
      </c>
      <c r="AE62" s="80" t="s">
        <v>1616</v>
      </c>
      <c r="AF62" s="76">
        <v>23102526</v>
      </c>
      <c r="AG62" s="76">
        <v>2</v>
      </c>
      <c r="AH62" s="76">
        <v>13335</v>
      </c>
      <c r="AI62" s="76">
        <v>3708</v>
      </c>
      <c r="AJ62" s="76">
        <v>1</v>
      </c>
      <c r="AK62" s="76">
        <v>6633</v>
      </c>
      <c r="AL62" s="76" t="b">
        <v>0</v>
      </c>
      <c r="AM62" s="78">
        <v>42929.55019675926</v>
      </c>
      <c r="AN62" s="76" t="s">
        <v>1882</v>
      </c>
      <c r="AO62" s="76" t="s">
        <v>2095</v>
      </c>
      <c r="AP62" s="82" t="str">
        <f>HYPERLINK("https://t.co/uURXhUHd8P")</f>
        <v>https://t.co/uURXhUHd8P</v>
      </c>
      <c r="AQ62" s="82" t="str">
        <f>HYPERLINK("https://presidentofindia.nic.in/")</f>
        <v>https://presidentofindia.nic.in/</v>
      </c>
      <c r="AR62" s="76" t="s">
        <v>2388</v>
      </c>
      <c r="AS62" s="76"/>
      <c r="AT62" s="76"/>
      <c r="AU62" s="76"/>
      <c r="AV62" s="76"/>
      <c r="AW62" s="82" t="str">
        <f>HYPERLINK("https://t.co/uURXhUHd8P")</f>
        <v>https://t.co/uURXhUHd8P</v>
      </c>
      <c r="AX62" s="76" t="b">
        <v>1</v>
      </c>
      <c r="AY62" s="76"/>
      <c r="AZ62" s="76"/>
      <c r="BA62" s="76" t="b">
        <v>0</v>
      </c>
      <c r="BB62" s="76" t="b">
        <v>0</v>
      </c>
      <c r="BC62" s="76" t="b">
        <v>1</v>
      </c>
      <c r="BD62" s="76" t="b">
        <v>0</v>
      </c>
      <c r="BE62" s="76" t="b">
        <v>1</v>
      </c>
      <c r="BF62" s="76" t="b">
        <v>0</v>
      </c>
      <c r="BG62" s="76" t="b">
        <v>0</v>
      </c>
      <c r="BH62" s="82" t="str">
        <f>HYPERLINK("https://pbs.twimg.com/profile_banners/885487044243238912/1532677314")</f>
        <v>https://pbs.twimg.com/profile_banners/885487044243238912/1532677314</v>
      </c>
      <c r="BI62" s="76"/>
      <c r="BJ62" s="76" t="s">
        <v>2656</v>
      </c>
      <c r="BK62" s="76" t="b">
        <v>0</v>
      </c>
      <c r="BL62" s="76"/>
      <c r="BM62" s="76" t="s">
        <v>65</v>
      </c>
      <c r="BN62" s="76" t="s">
        <v>2657</v>
      </c>
      <c r="BO62" s="82" t="str">
        <f>HYPERLINK("https://twitter.com/rashtrapatibhvn")</f>
        <v>https://twitter.com/rashtrapatibhvn</v>
      </c>
      <c r="BP62" s="76" t="str">
        <f>REPLACE(INDEX(GroupVertices[Group],MATCH(Vertices[[#This Row],[Vertex]],GroupVertices[Vertex],0)),1,1,"")</f>
        <v>2</v>
      </c>
      <c r="BQ62" s="45"/>
      <c r="BR62" s="46"/>
      <c r="BS62" s="45"/>
      <c r="BT62" s="46"/>
      <c r="BU62" s="45"/>
      <c r="BV62" s="46"/>
      <c r="BW62" s="45"/>
      <c r="BX62" s="46"/>
      <c r="BY62" s="45"/>
      <c r="BZ62" s="45"/>
      <c r="CA62" s="45"/>
      <c r="CB62" s="45"/>
      <c r="CC62" s="45"/>
      <c r="CD62" s="45"/>
      <c r="CE62" s="45"/>
      <c r="CF62" s="45"/>
      <c r="CG62" s="45"/>
      <c r="CH62" s="45"/>
      <c r="CI62" s="45"/>
      <c r="CJ62" s="2"/>
    </row>
    <row r="63" spans="1:88" ht="15">
      <c r="A63" s="61" t="s">
        <v>314</v>
      </c>
      <c r="B63" s="62"/>
      <c r="C63" s="62"/>
      <c r="D63" s="63">
        <v>535</v>
      </c>
      <c r="E63" s="65"/>
      <c r="F63" s="100" t="str">
        <f>HYPERLINK("https://pbs.twimg.com/profile_images/427508853211541505/7shY9eCC_normal.jpeg")</f>
        <v>https://pbs.twimg.com/profile_images/427508853211541505/7shY9eCC_normal.jpeg</v>
      </c>
      <c r="G63" s="62"/>
      <c r="H63" s="66" t="s">
        <v>314</v>
      </c>
      <c r="I63" s="67"/>
      <c r="J63" s="67" t="s">
        <v>159</v>
      </c>
      <c r="K63" s="66" t="s">
        <v>2717</v>
      </c>
      <c r="L63" s="70">
        <v>477.0952380952381</v>
      </c>
      <c r="M63" s="71">
        <v>5554.7802734375</v>
      </c>
      <c r="N63" s="71">
        <v>6482.32666015625</v>
      </c>
      <c r="O63" s="72"/>
      <c r="P63" s="73"/>
      <c r="Q63" s="73"/>
      <c r="R63" s="86"/>
      <c r="S63" s="45">
        <v>1</v>
      </c>
      <c r="T63" s="45">
        <v>0</v>
      </c>
      <c r="U63" s="46">
        <v>0</v>
      </c>
      <c r="V63" s="46">
        <v>0.314658</v>
      </c>
      <c r="W63" s="46">
        <v>0.025226</v>
      </c>
      <c r="X63" s="46">
        <v>0.002732</v>
      </c>
      <c r="Y63" s="46">
        <v>0</v>
      </c>
      <c r="Z63" s="46">
        <v>0</v>
      </c>
      <c r="AA63" s="68">
        <v>63</v>
      </c>
      <c r="AB63" s="68"/>
      <c r="AC63" s="69"/>
      <c r="AD63" s="76" t="s">
        <v>1308</v>
      </c>
      <c r="AE63" s="80" t="s">
        <v>1617</v>
      </c>
      <c r="AF63" s="76">
        <v>1471464</v>
      </c>
      <c r="AG63" s="76">
        <v>1561</v>
      </c>
      <c r="AH63" s="76">
        <v>37770</v>
      </c>
      <c r="AI63" s="76">
        <v>1612</v>
      </c>
      <c r="AJ63" s="76">
        <v>349</v>
      </c>
      <c r="AK63" s="76">
        <v>28946</v>
      </c>
      <c r="AL63" s="76" t="b">
        <v>0</v>
      </c>
      <c r="AM63" s="78">
        <v>41665.76310185185</v>
      </c>
      <c r="AN63" s="76"/>
      <c r="AO63" s="76" t="s">
        <v>2096</v>
      </c>
      <c r="AP63" s="76"/>
      <c r="AQ63" s="76"/>
      <c r="AR63" s="76"/>
      <c r="AS63" s="76"/>
      <c r="AT63" s="76"/>
      <c r="AU63" s="76"/>
      <c r="AV63" s="76">
        <v>1.5936023089147E+18</v>
      </c>
      <c r="AW63" s="76"/>
      <c r="AX63" s="76" t="b">
        <v>1</v>
      </c>
      <c r="AY63" s="76"/>
      <c r="AZ63" s="76"/>
      <c r="BA63" s="76" t="b">
        <v>0</v>
      </c>
      <c r="BB63" s="76" t="b">
        <v>0</v>
      </c>
      <c r="BC63" s="76" t="b">
        <v>1</v>
      </c>
      <c r="BD63" s="76" t="b">
        <v>0</v>
      </c>
      <c r="BE63" s="76" t="b">
        <v>1</v>
      </c>
      <c r="BF63" s="76" t="b">
        <v>0</v>
      </c>
      <c r="BG63" s="76" t="b">
        <v>0</v>
      </c>
      <c r="BH63" s="76"/>
      <c r="BI63" s="76"/>
      <c r="BJ63" s="76" t="s">
        <v>2656</v>
      </c>
      <c r="BK63" s="76" t="b">
        <v>0</v>
      </c>
      <c r="BL63" s="76"/>
      <c r="BM63" s="76" t="s">
        <v>65</v>
      </c>
      <c r="BN63" s="76" t="s">
        <v>2657</v>
      </c>
      <c r="BO63" s="82" t="str">
        <f>HYPERLINK("https://twitter.com/indiahistorypic")</f>
        <v>https://twitter.com/indiahistorypic</v>
      </c>
      <c r="BP63" s="76" t="str">
        <f>REPLACE(INDEX(GroupVertices[Group],MATCH(Vertices[[#This Row],[Vertex]],GroupVertices[Vertex],0)),1,1,"")</f>
        <v>2</v>
      </c>
      <c r="BQ63" s="45"/>
      <c r="BR63" s="46"/>
      <c r="BS63" s="45"/>
      <c r="BT63" s="46"/>
      <c r="BU63" s="45"/>
      <c r="BV63" s="46"/>
      <c r="BW63" s="45"/>
      <c r="BX63" s="46"/>
      <c r="BY63" s="45"/>
      <c r="BZ63" s="45"/>
      <c r="CA63" s="45"/>
      <c r="CB63" s="45"/>
      <c r="CC63" s="45"/>
      <c r="CD63" s="45"/>
      <c r="CE63" s="45"/>
      <c r="CF63" s="45"/>
      <c r="CG63" s="45"/>
      <c r="CH63" s="45"/>
      <c r="CI63" s="45"/>
      <c r="CJ63" s="2"/>
    </row>
    <row r="64" spans="1:88" ht="15">
      <c r="A64" s="61" t="s">
        <v>315</v>
      </c>
      <c r="B64" s="62"/>
      <c r="C64" s="62"/>
      <c r="D64" s="63">
        <v>535</v>
      </c>
      <c r="E64" s="65"/>
      <c r="F64" s="100" t="str">
        <f>HYPERLINK("https://pbs.twimg.com/profile_images/1135163823172837376/4m0lwB-1_normal.jpg")</f>
        <v>https://pbs.twimg.com/profile_images/1135163823172837376/4m0lwB-1_normal.jpg</v>
      </c>
      <c r="G64" s="62"/>
      <c r="H64" s="66" t="s">
        <v>315</v>
      </c>
      <c r="I64" s="67"/>
      <c r="J64" s="67" t="s">
        <v>159</v>
      </c>
      <c r="K64" s="66" t="s">
        <v>2718</v>
      </c>
      <c r="L64" s="70">
        <v>477.0952380952381</v>
      </c>
      <c r="M64" s="71">
        <v>6808.4580078125</v>
      </c>
      <c r="N64" s="71">
        <v>7004.9677734375</v>
      </c>
      <c r="O64" s="72"/>
      <c r="P64" s="73"/>
      <c r="Q64" s="73"/>
      <c r="R64" s="86"/>
      <c r="S64" s="45">
        <v>1</v>
      </c>
      <c r="T64" s="45">
        <v>0</v>
      </c>
      <c r="U64" s="46">
        <v>0</v>
      </c>
      <c r="V64" s="46">
        <v>0.314658</v>
      </c>
      <c r="W64" s="46">
        <v>0.025226</v>
      </c>
      <c r="X64" s="46">
        <v>0.002732</v>
      </c>
      <c r="Y64" s="46">
        <v>0</v>
      </c>
      <c r="Z64" s="46">
        <v>0</v>
      </c>
      <c r="AA64" s="68">
        <v>64</v>
      </c>
      <c r="AB64" s="68"/>
      <c r="AC64" s="69"/>
      <c r="AD64" s="76" t="s">
        <v>1309</v>
      </c>
      <c r="AE64" s="80" t="s">
        <v>1618</v>
      </c>
      <c r="AF64" s="76">
        <v>41023</v>
      </c>
      <c r="AG64" s="76">
        <v>528</v>
      </c>
      <c r="AH64" s="76">
        <v>882</v>
      </c>
      <c r="AI64" s="76">
        <v>75</v>
      </c>
      <c r="AJ64" s="76">
        <v>1020</v>
      </c>
      <c r="AK64" s="76">
        <v>796</v>
      </c>
      <c r="AL64" s="76" t="b">
        <v>0</v>
      </c>
      <c r="AM64" s="78">
        <v>43618.52569444444</v>
      </c>
      <c r="AN64" s="76" t="s">
        <v>1883</v>
      </c>
      <c r="AO64" s="76" t="s">
        <v>2097</v>
      </c>
      <c r="AP64" s="76"/>
      <c r="AQ64" s="76"/>
      <c r="AR64" s="76"/>
      <c r="AS64" s="76" t="s">
        <v>2586</v>
      </c>
      <c r="AT64" s="76" t="s">
        <v>2598</v>
      </c>
      <c r="AU64" s="76" t="s">
        <v>2620</v>
      </c>
      <c r="AV64" s="76">
        <v>1.54621668346707E+18</v>
      </c>
      <c r="AW64" s="76"/>
      <c r="AX64" s="76" t="b">
        <v>0</v>
      </c>
      <c r="AY64" s="76"/>
      <c r="AZ64" s="76"/>
      <c r="BA64" s="76" t="b">
        <v>0</v>
      </c>
      <c r="BB64" s="76" t="b">
        <v>1</v>
      </c>
      <c r="BC64" s="76" t="b">
        <v>1</v>
      </c>
      <c r="BD64" s="76" t="b">
        <v>0</v>
      </c>
      <c r="BE64" s="76" t="b">
        <v>0</v>
      </c>
      <c r="BF64" s="76" t="b">
        <v>0</v>
      </c>
      <c r="BG64" s="76" t="b">
        <v>0</v>
      </c>
      <c r="BH64" s="82" t="str">
        <f>HYPERLINK("https://pbs.twimg.com/profile_banners/1135163403671146496/1559479205")</f>
        <v>https://pbs.twimg.com/profile_banners/1135163403671146496/1559479205</v>
      </c>
      <c r="BI64" s="76"/>
      <c r="BJ64" s="76" t="s">
        <v>2656</v>
      </c>
      <c r="BK64" s="76" t="b">
        <v>0</v>
      </c>
      <c r="BL64" s="76"/>
      <c r="BM64" s="76" t="s">
        <v>65</v>
      </c>
      <c r="BN64" s="76" t="s">
        <v>2657</v>
      </c>
      <c r="BO64" s="82" t="str">
        <f>HYPERLINK("https://twitter.com/memingphd")</f>
        <v>https://twitter.com/memingphd</v>
      </c>
      <c r="BP64" s="76" t="str">
        <f>REPLACE(INDEX(GroupVertices[Group],MATCH(Vertices[[#This Row],[Vertex]],GroupVertices[Vertex],0)),1,1,"")</f>
        <v>2</v>
      </c>
      <c r="BQ64" s="45"/>
      <c r="BR64" s="46"/>
      <c r="BS64" s="45"/>
      <c r="BT64" s="46"/>
      <c r="BU64" s="45"/>
      <c r="BV64" s="46"/>
      <c r="BW64" s="45"/>
      <c r="BX64" s="46"/>
      <c r="BY64" s="45"/>
      <c r="BZ64" s="45"/>
      <c r="CA64" s="45"/>
      <c r="CB64" s="45"/>
      <c r="CC64" s="45"/>
      <c r="CD64" s="45"/>
      <c r="CE64" s="45"/>
      <c r="CF64" s="45"/>
      <c r="CG64" s="45"/>
      <c r="CH64" s="45"/>
      <c r="CI64" s="45"/>
      <c r="CJ64" s="2"/>
    </row>
    <row r="65" spans="1:88" ht="15">
      <c r="A65" s="61" t="s">
        <v>316</v>
      </c>
      <c r="B65" s="62"/>
      <c r="C65" s="62"/>
      <c r="D65" s="63">
        <v>535</v>
      </c>
      <c r="E65" s="65"/>
      <c r="F65" s="100" t="str">
        <f>HYPERLINK("https://pbs.twimg.com/profile_images/1568087776784171008/OYsb5Ls0_normal.jpg")</f>
        <v>https://pbs.twimg.com/profile_images/1568087776784171008/OYsb5Ls0_normal.jpg</v>
      </c>
      <c r="G65" s="62"/>
      <c r="H65" s="66" t="s">
        <v>316</v>
      </c>
      <c r="I65" s="67"/>
      <c r="J65" s="67" t="s">
        <v>159</v>
      </c>
      <c r="K65" s="66" t="s">
        <v>2719</v>
      </c>
      <c r="L65" s="70">
        <v>477.0952380952381</v>
      </c>
      <c r="M65" s="71">
        <v>6812.3583984375</v>
      </c>
      <c r="N65" s="71">
        <v>8958.0078125</v>
      </c>
      <c r="O65" s="72"/>
      <c r="P65" s="73"/>
      <c r="Q65" s="73"/>
      <c r="R65" s="86"/>
      <c r="S65" s="45">
        <v>1</v>
      </c>
      <c r="T65" s="45">
        <v>0</v>
      </c>
      <c r="U65" s="46">
        <v>0</v>
      </c>
      <c r="V65" s="46">
        <v>0.314658</v>
      </c>
      <c r="W65" s="46">
        <v>0.025226</v>
      </c>
      <c r="X65" s="46">
        <v>0.002732</v>
      </c>
      <c r="Y65" s="46">
        <v>0</v>
      </c>
      <c r="Z65" s="46">
        <v>0</v>
      </c>
      <c r="AA65" s="68">
        <v>65</v>
      </c>
      <c r="AB65" s="68"/>
      <c r="AC65" s="69"/>
      <c r="AD65" s="76" t="s">
        <v>1310</v>
      </c>
      <c r="AE65" s="80" t="s">
        <v>1619</v>
      </c>
      <c r="AF65" s="76">
        <v>421</v>
      </c>
      <c r="AG65" s="76">
        <v>4927</v>
      </c>
      <c r="AH65" s="76">
        <v>322</v>
      </c>
      <c r="AI65" s="76">
        <v>2</v>
      </c>
      <c r="AJ65" s="76">
        <v>499</v>
      </c>
      <c r="AK65" s="76">
        <v>18</v>
      </c>
      <c r="AL65" s="76" t="b">
        <v>0</v>
      </c>
      <c r="AM65" s="78">
        <v>44059.70642361111</v>
      </c>
      <c r="AN65" s="76" t="s">
        <v>1884</v>
      </c>
      <c r="AO65" s="76" t="s">
        <v>2098</v>
      </c>
      <c r="AP65" s="76"/>
      <c r="AQ65" s="76"/>
      <c r="AR65" s="76"/>
      <c r="AS65" s="76"/>
      <c r="AT65" s="76"/>
      <c r="AU65" s="76"/>
      <c r="AV65" s="76"/>
      <c r="AW65" s="76"/>
      <c r="AX65" s="76" t="b">
        <v>0</v>
      </c>
      <c r="AY65" s="76"/>
      <c r="AZ65" s="76"/>
      <c r="BA65" s="76" t="b">
        <v>0</v>
      </c>
      <c r="BB65" s="76" t="b">
        <v>1</v>
      </c>
      <c r="BC65" s="76" t="b">
        <v>1</v>
      </c>
      <c r="BD65" s="76" t="b">
        <v>0</v>
      </c>
      <c r="BE65" s="76" t="b">
        <v>1</v>
      </c>
      <c r="BF65" s="76" t="b">
        <v>0</v>
      </c>
      <c r="BG65" s="76" t="b">
        <v>0</v>
      </c>
      <c r="BH65" s="76"/>
      <c r="BI65" s="76"/>
      <c r="BJ65" s="76" t="s">
        <v>2656</v>
      </c>
      <c r="BK65" s="76" t="b">
        <v>0</v>
      </c>
      <c r="BL65" s="76"/>
      <c r="BM65" s="76" t="s">
        <v>65</v>
      </c>
      <c r="BN65" s="76" t="s">
        <v>2657</v>
      </c>
      <c r="BO65" s="82" t="str">
        <f>HYPERLINK("https://twitter.com/imilindsolanki")</f>
        <v>https://twitter.com/imilindsolanki</v>
      </c>
      <c r="BP65" s="76" t="str">
        <f>REPLACE(INDEX(GroupVertices[Group],MATCH(Vertices[[#This Row],[Vertex]],GroupVertices[Vertex],0)),1,1,"")</f>
        <v>2</v>
      </c>
      <c r="BQ65" s="45"/>
      <c r="BR65" s="46"/>
      <c r="BS65" s="45"/>
      <c r="BT65" s="46"/>
      <c r="BU65" s="45"/>
      <c r="BV65" s="46"/>
      <c r="BW65" s="45"/>
      <c r="BX65" s="46"/>
      <c r="BY65" s="45"/>
      <c r="BZ65" s="45"/>
      <c r="CA65" s="45"/>
      <c r="CB65" s="45"/>
      <c r="CC65" s="45"/>
      <c r="CD65" s="45"/>
      <c r="CE65" s="45"/>
      <c r="CF65" s="45"/>
      <c r="CG65" s="45"/>
      <c r="CH65" s="45"/>
      <c r="CI65" s="45"/>
      <c r="CJ65" s="2"/>
    </row>
    <row r="66" spans="1:88" ht="15">
      <c r="A66" s="61" t="s">
        <v>317</v>
      </c>
      <c r="B66" s="62"/>
      <c r="C66" s="62"/>
      <c r="D66" s="63">
        <v>535</v>
      </c>
      <c r="E66" s="65"/>
      <c r="F66" s="100" t="str">
        <f>HYPERLINK("https://pbs.twimg.com/profile_images/1515545523356381188/JjUUouna_normal.jpg")</f>
        <v>https://pbs.twimg.com/profile_images/1515545523356381188/JjUUouna_normal.jpg</v>
      </c>
      <c r="G66" s="62"/>
      <c r="H66" s="66" t="s">
        <v>317</v>
      </c>
      <c r="I66" s="67"/>
      <c r="J66" s="67" t="s">
        <v>159</v>
      </c>
      <c r="K66" s="66" t="s">
        <v>2720</v>
      </c>
      <c r="L66" s="70">
        <v>477.0952380952381</v>
      </c>
      <c r="M66" s="71">
        <v>5135.458984375</v>
      </c>
      <c r="N66" s="71">
        <v>7273.39501953125</v>
      </c>
      <c r="O66" s="72"/>
      <c r="P66" s="73"/>
      <c r="Q66" s="73"/>
      <c r="R66" s="86"/>
      <c r="S66" s="45">
        <v>1</v>
      </c>
      <c r="T66" s="45">
        <v>0</v>
      </c>
      <c r="U66" s="46">
        <v>0</v>
      </c>
      <c r="V66" s="46">
        <v>0.314658</v>
      </c>
      <c r="W66" s="46">
        <v>0.025226</v>
      </c>
      <c r="X66" s="46">
        <v>0.002732</v>
      </c>
      <c r="Y66" s="46">
        <v>0</v>
      </c>
      <c r="Z66" s="46">
        <v>0</v>
      </c>
      <c r="AA66" s="68">
        <v>66</v>
      </c>
      <c r="AB66" s="68"/>
      <c r="AC66" s="69"/>
      <c r="AD66" s="76" t="s">
        <v>1311</v>
      </c>
      <c r="AE66" s="80" t="s">
        <v>1620</v>
      </c>
      <c r="AF66" s="76">
        <v>4454</v>
      </c>
      <c r="AG66" s="76">
        <v>237</v>
      </c>
      <c r="AH66" s="76">
        <v>1385</v>
      </c>
      <c r="AI66" s="76">
        <v>17</v>
      </c>
      <c r="AJ66" s="76">
        <v>2475</v>
      </c>
      <c r="AK66" s="76">
        <v>100</v>
      </c>
      <c r="AL66" s="76" t="b">
        <v>0</v>
      </c>
      <c r="AM66" s="78">
        <v>41473.821493055555</v>
      </c>
      <c r="AN66" s="76" t="s">
        <v>1885</v>
      </c>
      <c r="AO66" s="76" t="s">
        <v>2099</v>
      </c>
      <c r="AP66" s="82" t="str">
        <f>HYPERLINK("https://t.co/L0QBrlHAfo")</f>
        <v>https://t.co/L0QBrlHAfo</v>
      </c>
      <c r="AQ66" s="82" t="str">
        <f>HYPERLINK("https://scholar.google.co.in/citations?user=1trRhEAAAAAJ&amp;hl=en")</f>
        <v>https://scholar.google.co.in/citations?user=1trRhEAAAAAJ&amp;hl=en</v>
      </c>
      <c r="AR66" s="76" t="s">
        <v>2389</v>
      </c>
      <c r="AS66" s="76"/>
      <c r="AT66" s="76"/>
      <c r="AU66" s="76"/>
      <c r="AV66" s="76"/>
      <c r="AW66" s="82" t="str">
        <f>HYPERLINK("https://t.co/L0QBrlHAfo")</f>
        <v>https://t.co/L0QBrlHAfo</v>
      </c>
      <c r="AX66" s="76" t="b">
        <v>0</v>
      </c>
      <c r="AY66" s="76"/>
      <c r="AZ66" s="76"/>
      <c r="BA66" s="76" t="b">
        <v>0</v>
      </c>
      <c r="BB66" s="76" t="b">
        <v>1</v>
      </c>
      <c r="BC66" s="76" t="b">
        <v>1</v>
      </c>
      <c r="BD66" s="76" t="b">
        <v>0</v>
      </c>
      <c r="BE66" s="76" t="b">
        <v>0</v>
      </c>
      <c r="BF66" s="76" t="b">
        <v>0</v>
      </c>
      <c r="BG66" s="76" t="b">
        <v>0</v>
      </c>
      <c r="BH66" s="76"/>
      <c r="BI66" s="76"/>
      <c r="BJ66" s="76" t="s">
        <v>2656</v>
      </c>
      <c r="BK66" s="76" t="b">
        <v>0</v>
      </c>
      <c r="BL66" s="76"/>
      <c r="BM66" s="76" t="s">
        <v>65</v>
      </c>
      <c r="BN66" s="76" t="s">
        <v>2657</v>
      </c>
      <c r="BO66" s="82" t="str">
        <f>HYPERLINK("https://twitter.com/hgupta84")</f>
        <v>https://twitter.com/hgupta84</v>
      </c>
      <c r="BP66" s="76" t="str">
        <f>REPLACE(INDEX(GroupVertices[Group],MATCH(Vertices[[#This Row],[Vertex]],GroupVertices[Vertex],0)),1,1,"")</f>
        <v>2</v>
      </c>
      <c r="BQ66" s="45"/>
      <c r="BR66" s="46"/>
      <c r="BS66" s="45"/>
      <c r="BT66" s="46"/>
      <c r="BU66" s="45"/>
      <c r="BV66" s="46"/>
      <c r="BW66" s="45"/>
      <c r="BX66" s="46"/>
      <c r="BY66" s="45"/>
      <c r="BZ66" s="45"/>
      <c r="CA66" s="45"/>
      <c r="CB66" s="45"/>
      <c r="CC66" s="45"/>
      <c r="CD66" s="45"/>
      <c r="CE66" s="45"/>
      <c r="CF66" s="45"/>
      <c r="CG66" s="45"/>
      <c r="CH66" s="45"/>
      <c r="CI66" s="45"/>
      <c r="CJ66" s="2"/>
    </row>
    <row r="67" spans="1:88" ht="15">
      <c r="A67" s="61" t="s">
        <v>318</v>
      </c>
      <c r="B67" s="62"/>
      <c r="C67" s="62"/>
      <c r="D67" s="63">
        <v>535</v>
      </c>
      <c r="E67" s="65"/>
      <c r="F67" s="100" t="str">
        <f>HYPERLINK("https://pbs.twimg.com/profile_images/1409309319183540226/k7S9m0nG_normal.jpg")</f>
        <v>https://pbs.twimg.com/profile_images/1409309319183540226/k7S9m0nG_normal.jpg</v>
      </c>
      <c r="G67" s="62"/>
      <c r="H67" s="66" t="s">
        <v>318</v>
      </c>
      <c r="I67" s="67"/>
      <c r="J67" s="67" t="s">
        <v>159</v>
      </c>
      <c r="K67" s="66" t="s">
        <v>2721</v>
      </c>
      <c r="L67" s="70">
        <v>477.0952380952381</v>
      </c>
      <c r="M67" s="71">
        <v>5330.4609375</v>
      </c>
      <c r="N67" s="71">
        <v>7052.1845703125</v>
      </c>
      <c r="O67" s="72"/>
      <c r="P67" s="73"/>
      <c r="Q67" s="73"/>
      <c r="R67" s="86"/>
      <c r="S67" s="45">
        <v>1</v>
      </c>
      <c r="T67" s="45">
        <v>0</v>
      </c>
      <c r="U67" s="46">
        <v>0</v>
      </c>
      <c r="V67" s="46">
        <v>0.314658</v>
      </c>
      <c r="W67" s="46">
        <v>0.025226</v>
      </c>
      <c r="X67" s="46">
        <v>0.002732</v>
      </c>
      <c r="Y67" s="46">
        <v>0</v>
      </c>
      <c r="Z67" s="46">
        <v>0</v>
      </c>
      <c r="AA67" s="68">
        <v>67</v>
      </c>
      <c r="AB67" s="68"/>
      <c r="AC67" s="69"/>
      <c r="AD67" s="76" t="s">
        <v>1312</v>
      </c>
      <c r="AE67" s="80" t="s">
        <v>1621</v>
      </c>
      <c r="AF67" s="76">
        <v>359</v>
      </c>
      <c r="AG67" s="76">
        <v>658</v>
      </c>
      <c r="AH67" s="76">
        <v>282</v>
      </c>
      <c r="AI67" s="76">
        <v>2</v>
      </c>
      <c r="AJ67" s="76">
        <v>237</v>
      </c>
      <c r="AK67" s="76">
        <v>60</v>
      </c>
      <c r="AL67" s="76" t="b">
        <v>0</v>
      </c>
      <c r="AM67" s="78">
        <v>44375.02407407408</v>
      </c>
      <c r="AN67" s="76" t="s">
        <v>1886</v>
      </c>
      <c r="AO67" s="76" t="s">
        <v>2100</v>
      </c>
      <c r="AP67" s="82" t="str">
        <f>HYPERLINK("https://t.co/pzMOUVEE72")</f>
        <v>https://t.co/pzMOUVEE72</v>
      </c>
      <c r="AQ67" s="82" t="str">
        <f>HYPERLINK("https://www.une.edu.au/about-une/faculty-of-humanities-arts-social-sciences-and-education/hass/human")</f>
        <v>https://www.une.edu.au/about-une/faculty-of-humanities-arts-social-sciences-and-education/hass/human</v>
      </c>
      <c r="AR67" s="76" t="s">
        <v>2390</v>
      </c>
      <c r="AS67" s="76"/>
      <c r="AT67" s="76"/>
      <c r="AU67" s="76"/>
      <c r="AV67" s="76"/>
      <c r="AW67" s="82" t="str">
        <f>HYPERLINK("https://t.co/pzMOUVEE72")</f>
        <v>https://t.co/pzMOUVEE72</v>
      </c>
      <c r="AX67" s="76" t="b">
        <v>0</v>
      </c>
      <c r="AY67" s="76"/>
      <c r="AZ67" s="76"/>
      <c r="BA67" s="76" t="b">
        <v>0</v>
      </c>
      <c r="BB67" s="76" t="b">
        <v>1</v>
      </c>
      <c r="BC67" s="76" t="b">
        <v>1</v>
      </c>
      <c r="BD67" s="76" t="b">
        <v>0</v>
      </c>
      <c r="BE67" s="76" t="b">
        <v>0</v>
      </c>
      <c r="BF67" s="76" t="b">
        <v>0</v>
      </c>
      <c r="BG67" s="76" t="b">
        <v>0</v>
      </c>
      <c r="BH67" s="82" t="str">
        <f>HYPERLINK("https://pbs.twimg.com/profile_banners/1409309130301480960/1689476732")</f>
        <v>https://pbs.twimg.com/profile_banners/1409309130301480960/1689476732</v>
      </c>
      <c r="BI67" s="76"/>
      <c r="BJ67" s="76" t="s">
        <v>2656</v>
      </c>
      <c r="BK67" s="76" t="b">
        <v>0</v>
      </c>
      <c r="BL67" s="76"/>
      <c r="BM67" s="76" t="s">
        <v>65</v>
      </c>
      <c r="BN67" s="76" t="s">
        <v>2657</v>
      </c>
      <c r="BO67" s="82" t="str">
        <f>HYPERLINK("https://twitter.com/popcultureune")</f>
        <v>https://twitter.com/popcultureune</v>
      </c>
      <c r="BP67" s="76" t="str">
        <f>REPLACE(INDEX(GroupVertices[Group],MATCH(Vertices[[#This Row],[Vertex]],GroupVertices[Vertex],0)),1,1,"")</f>
        <v>2</v>
      </c>
      <c r="BQ67" s="45"/>
      <c r="BR67" s="46"/>
      <c r="BS67" s="45"/>
      <c r="BT67" s="46"/>
      <c r="BU67" s="45"/>
      <c r="BV67" s="46"/>
      <c r="BW67" s="45"/>
      <c r="BX67" s="46"/>
      <c r="BY67" s="45"/>
      <c r="BZ67" s="45"/>
      <c r="CA67" s="45"/>
      <c r="CB67" s="45"/>
      <c r="CC67" s="45"/>
      <c r="CD67" s="45"/>
      <c r="CE67" s="45"/>
      <c r="CF67" s="45"/>
      <c r="CG67" s="45"/>
      <c r="CH67" s="45"/>
      <c r="CI67" s="45"/>
      <c r="CJ67" s="2"/>
    </row>
    <row r="68" spans="1:88" ht="15">
      <c r="A68" s="61" t="s">
        <v>319</v>
      </c>
      <c r="B68" s="62"/>
      <c r="C68" s="62"/>
      <c r="D68" s="63">
        <v>535</v>
      </c>
      <c r="E68" s="65"/>
      <c r="F68" s="100" t="str">
        <f>HYPERLINK("https://pbs.twimg.com/profile_images/1240933011799056385/cTy9q9bT_normal.jpg")</f>
        <v>https://pbs.twimg.com/profile_images/1240933011799056385/cTy9q9bT_normal.jpg</v>
      </c>
      <c r="G68" s="62"/>
      <c r="H68" s="66" t="s">
        <v>319</v>
      </c>
      <c r="I68" s="67"/>
      <c r="J68" s="67" t="s">
        <v>159</v>
      </c>
      <c r="K68" s="66" t="s">
        <v>2722</v>
      </c>
      <c r="L68" s="70">
        <v>477.0952380952381</v>
      </c>
      <c r="M68" s="71">
        <v>5349.80029296875</v>
      </c>
      <c r="N68" s="71">
        <v>6726.40283203125</v>
      </c>
      <c r="O68" s="72"/>
      <c r="P68" s="73"/>
      <c r="Q68" s="73"/>
      <c r="R68" s="86"/>
      <c r="S68" s="45">
        <v>1</v>
      </c>
      <c r="T68" s="45">
        <v>0</v>
      </c>
      <c r="U68" s="46">
        <v>0</v>
      </c>
      <c r="V68" s="46">
        <v>0.314658</v>
      </c>
      <c r="W68" s="46">
        <v>0.025226</v>
      </c>
      <c r="X68" s="46">
        <v>0.002732</v>
      </c>
      <c r="Y68" s="46">
        <v>0</v>
      </c>
      <c r="Z68" s="46">
        <v>0</v>
      </c>
      <c r="AA68" s="68">
        <v>68</v>
      </c>
      <c r="AB68" s="68"/>
      <c r="AC68" s="69"/>
      <c r="AD68" s="76" t="s">
        <v>1313</v>
      </c>
      <c r="AE68" s="80" t="s">
        <v>1622</v>
      </c>
      <c r="AF68" s="76">
        <v>132259</v>
      </c>
      <c r="AG68" s="76">
        <v>86242</v>
      </c>
      <c r="AH68" s="76">
        <v>80526</v>
      </c>
      <c r="AI68" s="76">
        <v>417</v>
      </c>
      <c r="AJ68" s="76">
        <v>272123</v>
      </c>
      <c r="AK68" s="76">
        <v>571</v>
      </c>
      <c r="AL68" s="76" t="b">
        <v>0</v>
      </c>
      <c r="AM68" s="78">
        <v>43709.76462962963</v>
      </c>
      <c r="AN68" s="76" t="s">
        <v>1887</v>
      </c>
      <c r="AO68" s="76" t="s">
        <v>2101</v>
      </c>
      <c r="AP68" s="82" t="str">
        <f>HYPERLINK("https://t.co/I9RBkfC1AL")</f>
        <v>https://t.co/I9RBkfC1AL</v>
      </c>
      <c r="AQ68" s="82" t="str">
        <f>HYPERLINK("https://phdvoice.org")</f>
        <v>https://phdvoice.org</v>
      </c>
      <c r="AR68" s="76" t="s">
        <v>2391</v>
      </c>
      <c r="AS68" s="82" t="str">
        <f>HYPERLINK("https://t.co/jKq1NNX0ch")</f>
        <v>https://t.co/jKq1NNX0ch</v>
      </c>
      <c r="AT68" s="82" t="str">
        <f>HYPERLINK("https://phdvoice.org/free-resources")</f>
        <v>https://phdvoice.org/free-resources</v>
      </c>
      <c r="AU68" s="76" t="s">
        <v>2621</v>
      </c>
      <c r="AV68" s="76">
        <v>1.68675691342427E+18</v>
      </c>
      <c r="AW68" s="82" t="str">
        <f>HYPERLINK("https://t.co/I9RBkfC1AL")</f>
        <v>https://t.co/I9RBkfC1AL</v>
      </c>
      <c r="AX68" s="76" t="b">
        <v>1</v>
      </c>
      <c r="AY68" s="76"/>
      <c r="AZ68" s="76"/>
      <c r="BA68" s="76" t="b">
        <v>1</v>
      </c>
      <c r="BB68" s="76" t="b">
        <v>0</v>
      </c>
      <c r="BC68" s="76" t="b">
        <v>1</v>
      </c>
      <c r="BD68" s="76" t="b">
        <v>0</v>
      </c>
      <c r="BE68" s="76" t="b">
        <v>0</v>
      </c>
      <c r="BF68" s="76" t="b">
        <v>0</v>
      </c>
      <c r="BG68" s="76" t="b">
        <v>0</v>
      </c>
      <c r="BH68" s="82" t="str">
        <f>HYPERLINK("https://pbs.twimg.com/profile_banners/1168227245338628096/1608483317")</f>
        <v>https://pbs.twimg.com/profile_banners/1168227245338628096/1608483317</v>
      </c>
      <c r="BI68" s="76"/>
      <c r="BJ68" s="76" t="s">
        <v>2656</v>
      </c>
      <c r="BK68" s="76" t="b">
        <v>0</v>
      </c>
      <c r="BL68" s="76"/>
      <c r="BM68" s="76" t="s">
        <v>65</v>
      </c>
      <c r="BN68" s="76" t="s">
        <v>2657</v>
      </c>
      <c r="BO68" s="82" t="str">
        <f>HYPERLINK("https://twitter.com/phdvoice")</f>
        <v>https://twitter.com/phdvoice</v>
      </c>
      <c r="BP68" s="76" t="str">
        <f>REPLACE(INDEX(GroupVertices[Group],MATCH(Vertices[[#This Row],[Vertex]],GroupVertices[Vertex],0)),1,1,"")</f>
        <v>2</v>
      </c>
      <c r="BQ68" s="45"/>
      <c r="BR68" s="46"/>
      <c r="BS68" s="45"/>
      <c r="BT68" s="46"/>
      <c r="BU68" s="45"/>
      <c r="BV68" s="46"/>
      <c r="BW68" s="45"/>
      <c r="BX68" s="46"/>
      <c r="BY68" s="45"/>
      <c r="BZ68" s="45"/>
      <c r="CA68" s="45"/>
      <c r="CB68" s="45"/>
      <c r="CC68" s="45"/>
      <c r="CD68" s="45"/>
      <c r="CE68" s="45"/>
      <c r="CF68" s="45"/>
      <c r="CG68" s="45"/>
      <c r="CH68" s="45"/>
      <c r="CI68" s="45"/>
      <c r="CJ68" s="2"/>
    </row>
    <row r="69" spans="1:88" ht="15">
      <c r="A69" s="61" t="s">
        <v>320</v>
      </c>
      <c r="B69" s="62"/>
      <c r="C69" s="62"/>
      <c r="D69" s="63">
        <v>535</v>
      </c>
      <c r="E69" s="65"/>
      <c r="F69" s="100" t="str">
        <f>HYPERLINK("https://pbs.twimg.com/profile_images/891990736740208640/2i2X1fFR_normal.jpg")</f>
        <v>https://pbs.twimg.com/profile_images/891990736740208640/2i2X1fFR_normal.jpg</v>
      </c>
      <c r="G69" s="62"/>
      <c r="H69" s="66" t="s">
        <v>320</v>
      </c>
      <c r="I69" s="67"/>
      <c r="J69" s="67" t="s">
        <v>159</v>
      </c>
      <c r="K69" s="66" t="s">
        <v>2723</v>
      </c>
      <c r="L69" s="70">
        <v>477.0952380952381</v>
      </c>
      <c r="M69" s="71">
        <v>7090.50146484375</v>
      </c>
      <c r="N69" s="71">
        <v>6725.52294921875</v>
      </c>
      <c r="O69" s="72"/>
      <c r="P69" s="73"/>
      <c r="Q69" s="73"/>
      <c r="R69" s="86"/>
      <c r="S69" s="45">
        <v>1</v>
      </c>
      <c r="T69" s="45">
        <v>0</v>
      </c>
      <c r="U69" s="46">
        <v>0</v>
      </c>
      <c r="V69" s="46">
        <v>0.314658</v>
      </c>
      <c r="W69" s="46">
        <v>0.025226</v>
      </c>
      <c r="X69" s="46">
        <v>0.002732</v>
      </c>
      <c r="Y69" s="46">
        <v>0</v>
      </c>
      <c r="Z69" s="46">
        <v>0</v>
      </c>
      <c r="AA69" s="68">
        <v>69</v>
      </c>
      <c r="AB69" s="68"/>
      <c r="AC69" s="69"/>
      <c r="AD69" s="76" t="s">
        <v>1314</v>
      </c>
      <c r="AE69" s="80" t="s">
        <v>1623</v>
      </c>
      <c r="AF69" s="76">
        <v>33514</v>
      </c>
      <c r="AG69" s="76">
        <v>1911</v>
      </c>
      <c r="AH69" s="76">
        <v>13740</v>
      </c>
      <c r="AI69" s="76">
        <v>409</v>
      </c>
      <c r="AJ69" s="76">
        <v>10135</v>
      </c>
      <c r="AK69" s="76">
        <v>2912</v>
      </c>
      <c r="AL69" s="76" t="b">
        <v>0</v>
      </c>
      <c r="AM69" s="78">
        <v>40631.61667824074</v>
      </c>
      <c r="AN69" s="76" t="s">
        <v>1888</v>
      </c>
      <c r="AO69" s="76" t="s">
        <v>2102</v>
      </c>
      <c r="AP69" s="82" t="str">
        <f>HYPERLINK("https://t.co/70tOqeVAgQ")</f>
        <v>https://t.co/70tOqeVAgQ</v>
      </c>
      <c r="AQ69" s="82" t="str">
        <f>HYPERLINK("http://www.tandfonline.com")</f>
        <v>http://www.tandfonline.com</v>
      </c>
      <c r="AR69" s="76" t="s">
        <v>2392</v>
      </c>
      <c r="AS69" s="76"/>
      <c r="AT69" s="76"/>
      <c r="AU69" s="76"/>
      <c r="AV69" s="76"/>
      <c r="AW69" s="82" t="str">
        <f>HYPERLINK("https://t.co/70tOqeVAgQ")</f>
        <v>https://t.co/70tOqeVAgQ</v>
      </c>
      <c r="AX69" s="76" t="b">
        <v>1</v>
      </c>
      <c r="AY69" s="76"/>
      <c r="AZ69" s="76"/>
      <c r="BA69" s="76" t="b">
        <v>1</v>
      </c>
      <c r="BB69" s="76" t="b">
        <v>1</v>
      </c>
      <c r="BC69" s="76" t="b">
        <v>0</v>
      </c>
      <c r="BD69" s="76" t="b">
        <v>0</v>
      </c>
      <c r="BE69" s="76" t="b">
        <v>1</v>
      </c>
      <c r="BF69" s="76" t="b">
        <v>0</v>
      </c>
      <c r="BG69" s="76" t="b">
        <v>0</v>
      </c>
      <c r="BH69" s="82" t="str">
        <f>HYPERLINK("https://pbs.twimg.com/profile_banners/274000611/1683106889")</f>
        <v>https://pbs.twimg.com/profile_banners/274000611/1683106889</v>
      </c>
      <c r="BI69" s="76"/>
      <c r="BJ69" s="76" t="s">
        <v>2656</v>
      </c>
      <c r="BK69" s="76" t="b">
        <v>0</v>
      </c>
      <c r="BL69" s="76"/>
      <c r="BM69" s="76" t="s">
        <v>65</v>
      </c>
      <c r="BN69" s="76" t="s">
        <v>2657</v>
      </c>
      <c r="BO69" s="82" t="str">
        <f>HYPERLINK("https://twitter.com/tandfonline")</f>
        <v>https://twitter.com/tandfonline</v>
      </c>
      <c r="BP69" s="76" t="str">
        <f>REPLACE(INDEX(GroupVertices[Group],MATCH(Vertices[[#This Row],[Vertex]],GroupVertices[Vertex],0)),1,1,"")</f>
        <v>2</v>
      </c>
      <c r="BQ69" s="45"/>
      <c r="BR69" s="46"/>
      <c r="BS69" s="45"/>
      <c r="BT69" s="46"/>
      <c r="BU69" s="45"/>
      <c r="BV69" s="46"/>
      <c r="BW69" s="45"/>
      <c r="BX69" s="46"/>
      <c r="BY69" s="45"/>
      <c r="BZ69" s="45"/>
      <c r="CA69" s="45"/>
      <c r="CB69" s="45"/>
      <c r="CC69" s="45"/>
      <c r="CD69" s="45"/>
      <c r="CE69" s="45"/>
      <c r="CF69" s="45"/>
      <c r="CG69" s="45"/>
      <c r="CH69" s="45"/>
      <c r="CI69" s="45"/>
      <c r="CJ69" s="2"/>
    </row>
    <row r="70" spans="1:88" ht="15">
      <c r="A70" s="61" t="s">
        <v>321</v>
      </c>
      <c r="B70" s="62"/>
      <c r="C70" s="62"/>
      <c r="D70" s="63">
        <v>535</v>
      </c>
      <c r="E70" s="65"/>
      <c r="F70" s="100" t="str">
        <f>HYPERLINK("https://pbs.twimg.com/profile_images/1460008916528599043/Mthc3-zA_normal.jpg")</f>
        <v>https://pbs.twimg.com/profile_images/1460008916528599043/Mthc3-zA_normal.jpg</v>
      </c>
      <c r="G70" s="62"/>
      <c r="H70" s="66" t="s">
        <v>321</v>
      </c>
      <c r="I70" s="67"/>
      <c r="J70" s="67" t="s">
        <v>159</v>
      </c>
      <c r="K70" s="66" t="s">
        <v>2724</v>
      </c>
      <c r="L70" s="70">
        <v>477.0952380952381</v>
      </c>
      <c r="M70" s="71">
        <v>6549.77880859375</v>
      </c>
      <c r="N70" s="71">
        <v>6632.8564453125</v>
      </c>
      <c r="O70" s="72"/>
      <c r="P70" s="73"/>
      <c r="Q70" s="73"/>
      <c r="R70" s="86"/>
      <c r="S70" s="45">
        <v>1</v>
      </c>
      <c r="T70" s="45">
        <v>0</v>
      </c>
      <c r="U70" s="46">
        <v>0</v>
      </c>
      <c r="V70" s="46">
        <v>0.314658</v>
      </c>
      <c r="W70" s="46">
        <v>0.025226</v>
      </c>
      <c r="X70" s="46">
        <v>0.002732</v>
      </c>
      <c r="Y70" s="46">
        <v>0</v>
      </c>
      <c r="Z70" s="46">
        <v>0</v>
      </c>
      <c r="AA70" s="68">
        <v>70</v>
      </c>
      <c r="AB70" s="68"/>
      <c r="AC70" s="69"/>
      <c r="AD70" s="76" t="s">
        <v>1315</v>
      </c>
      <c r="AE70" s="80" t="s">
        <v>1624</v>
      </c>
      <c r="AF70" s="76">
        <v>255</v>
      </c>
      <c r="AG70" s="76">
        <v>901</v>
      </c>
      <c r="AH70" s="76">
        <v>5939</v>
      </c>
      <c r="AI70" s="76">
        <v>1</v>
      </c>
      <c r="AJ70" s="76">
        <v>5940</v>
      </c>
      <c r="AK70" s="76">
        <v>2327</v>
      </c>
      <c r="AL70" s="76" t="b">
        <v>0</v>
      </c>
      <c r="AM70" s="78">
        <v>40375.70386574074</v>
      </c>
      <c r="AN70" s="76" t="s">
        <v>1889</v>
      </c>
      <c r="AO70" s="76" t="s">
        <v>2103</v>
      </c>
      <c r="AP70" s="76"/>
      <c r="AQ70" s="76"/>
      <c r="AR70" s="76"/>
      <c r="AS70" s="76"/>
      <c r="AT70" s="76"/>
      <c r="AU70" s="76"/>
      <c r="AV70" s="76"/>
      <c r="AW70" s="76"/>
      <c r="AX70" s="76" t="b">
        <v>0</v>
      </c>
      <c r="AY70" s="76"/>
      <c r="AZ70" s="76"/>
      <c r="BA70" s="76" t="b">
        <v>0</v>
      </c>
      <c r="BB70" s="76" t="b">
        <v>1</v>
      </c>
      <c r="BC70" s="76" t="b">
        <v>0</v>
      </c>
      <c r="BD70" s="76" t="b">
        <v>0</v>
      </c>
      <c r="BE70" s="76" t="b">
        <v>1</v>
      </c>
      <c r="BF70" s="76" t="b">
        <v>0</v>
      </c>
      <c r="BG70" s="76" t="b">
        <v>0</v>
      </c>
      <c r="BH70" s="82" t="str">
        <f>HYPERLINK("https://pbs.twimg.com/profile_banners/167456020/1636928278")</f>
        <v>https://pbs.twimg.com/profile_banners/167456020/1636928278</v>
      </c>
      <c r="BI70" s="76"/>
      <c r="BJ70" s="76" t="s">
        <v>2656</v>
      </c>
      <c r="BK70" s="76" t="b">
        <v>0</v>
      </c>
      <c r="BL70" s="76"/>
      <c r="BM70" s="76" t="s">
        <v>65</v>
      </c>
      <c r="BN70" s="76" t="s">
        <v>2657</v>
      </c>
      <c r="BO70" s="82" t="str">
        <f>HYPERLINK("https://twitter.com/davaku")</f>
        <v>https://twitter.com/davaku</v>
      </c>
      <c r="BP70" s="76" t="str">
        <f>REPLACE(INDEX(GroupVertices[Group],MATCH(Vertices[[#This Row],[Vertex]],GroupVertices[Vertex],0)),1,1,"")</f>
        <v>2</v>
      </c>
      <c r="BQ70" s="45"/>
      <c r="BR70" s="46"/>
      <c r="BS70" s="45"/>
      <c r="BT70" s="46"/>
      <c r="BU70" s="45"/>
      <c r="BV70" s="46"/>
      <c r="BW70" s="45"/>
      <c r="BX70" s="46"/>
      <c r="BY70" s="45"/>
      <c r="BZ70" s="45"/>
      <c r="CA70" s="45"/>
      <c r="CB70" s="45"/>
      <c r="CC70" s="45"/>
      <c r="CD70" s="45"/>
      <c r="CE70" s="45"/>
      <c r="CF70" s="45"/>
      <c r="CG70" s="45"/>
      <c r="CH70" s="45"/>
      <c r="CI70" s="45"/>
      <c r="CJ70" s="2"/>
    </row>
    <row r="71" spans="1:88" ht="15">
      <c r="A71" s="61" t="s">
        <v>322</v>
      </c>
      <c r="B71" s="62"/>
      <c r="C71" s="62"/>
      <c r="D71" s="63">
        <v>535</v>
      </c>
      <c r="E71" s="65"/>
      <c r="F71" s="100" t="str">
        <f>HYPERLINK("https://pbs.twimg.com/profile_images/1695093599946330112/zdbtTUXn_normal.jpg")</f>
        <v>https://pbs.twimg.com/profile_images/1695093599946330112/zdbtTUXn_normal.jpg</v>
      </c>
      <c r="G71" s="62"/>
      <c r="H71" s="66" t="s">
        <v>322</v>
      </c>
      <c r="I71" s="67"/>
      <c r="J71" s="67" t="s">
        <v>159</v>
      </c>
      <c r="K71" s="66" t="s">
        <v>2725</v>
      </c>
      <c r="L71" s="70">
        <v>477.0952380952381</v>
      </c>
      <c r="M71" s="71">
        <v>7377.181640625</v>
      </c>
      <c r="N71" s="71">
        <v>7833.89990234375</v>
      </c>
      <c r="O71" s="72"/>
      <c r="P71" s="73"/>
      <c r="Q71" s="73"/>
      <c r="R71" s="86"/>
      <c r="S71" s="45">
        <v>1</v>
      </c>
      <c r="T71" s="45">
        <v>0</v>
      </c>
      <c r="U71" s="46">
        <v>0</v>
      </c>
      <c r="V71" s="46">
        <v>0.314658</v>
      </c>
      <c r="W71" s="46">
        <v>0.025226</v>
      </c>
      <c r="X71" s="46">
        <v>0.002732</v>
      </c>
      <c r="Y71" s="46">
        <v>0</v>
      </c>
      <c r="Z71" s="46">
        <v>0</v>
      </c>
      <c r="AA71" s="68">
        <v>71</v>
      </c>
      <c r="AB71" s="68"/>
      <c r="AC71" s="69"/>
      <c r="AD71" s="76" t="s">
        <v>1316</v>
      </c>
      <c r="AE71" s="80" t="s">
        <v>1625</v>
      </c>
      <c r="AF71" s="76">
        <v>18937</v>
      </c>
      <c r="AG71" s="76">
        <v>288</v>
      </c>
      <c r="AH71" s="76">
        <v>6199</v>
      </c>
      <c r="AI71" s="76">
        <v>121</v>
      </c>
      <c r="AJ71" s="76">
        <v>6534</v>
      </c>
      <c r="AK71" s="76">
        <v>2042</v>
      </c>
      <c r="AL71" s="76" t="b">
        <v>0</v>
      </c>
      <c r="AM71" s="78">
        <v>40724.564571759256</v>
      </c>
      <c r="AN71" s="76" t="s">
        <v>1890</v>
      </c>
      <c r="AO71" s="76" t="s">
        <v>2104</v>
      </c>
      <c r="AP71" s="82" t="str">
        <f>HYPERLINK("https://t.co/cTySe0tej5")</f>
        <v>https://t.co/cTySe0tej5</v>
      </c>
      <c r="AQ71" s="82" t="str">
        <f>HYPERLINK("https://youtube.com/channel/UCxWuRn53aXP7e8K7uj2JYgw")</f>
        <v>https://youtube.com/channel/UCxWuRn53aXP7e8K7uj2JYgw</v>
      </c>
      <c r="AR71" s="76" t="s">
        <v>2393</v>
      </c>
      <c r="AS71" s="76"/>
      <c r="AT71" s="76"/>
      <c r="AU71" s="76"/>
      <c r="AV71" s="76">
        <v>1.69504389725095E+18</v>
      </c>
      <c r="AW71" s="82" t="str">
        <f>HYPERLINK("https://t.co/cTySe0tej5")</f>
        <v>https://t.co/cTySe0tej5</v>
      </c>
      <c r="AX71" s="76" t="b">
        <v>0</v>
      </c>
      <c r="AY71" s="76"/>
      <c r="AZ71" s="76"/>
      <c r="BA71" s="76" t="b">
        <v>0</v>
      </c>
      <c r="BB71" s="76" t="b">
        <v>1</v>
      </c>
      <c r="BC71" s="76" t="b">
        <v>0</v>
      </c>
      <c r="BD71" s="76" t="b">
        <v>0</v>
      </c>
      <c r="BE71" s="76" t="b">
        <v>1</v>
      </c>
      <c r="BF71" s="76" t="b">
        <v>0</v>
      </c>
      <c r="BG71" s="76" t="b">
        <v>0</v>
      </c>
      <c r="BH71" s="82" t="str">
        <f>HYPERLINK("https://pbs.twimg.com/profile_banners/326775563/1492195972")</f>
        <v>https://pbs.twimg.com/profile_banners/326775563/1492195972</v>
      </c>
      <c r="BI71" s="76"/>
      <c r="BJ71" s="76" t="s">
        <v>2656</v>
      </c>
      <c r="BK71" s="76" t="b">
        <v>0</v>
      </c>
      <c r="BL71" s="76"/>
      <c r="BM71" s="76" t="s">
        <v>65</v>
      </c>
      <c r="BN71" s="76" t="s">
        <v>2657</v>
      </c>
      <c r="BO71" s="82" t="str">
        <f>HYPERLINK("https://twitter.com/seguracardio")</f>
        <v>https://twitter.com/seguracardio</v>
      </c>
      <c r="BP71" s="76" t="str">
        <f>REPLACE(INDEX(GroupVertices[Group],MATCH(Vertices[[#This Row],[Vertex]],GroupVertices[Vertex],0)),1,1,"")</f>
        <v>2</v>
      </c>
      <c r="BQ71" s="45"/>
      <c r="BR71" s="46"/>
      <c r="BS71" s="45"/>
      <c r="BT71" s="46"/>
      <c r="BU71" s="45"/>
      <c r="BV71" s="46"/>
      <c r="BW71" s="45"/>
      <c r="BX71" s="46"/>
      <c r="BY71" s="45"/>
      <c r="BZ71" s="45"/>
      <c r="CA71" s="45"/>
      <c r="CB71" s="45"/>
      <c r="CC71" s="45"/>
      <c r="CD71" s="45"/>
      <c r="CE71" s="45"/>
      <c r="CF71" s="45"/>
      <c r="CG71" s="45"/>
      <c r="CH71" s="45"/>
      <c r="CI71" s="45"/>
      <c r="CJ71" s="2"/>
    </row>
    <row r="72" spans="1:88" ht="15">
      <c r="A72" s="61" t="s">
        <v>323</v>
      </c>
      <c r="B72" s="62"/>
      <c r="C72" s="62"/>
      <c r="D72" s="63">
        <v>535</v>
      </c>
      <c r="E72" s="65"/>
      <c r="F72" s="100" t="str">
        <f>HYPERLINK("https://pbs.twimg.com/profile_images/1220394917001932800/nQ6RsP8i_normal.jpg")</f>
        <v>https://pbs.twimg.com/profile_images/1220394917001932800/nQ6RsP8i_normal.jpg</v>
      </c>
      <c r="G72" s="62"/>
      <c r="H72" s="66" t="s">
        <v>323</v>
      </c>
      <c r="I72" s="67"/>
      <c r="J72" s="67" t="s">
        <v>159</v>
      </c>
      <c r="K72" s="66" t="s">
        <v>2726</v>
      </c>
      <c r="L72" s="70">
        <v>477.0952380952381</v>
      </c>
      <c r="M72" s="71">
        <v>7205.00830078125</v>
      </c>
      <c r="N72" s="71">
        <v>8099.9736328125</v>
      </c>
      <c r="O72" s="72"/>
      <c r="P72" s="73"/>
      <c r="Q72" s="73"/>
      <c r="R72" s="86"/>
      <c r="S72" s="45">
        <v>1</v>
      </c>
      <c r="T72" s="45">
        <v>0</v>
      </c>
      <c r="U72" s="46">
        <v>0</v>
      </c>
      <c r="V72" s="46">
        <v>0.314658</v>
      </c>
      <c r="W72" s="46">
        <v>0.025226</v>
      </c>
      <c r="X72" s="46">
        <v>0.002732</v>
      </c>
      <c r="Y72" s="46">
        <v>0</v>
      </c>
      <c r="Z72" s="46">
        <v>0</v>
      </c>
      <c r="AA72" s="68">
        <v>72</v>
      </c>
      <c r="AB72" s="68"/>
      <c r="AC72" s="69"/>
      <c r="AD72" s="76" t="s">
        <v>1317</v>
      </c>
      <c r="AE72" s="80" t="s">
        <v>1626</v>
      </c>
      <c r="AF72" s="76">
        <v>269615</v>
      </c>
      <c r="AG72" s="76">
        <v>916</v>
      </c>
      <c r="AH72" s="76">
        <v>253685</v>
      </c>
      <c r="AI72" s="76">
        <v>940</v>
      </c>
      <c r="AJ72" s="76">
        <v>188945</v>
      </c>
      <c r="AK72" s="76">
        <v>1078</v>
      </c>
      <c r="AL72" s="76" t="b">
        <v>0</v>
      </c>
      <c r="AM72" s="78">
        <v>42930.83765046296</v>
      </c>
      <c r="AN72" s="76" t="s">
        <v>1891</v>
      </c>
      <c r="AO72" s="76" t="s">
        <v>2105</v>
      </c>
      <c r="AP72" s="82" t="str">
        <f>HYPERLINK("https://t.co/Ekb8ZmUoJ6")</f>
        <v>https://t.co/Ekb8ZmUoJ6</v>
      </c>
      <c r="AQ72" s="82" t="str">
        <f>HYPERLINK("https://linktr.ee/academicchatter")</f>
        <v>https://linktr.ee/academicchatter</v>
      </c>
      <c r="AR72" s="76" t="s">
        <v>2394</v>
      </c>
      <c r="AS72" s="76"/>
      <c r="AT72" s="76"/>
      <c r="AU72" s="76"/>
      <c r="AV72" s="76">
        <v>1.51143059056595E+18</v>
      </c>
      <c r="AW72" s="82" t="str">
        <f>HYPERLINK("https://t.co/Ekb8ZmUoJ6")</f>
        <v>https://t.co/Ekb8ZmUoJ6</v>
      </c>
      <c r="AX72" s="76" t="b">
        <v>1</v>
      </c>
      <c r="AY72" s="76"/>
      <c r="AZ72" s="76"/>
      <c r="BA72" s="76" t="b">
        <v>1</v>
      </c>
      <c r="BB72" s="76" t="b">
        <v>1</v>
      </c>
      <c r="BC72" s="76" t="b">
        <v>0</v>
      </c>
      <c r="BD72" s="76" t="b">
        <v>0</v>
      </c>
      <c r="BE72" s="76" t="b">
        <v>1</v>
      </c>
      <c r="BF72" s="76" t="b">
        <v>0</v>
      </c>
      <c r="BG72" s="76" t="b">
        <v>0</v>
      </c>
      <c r="BH72" s="82" t="str">
        <f>HYPERLINK("https://pbs.twimg.com/profile_banners/885953601067208705/1573270186")</f>
        <v>https://pbs.twimg.com/profile_banners/885953601067208705/1573270186</v>
      </c>
      <c r="BI72" s="76"/>
      <c r="BJ72" s="76" t="s">
        <v>2656</v>
      </c>
      <c r="BK72" s="76" t="b">
        <v>0</v>
      </c>
      <c r="BL72" s="76"/>
      <c r="BM72" s="76" t="s">
        <v>65</v>
      </c>
      <c r="BN72" s="76" t="s">
        <v>2657</v>
      </c>
      <c r="BO72" s="82" t="str">
        <f>HYPERLINK("https://twitter.com/academicchatter")</f>
        <v>https://twitter.com/academicchatter</v>
      </c>
      <c r="BP72" s="76" t="str">
        <f>REPLACE(INDEX(GroupVertices[Group],MATCH(Vertices[[#This Row],[Vertex]],GroupVertices[Vertex],0)),1,1,"")</f>
        <v>2</v>
      </c>
      <c r="BQ72" s="45"/>
      <c r="BR72" s="46"/>
      <c r="BS72" s="45"/>
      <c r="BT72" s="46"/>
      <c r="BU72" s="45"/>
      <c r="BV72" s="46"/>
      <c r="BW72" s="45"/>
      <c r="BX72" s="46"/>
      <c r="BY72" s="45"/>
      <c r="BZ72" s="45"/>
      <c r="CA72" s="45"/>
      <c r="CB72" s="45"/>
      <c r="CC72" s="45"/>
      <c r="CD72" s="45"/>
      <c r="CE72" s="45"/>
      <c r="CF72" s="45"/>
      <c r="CG72" s="45"/>
      <c r="CH72" s="45"/>
      <c r="CI72" s="45"/>
      <c r="CJ72" s="2"/>
    </row>
    <row r="73" spans="1:88" ht="15">
      <c r="A73" s="61" t="s">
        <v>324</v>
      </c>
      <c r="B73" s="62"/>
      <c r="C73" s="62"/>
      <c r="D73" s="63">
        <v>535</v>
      </c>
      <c r="E73" s="65"/>
      <c r="F73" s="100" t="str">
        <f>HYPERLINK("https://pbs.twimg.com/profile_images/1357433003673272326/kYgOUBhj_normal.jpg")</f>
        <v>https://pbs.twimg.com/profile_images/1357433003673272326/kYgOUBhj_normal.jpg</v>
      </c>
      <c r="G73" s="62"/>
      <c r="H73" s="66" t="s">
        <v>324</v>
      </c>
      <c r="I73" s="67"/>
      <c r="J73" s="67" t="s">
        <v>159</v>
      </c>
      <c r="K73" s="66" t="s">
        <v>2727</v>
      </c>
      <c r="L73" s="70">
        <v>477.0952380952381</v>
      </c>
      <c r="M73" s="71">
        <v>6472.38818359375</v>
      </c>
      <c r="N73" s="71">
        <v>6241.74560546875</v>
      </c>
      <c r="O73" s="72"/>
      <c r="P73" s="73"/>
      <c r="Q73" s="73"/>
      <c r="R73" s="86"/>
      <c r="S73" s="45">
        <v>1</v>
      </c>
      <c r="T73" s="45">
        <v>0</v>
      </c>
      <c r="U73" s="46">
        <v>0</v>
      </c>
      <c r="V73" s="46">
        <v>0.314658</v>
      </c>
      <c r="W73" s="46">
        <v>0.025226</v>
      </c>
      <c r="X73" s="46">
        <v>0.002732</v>
      </c>
      <c r="Y73" s="46">
        <v>0</v>
      </c>
      <c r="Z73" s="46">
        <v>0</v>
      </c>
      <c r="AA73" s="68">
        <v>73</v>
      </c>
      <c r="AB73" s="68"/>
      <c r="AC73" s="69"/>
      <c r="AD73" s="76" t="s">
        <v>1318</v>
      </c>
      <c r="AE73" s="80" t="s">
        <v>1627</v>
      </c>
      <c r="AF73" s="76">
        <v>67206</v>
      </c>
      <c r="AG73" s="76">
        <v>378</v>
      </c>
      <c r="AH73" s="76">
        <v>2499</v>
      </c>
      <c r="AI73" s="76">
        <v>409</v>
      </c>
      <c r="AJ73" s="76">
        <v>2166</v>
      </c>
      <c r="AK73" s="76">
        <v>1344</v>
      </c>
      <c r="AL73" s="76" t="b">
        <v>0</v>
      </c>
      <c r="AM73" s="78">
        <v>44130.579375</v>
      </c>
      <c r="AN73" s="76" t="s">
        <v>1892</v>
      </c>
      <c r="AO73" s="76" t="s">
        <v>2106</v>
      </c>
      <c r="AP73" s="82" t="str">
        <f>HYPERLINK("https://t.co/8bkVWm8eCg")</f>
        <v>https://t.co/8bkVWm8eCg</v>
      </c>
      <c r="AQ73" s="82" t="str">
        <f>HYPERLINK("https://drasmajabeen.com/")</f>
        <v>https://drasmajabeen.com/</v>
      </c>
      <c r="AR73" s="76" t="s">
        <v>2395</v>
      </c>
      <c r="AS73" s="76"/>
      <c r="AT73" s="76"/>
      <c r="AU73" s="76"/>
      <c r="AV73" s="76"/>
      <c r="AW73" s="82" t="str">
        <f>HYPERLINK("https://t.co/8bkVWm8eCg")</f>
        <v>https://t.co/8bkVWm8eCg</v>
      </c>
      <c r="AX73" s="76" t="b">
        <v>0</v>
      </c>
      <c r="AY73" s="76"/>
      <c r="AZ73" s="76"/>
      <c r="BA73" s="76" t="b">
        <v>0</v>
      </c>
      <c r="BB73" s="76" t="b">
        <v>1</v>
      </c>
      <c r="BC73" s="76" t="b">
        <v>1</v>
      </c>
      <c r="BD73" s="76" t="b">
        <v>0</v>
      </c>
      <c r="BE73" s="76" t="b">
        <v>1</v>
      </c>
      <c r="BF73" s="76" t="b">
        <v>0</v>
      </c>
      <c r="BG73" s="76" t="b">
        <v>0</v>
      </c>
      <c r="BH73" s="82" t="str">
        <f>HYPERLINK("https://pbs.twimg.com/profile_banners/1320725365090824193/1612472259")</f>
        <v>https://pbs.twimg.com/profile_banners/1320725365090824193/1612472259</v>
      </c>
      <c r="BI73" s="76"/>
      <c r="BJ73" s="76" t="s">
        <v>2656</v>
      </c>
      <c r="BK73" s="76" t="b">
        <v>0</v>
      </c>
      <c r="BL73" s="76"/>
      <c r="BM73" s="76" t="s">
        <v>65</v>
      </c>
      <c r="BN73" s="76" t="s">
        <v>2657</v>
      </c>
      <c r="BO73" s="82" t="str">
        <f>HYPERLINK("https://twitter.com/drasmajabeen1")</f>
        <v>https://twitter.com/drasmajabeen1</v>
      </c>
      <c r="BP73" s="76" t="str">
        <f>REPLACE(INDEX(GroupVertices[Group],MATCH(Vertices[[#This Row],[Vertex]],GroupVertices[Vertex],0)),1,1,"")</f>
        <v>2</v>
      </c>
      <c r="BQ73" s="45"/>
      <c r="BR73" s="46"/>
      <c r="BS73" s="45"/>
      <c r="BT73" s="46"/>
      <c r="BU73" s="45"/>
      <c r="BV73" s="46"/>
      <c r="BW73" s="45"/>
      <c r="BX73" s="46"/>
      <c r="BY73" s="45"/>
      <c r="BZ73" s="45"/>
      <c r="CA73" s="45"/>
      <c r="CB73" s="45"/>
      <c r="CC73" s="45"/>
      <c r="CD73" s="45"/>
      <c r="CE73" s="45"/>
      <c r="CF73" s="45"/>
      <c r="CG73" s="45"/>
      <c r="CH73" s="45"/>
      <c r="CI73" s="45"/>
      <c r="CJ73" s="2"/>
    </row>
    <row r="74" spans="1:88" ht="15">
      <c r="A74" s="61" t="s">
        <v>325</v>
      </c>
      <c r="B74" s="62"/>
      <c r="C74" s="62"/>
      <c r="D74" s="63">
        <v>535</v>
      </c>
      <c r="E74" s="65"/>
      <c r="F74" s="100" t="str">
        <f>HYPERLINK("https://pbs.twimg.com/profile_images/1469309116912963588/IBaD3sNq_normal.jpg")</f>
        <v>https://pbs.twimg.com/profile_images/1469309116912963588/IBaD3sNq_normal.jpg</v>
      </c>
      <c r="G74" s="62"/>
      <c r="H74" s="66" t="s">
        <v>325</v>
      </c>
      <c r="I74" s="67"/>
      <c r="J74" s="67" t="s">
        <v>159</v>
      </c>
      <c r="K74" s="66" t="s">
        <v>2728</v>
      </c>
      <c r="L74" s="70">
        <v>477.0952380952381</v>
      </c>
      <c r="M74" s="71">
        <v>2792.56640625</v>
      </c>
      <c r="N74" s="71">
        <v>9671.6572265625</v>
      </c>
      <c r="O74" s="72"/>
      <c r="P74" s="73"/>
      <c r="Q74" s="73"/>
      <c r="R74" s="86"/>
      <c r="S74" s="45">
        <v>1</v>
      </c>
      <c r="T74" s="45">
        <v>0</v>
      </c>
      <c r="U74" s="46">
        <v>0</v>
      </c>
      <c r="V74" s="46">
        <v>0.30765</v>
      </c>
      <c r="W74" s="46">
        <v>0.05663</v>
      </c>
      <c r="X74" s="46">
        <v>0.00275</v>
      </c>
      <c r="Y74" s="46">
        <v>0</v>
      </c>
      <c r="Z74" s="46">
        <v>0</v>
      </c>
      <c r="AA74" s="68">
        <v>74</v>
      </c>
      <c r="AB74" s="68"/>
      <c r="AC74" s="69"/>
      <c r="AD74" s="76" t="s">
        <v>1319</v>
      </c>
      <c r="AE74" s="80" t="s">
        <v>1628</v>
      </c>
      <c r="AF74" s="76">
        <v>11876</v>
      </c>
      <c r="AG74" s="76">
        <v>5111</v>
      </c>
      <c r="AH74" s="76">
        <v>6758</v>
      </c>
      <c r="AI74" s="76">
        <v>36</v>
      </c>
      <c r="AJ74" s="76">
        <v>8054</v>
      </c>
      <c r="AK74" s="76">
        <v>494</v>
      </c>
      <c r="AL74" s="76" t="b">
        <v>0</v>
      </c>
      <c r="AM74" s="78">
        <v>41733.3530787037</v>
      </c>
      <c r="AN74" s="76"/>
      <c r="AO74" s="76" t="s">
        <v>2107</v>
      </c>
      <c r="AP74" s="82" t="str">
        <f>HYPERLINK("https://t.co/rFMXayDoOO")</f>
        <v>https://t.co/rFMXayDoOO</v>
      </c>
      <c r="AQ74" s="82" t="str">
        <f>HYPERLINK("http://www.koneensaatio.fi")</f>
        <v>http://www.koneensaatio.fi</v>
      </c>
      <c r="AR74" s="76" t="s">
        <v>2396</v>
      </c>
      <c r="AS74" s="82" t="str">
        <f>HYPERLINK("https://t.co/InssoMNnW6")</f>
        <v>https://t.co/InssoMNnW6</v>
      </c>
      <c r="AT74" s="82" t="str">
        <f>HYPERLINK("http://koneensaatio.fi")</f>
        <v>http://koneensaatio.fi</v>
      </c>
      <c r="AU74" s="76" t="s">
        <v>2396</v>
      </c>
      <c r="AV74" s="76">
        <v>1.6998341411043E+18</v>
      </c>
      <c r="AW74" s="82" t="str">
        <f>HYPERLINK("https://t.co/rFMXayDoOO")</f>
        <v>https://t.co/rFMXayDoOO</v>
      </c>
      <c r="AX74" s="76" t="b">
        <v>0</v>
      </c>
      <c r="AY74" s="76"/>
      <c r="AZ74" s="76"/>
      <c r="BA74" s="76" t="b">
        <v>0</v>
      </c>
      <c r="BB74" s="76" t="b">
        <v>1</v>
      </c>
      <c r="BC74" s="76" t="b">
        <v>0</v>
      </c>
      <c r="BD74" s="76" t="b">
        <v>0</v>
      </c>
      <c r="BE74" s="76" t="b">
        <v>0</v>
      </c>
      <c r="BF74" s="76" t="b">
        <v>0</v>
      </c>
      <c r="BG74" s="76" t="b">
        <v>0</v>
      </c>
      <c r="BH74" s="82" t="str">
        <f>HYPERLINK("https://pbs.twimg.com/profile_banners/2459427717/1685528024")</f>
        <v>https://pbs.twimg.com/profile_banners/2459427717/1685528024</v>
      </c>
      <c r="BI74" s="76"/>
      <c r="BJ74" s="76" t="s">
        <v>2656</v>
      </c>
      <c r="BK74" s="76" t="b">
        <v>0</v>
      </c>
      <c r="BL74" s="76"/>
      <c r="BM74" s="76" t="s">
        <v>65</v>
      </c>
      <c r="BN74" s="76" t="s">
        <v>2657</v>
      </c>
      <c r="BO74" s="82" t="str">
        <f>HYPERLINK("https://twitter.com/koneensaatio")</f>
        <v>https://twitter.com/koneensaatio</v>
      </c>
      <c r="BP74" s="76" t="str">
        <f>REPLACE(INDEX(GroupVertices[Group],MATCH(Vertices[[#This Row],[Vertex]],GroupVertices[Vertex],0)),1,1,"")</f>
        <v>1</v>
      </c>
      <c r="BQ74" s="45"/>
      <c r="BR74" s="46"/>
      <c r="BS74" s="45"/>
      <c r="BT74" s="46"/>
      <c r="BU74" s="45"/>
      <c r="BV74" s="46"/>
      <c r="BW74" s="45"/>
      <c r="BX74" s="46"/>
      <c r="BY74" s="45"/>
      <c r="BZ74" s="45"/>
      <c r="CA74" s="45"/>
      <c r="CB74" s="45"/>
      <c r="CC74" s="45"/>
      <c r="CD74" s="45"/>
      <c r="CE74" s="45"/>
      <c r="CF74" s="45"/>
      <c r="CG74" s="45"/>
      <c r="CH74" s="45"/>
      <c r="CI74" s="45"/>
      <c r="CJ74" s="2"/>
    </row>
    <row r="75" spans="1:88" ht="15">
      <c r="A75" s="61" t="s">
        <v>326</v>
      </c>
      <c r="B75" s="62"/>
      <c r="C75" s="62"/>
      <c r="D75" s="63">
        <v>535</v>
      </c>
      <c r="E75" s="65"/>
      <c r="F75" s="100" t="str">
        <f>HYPERLINK("https://pbs.twimg.com/profile_images/1165845200280928261/5HAH4jZJ_normal.jpg")</f>
        <v>https://pbs.twimg.com/profile_images/1165845200280928261/5HAH4jZJ_normal.jpg</v>
      </c>
      <c r="G75" s="62"/>
      <c r="H75" s="66" t="s">
        <v>326</v>
      </c>
      <c r="I75" s="67"/>
      <c r="J75" s="67" t="s">
        <v>159</v>
      </c>
      <c r="K75" s="66" t="s">
        <v>2729</v>
      </c>
      <c r="L75" s="70">
        <v>477.0952380952381</v>
      </c>
      <c r="M75" s="71">
        <v>1563.530517578125</v>
      </c>
      <c r="N75" s="71">
        <v>3079.414794921875</v>
      </c>
      <c r="O75" s="72"/>
      <c r="P75" s="73"/>
      <c r="Q75" s="73"/>
      <c r="R75" s="86"/>
      <c r="S75" s="45">
        <v>1</v>
      </c>
      <c r="T75" s="45">
        <v>0</v>
      </c>
      <c r="U75" s="46">
        <v>0</v>
      </c>
      <c r="V75" s="46">
        <v>0.30765</v>
      </c>
      <c r="W75" s="46">
        <v>0.05663</v>
      </c>
      <c r="X75" s="46">
        <v>0.00275</v>
      </c>
      <c r="Y75" s="46">
        <v>0</v>
      </c>
      <c r="Z75" s="46">
        <v>0</v>
      </c>
      <c r="AA75" s="68">
        <v>75</v>
      </c>
      <c r="AB75" s="68"/>
      <c r="AC75" s="69"/>
      <c r="AD75" s="76" t="s">
        <v>1320</v>
      </c>
      <c r="AE75" s="80" t="s">
        <v>1629</v>
      </c>
      <c r="AF75" s="76">
        <v>14946</v>
      </c>
      <c r="AG75" s="76">
        <v>2042</v>
      </c>
      <c r="AH75" s="76">
        <v>8221</v>
      </c>
      <c r="AI75" s="76">
        <v>153</v>
      </c>
      <c r="AJ75" s="76">
        <v>11092</v>
      </c>
      <c r="AK75" s="76">
        <v>1424</v>
      </c>
      <c r="AL75" s="76" t="b">
        <v>0</v>
      </c>
      <c r="AM75" s="78">
        <v>39875.44357638889</v>
      </c>
      <c r="AN75" s="76" t="s">
        <v>1893</v>
      </c>
      <c r="AO75" s="76" t="s">
        <v>2108</v>
      </c>
      <c r="AP75" s="82" t="str">
        <f>HYPERLINK("https://t.co/greRxU4Fva")</f>
        <v>https://t.co/greRxU4Fva</v>
      </c>
      <c r="AQ75" s="82" t="str">
        <f>HYPERLINK("https://www.jyu.fi/fi")</f>
        <v>https://www.jyu.fi/fi</v>
      </c>
      <c r="AR75" s="76" t="s">
        <v>2397</v>
      </c>
      <c r="AS75" s="82" t="str">
        <f>HYPERLINK("https://t.co/yYC3ec0IJp")</f>
        <v>https://t.co/yYC3ec0IJp</v>
      </c>
      <c r="AT75" s="82" t="str">
        <f>HYPERLINK("http://bit.ly/3mUq6Xi")</f>
        <v>http://bit.ly/3mUq6Xi</v>
      </c>
      <c r="AU75" s="76" t="s">
        <v>2622</v>
      </c>
      <c r="AV75" s="76"/>
      <c r="AW75" s="82" t="str">
        <f>HYPERLINK("https://t.co/greRxU4Fva")</f>
        <v>https://t.co/greRxU4Fva</v>
      </c>
      <c r="AX75" s="76" t="b">
        <v>1</v>
      </c>
      <c r="AY75" s="76"/>
      <c r="AZ75" s="76"/>
      <c r="BA75" s="76" t="b">
        <v>0</v>
      </c>
      <c r="BB75" s="76" t="b">
        <v>1</v>
      </c>
      <c r="BC75" s="76" t="b">
        <v>0</v>
      </c>
      <c r="BD75" s="76" t="b">
        <v>0</v>
      </c>
      <c r="BE75" s="76" t="b">
        <v>0</v>
      </c>
      <c r="BF75" s="76" t="b">
        <v>0</v>
      </c>
      <c r="BG75" s="76" t="b">
        <v>0</v>
      </c>
      <c r="BH75" s="82" t="str">
        <f>HYPERLINK("https://pbs.twimg.com/profile_banners/22609121/1683701711")</f>
        <v>https://pbs.twimg.com/profile_banners/22609121/1683701711</v>
      </c>
      <c r="BI75" s="76"/>
      <c r="BJ75" s="76" t="s">
        <v>2656</v>
      </c>
      <c r="BK75" s="76" t="b">
        <v>0</v>
      </c>
      <c r="BL75" s="76"/>
      <c r="BM75" s="76" t="s">
        <v>65</v>
      </c>
      <c r="BN75" s="76" t="s">
        <v>2657</v>
      </c>
      <c r="BO75" s="82" t="str">
        <f>HYPERLINK("https://twitter.com/uniofjyvaskyla")</f>
        <v>https://twitter.com/uniofjyvaskyla</v>
      </c>
      <c r="BP75" s="76" t="str">
        <f>REPLACE(INDEX(GroupVertices[Group],MATCH(Vertices[[#This Row],[Vertex]],GroupVertices[Vertex],0)),1,1,"")</f>
        <v>1</v>
      </c>
      <c r="BQ75" s="45"/>
      <c r="BR75" s="46"/>
      <c r="BS75" s="45"/>
      <c r="BT75" s="46"/>
      <c r="BU75" s="45"/>
      <c r="BV75" s="46"/>
      <c r="BW75" s="45"/>
      <c r="BX75" s="46"/>
      <c r="BY75" s="45"/>
      <c r="BZ75" s="45"/>
      <c r="CA75" s="45"/>
      <c r="CB75" s="45"/>
      <c r="CC75" s="45"/>
      <c r="CD75" s="45"/>
      <c r="CE75" s="45"/>
      <c r="CF75" s="45"/>
      <c r="CG75" s="45"/>
      <c r="CH75" s="45"/>
      <c r="CI75" s="45"/>
      <c r="CJ75" s="2"/>
    </row>
    <row r="76" spans="1:88" ht="15">
      <c r="A76" s="61" t="s">
        <v>327</v>
      </c>
      <c r="B76" s="62"/>
      <c r="C76" s="62"/>
      <c r="D76" s="63">
        <v>535</v>
      </c>
      <c r="E76" s="65"/>
      <c r="F76" s="100" t="str">
        <f>HYPERLINK("https://pbs.twimg.com/profile_images/1688463886645690368/k1uVlCRR_normal.png")</f>
        <v>https://pbs.twimg.com/profile_images/1688463886645690368/k1uVlCRR_normal.png</v>
      </c>
      <c r="G76" s="62"/>
      <c r="H76" s="66" t="s">
        <v>327</v>
      </c>
      <c r="I76" s="67"/>
      <c r="J76" s="67" t="s">
        <v>159</v>
      </c>
      <c r="K76" s="66" t="s">
        <v>2730</v>
      </c>
      <c r="L76" s="70">
        <v>477.0952380952381</v>
      </c>
      <c r="M76" s="71">
        <v>3177.18408203125</v>
      </c>
      <c r="N76" s="71">
        <v>8667.2451171875</v>
      </c>
      <c r="O76" s="72"/>
      <c r="P76" s="73"/>
      <c r="Q76" s="73"/>
      <c r="R76" s="86"/>
      <c r="S76" s="45">
        <v>1</v>
      </c>
      <c r="T76" s="45">
        <v>0</v>
      </c>
      <c r="U76" s="46">
        <v>0</v>
      </c>
      <c r="V76" s="46">
        <v>0.30765</v>
      </c>
      <c r="W76" s="46">
        <v>0.05663</v>
      </c>
      <c r="X76" s="46">
        <v>0.00275</v>
      </c>
      <c r="Y76" s="46">
        <v>0</v>
      </c>
      <c r="Z76" s="46">
        <v>0</v>
      </c>
      <c r="AA76" s="68">
        <v>76</v>
      </c>
      <c r="AB76" s="68"/>
      <c r="AC76" s="69"/>
      <c r="AD76" s="76" t="s">
        <v>1321</v>
      </c>
      <c r="AE76" s="80" t="s">
        <v>1630</v>
      </c>
      <c r="AF76" s="76">
        <v>13961</v>
      </c>
      <c r="AG76" s="76">
        <v>1360</v>
      </c>
      <c r="AH76" s="76">
        <v>11630</v>
      </c>
      <c r="AI76" s="76">
        <v>149</v>
      </c>
      <c r="AJ76" s="76">
        <v>8911</v>
      </c>
      <c r="AK76" s="76">
        <v>2023</v>
      </c>
      <c r="AL76" s="76" t="b">
        <v>0</v>
      </c>
      <c r="AM76" s="78">
        <v>41516.42989583333</v>
      </c>
      <c r="AN76" s="76" t="s">
        <v>1894</v>
      </c>
      <c r="AO76" s="76" t="s">
        <v>2109</v>
      </c>
      <c r="AP76" s="82" t="str">
        <f>HYPERLINK("https://t.co/yuc28BG0Fd")</f>
        <v>https://t.co/yuc28BG0Fd</v>
      </c>
      <c r="AQ76" s="82" t="str">
        <f>HYPERLINK("http://www.oulu.fi")</f>
        <v>http://www.oulu.fi</v>
      </c>
      <c r="AR76" s="76" t="s">
        <v>2398</v>
      </c>
      <c r="AS76" s="76"/>
      <c r="AT76" s="76"/>
      <c r="AU76" s="76"/>
      <c r="AV76" s="76"/>
      <c r="AW76" s="82" t="str">
        <f>HYPERLINK("https://t.co/yuc28BG0Fd")</f>
        <v>https://t.co/yuc28BG0Fd</v>
      </c>
      <c r="AX76" s="76" t="b">
        <v>0</v>
      </c>
      <c r="AY76" s="76"/>
      <c r="AZ76" s="76"/>
      <c r="BA76" s="76" t="b">
        <v>0</v>
      </c>
      <c r="BB76" s="76" t="b">
        <v>1</v>
      </c>
      <c r="BC76" s="76" t="b">
        <v>0</v>
      </c>
      <c r="BD76" s="76" t="b">
        <v>0</v>
      </c>
      <c r="BE76" s="76" t="b">
        <v>1</v>
      </c>
      <c r="BF76" s="76" t="b">
        <v>0</v>
      </c>
      <c r="BG76" s="76" t="b">
        <v>0</v>
      </c>
      <c r="BH76" s="82" t="str">
        <f>HYPERLINK("https://pbs.twimg.com/profile_banners/1712383135/1628509725")</f>
        <v>https://pbs.twimg.com/profile_banners/1712383135/1628509725</v>
      </c>
      <c r="BI76" s="76"/>
      <c r="BJ76" s="76" t="s">
        <v>2656</v>
      </c>
      <c r="BK76" s="76" t="b">
        <v>0</v>
      </c>
      <c r="BL76" s="76"/>
      <c r="BM76" s="76" t="s">
        <v>65</v>
      </c>
      <c r="BN76" s="76" t="s">
        <v>2657</v>
      </c>
      <c r="BO76" s="82" t="str">
        <f>HYPERLINK("https://twitter.com/unioulu")</f>
        <v>https://twitter.com/unioulu</v>
      </c>
      <c r="BP76" s="76" t="str">
        <f>REPLACE(INDEX(GroupVertices[Group],MATCH(Vertices[[#This Row],[Vertex]],GroupVertices[Vertex],0)),1,1,"")</f>
        <v>1</v>
      </c>
      <c r="BQ76" s="45"/>
      <c r="BR76" s="46"/>
      <c r="BS76" s="45"/>
      <c r="BT76" s="46"/>
      <c r="BU76" s="45"/>
      <c r="BV76" s="46"/>
      <c r="BW76" s="45"/>
      <c r="BX76" s="46"/>
      <c r="BY76" s="45"/>
      <c r="BZ76" s="45"/>
      <c r="CA76" s="45"/>
      <c r="CB76" s="45"/>
      <c r="CC76" s="45"/>
      <c r="CD76" s="45"/>
      <c r="CE76" s="45"/>
      <c r="CF76" s="45"/>
      <c r="CG76" s="45"/>
      <c r="CH76" s="45"/>
      <c r="CI76" s="45"/>
      <c r="CJ76" s="2"/>
    </row>
    <row r="77" spans="1:88" ht="15">
      <c r="A77" s="61" t="s">
        <v>328</v>
      </c>
      <c r="B77" s="62"/>
      <c r="C77" s="62"/>
      <c r="D77" s="63">
        <v>535</v>
      </c>
      <c r="E77" s="65"/>
      <c r="F77" s="100" t="str">
        <f>HYPERLINK("https://pbs.twimg.com/profile_images/1055687347621322752/3Y8m5XDn_normal.jpg")</f>
        <v>https://pbs.twimg.com/profile_images/1055687347621322752/3Y8m5XDn_normal.jpg</v>
      </c>
      <c r="G77" s="62"/>
      <c r="H77" s="66" t="s">
        <v>328</v>
      </c>
      <c r="I77" s="67"/>
      <c r="J77" s="67" t="s">
        <v>159</v>
      </c>
      <c r="K77" s="66" t="s">
        <v>2731</v>
      </c>
      <c r="L77" s="70">
        <v>477.0952380952381</v>
      </c>
      <c r="M77" s="71">
        <v>2321.15576171875</v>
      </c>
      <c r="N77" s="71">
        <v>3510.588623046875</v>
      </c>
      <c r="O77" s="72"/>
      <c r="P77" s="73"/>
      <c r="Q77" s="73"/>
      <c r="R77" s="86"/>
      <c r="S77" s="45">
        <v>1</v>
      </c>
      <c r="T77" s="45">
        <v>0</v>
      </c>
      <c r="U77" s="46">
        <v>0</v>
      </c>
      <c r="V77" s="46">
        <v>0.30765</v>
      </c>
      <c r="W77" s="46">
        <v>0.05663</v>
      </c>
      <c r="X77" s="46">
        <v>0.00275</v>
      </c>
      <c r="Y77" s="46">
        <v>0</v>
      </c>
      <c r="Z77" s="46">
        <v>0</v>
      </c>
      <c r="AA77" s="68">
        <v>77</v>
      </c>
      <c r="AB77" s="68"/>
      <c r="AC77" s="69"/>
      <c r="AD77" s="76" t="s">
        <v>1322</v>
      </c>
      <c r="AE77" s="80" t="s">
        <v>1631</v>
      </c>
      <c r="AF77" s="76">
        <v>20434</v>
      </c>
      <c r="AG77" s="76">
        <v>1140</v>
      </c>
      <c r="AH77" s="76">
        <v>9628</v>
      </c>
      <c r="AI77" s="76">
        <v>159</v>
      </c>
      <c r="AJ77" s="76">
        <v>18884</v>
      </c>
      <c r="AK77" s="76">
        <v>925</v>
      </c>
      <c r="AL77" s="76" t="b">
        <v>0</v>
      </c>
      <c r="AM77" s="78">
        <v>40192.41570601852</v>
      </c>
      <c r="AN77" s="76" t="s">
        <v>1853</v>
      </c>
      <c r="AO77" s="76" t="s">
        <v>2110</v>
      </c>
      <c r="AP77" s="82" t="str">
        <f>HYPERLINK("https://t.co/0oVYHFOEXJ")</f>
        <v>https://t.co/0oVYHFOEXJ</v>
      </c>
      <c r="AQ77" s="82" t="str">
        <f>HYPERLINK("http://www.tuni.fi")</f>
        <v>http://www.tuni.fi</v>
      </c>
      <c r="AR77" s="76" t="s">
        <v>2399</v>
      </c>
      <c r="AS77" s="76"/>
      <c r="AT77" s="76"/>
      <c r="AU77" s="76"/>
      <c r="AV77" s="76"/>
      <c r="AW77" s="82" t="str">
        <f>HYPERLINK("https://t.co/0oVYHFOEXJ")</f>
        <v>https://t.co/0oVYHFOEXJ</v>
      </c>
      <c r="AX77" s="76" t="b">
        <v>0</v>
      </c>
      <c r="AY77" s="76"/>
      <c r="AZ77" s="76"/>
      <c r="BA77" s="76" t="b">
        <v>1</v>
      </c>
      <c r="BB77" s="76" t="b">
        <v>1</v>
      </c>
      <c r="BC77" s="76" t="b">
        <v>0</v>
      </c>
      <c r="BD77" s="76" t="b">
        <v>0</v>
      </c>
      <c r="BE77" s="76" t="b">
        <v>1</v>
      </c>
      <c r="BF77" s="76" t="b">
        <v>0</v>
      </c>
      <c r="BG77" s="76" t="b">
        <v>0</v>
      </c>
      <c r="BH77" s="82" t="str">
        <f>HYPERLINK("https://pbs.twimg.com/profile_banners/104768601/1680242039")</f>
        <v>https://pbs.twimg.com/profile_banners/104768601/1680242039</v>
      </c>
      <c r="BI77" s="76"/>
      <c r="BJ77" s="76" t="s">
        <v>2656</v>
      </c>
      <c r="BK77" s="76" t="b">
        <v>0</v>
      </c>
      <c r="BL77" s="76"/>
      <c r="BM77" s="76" t="s">
        <v>65</v>
      </c>
      <c r="BN77" s="76" t="s">
        <v>2657</v>
      </c>
      <c r="BO77" s="82" t="str">
        <f>HYPERLINK("https://twitter.com/tampereuni")</f>
        <v>https://twitter.com/tampereuni</v>
      </c>
      <c r="BP77" s="76" t="str">
        <f>REPLACE(INDEX(GroupVertices[Group],MATCH(Vertices[[#This Row],[Vertex]],GroupVertices[Vertex],0)),1,1,"")</f>
        <v>1</v>
      </c>
      <c r="BQ77" s="45"/>
      <c r="BR77" s="46"/>
      <c r="BS77" s="45"/>
      <c r="BT77" s="46"/>
      <c r="BU77" s="45"/>
      <c r="BV77" s="46"/>
      <c r="BW77" s="45"/>
      <c r="BX77" s="46"/>
      <c r="BY77" s="45"/>
      <c r="BZ77" s="45"/>
      <c r="CA77" s="45"/>
      <c r="CB77" s="45"/>
      <c r="CC77" s="45"/>
      <c r="CD77" s="45"/>
      <c r="CE77" s="45"/>
      <c r="CF77" s="45"/>
      <c r="CG77" s="45"/>
      <c r="CH77" s="45"/>
      <c r="CI77" s="45"/>
      <c r="CJ77" s="2"/>
    </row>
    <row r="78" spans="1:88" ht="15">
      <c r="A78" s="61" t="s">
        <v>329</v>
      </c>
      <c r="B78" s="62"/>
      <c r="C78" s="62"/>
      <c r="D78" s="63">
        <v>535</v>
      </c>
      <c r="E78" s="65"/>
      <c r="F78" s="100" t="str">
        <f>HYPERLINK("https://pbs.twimg.com/profile_images/1165862403189465088/Fur4iu1t_normal.jpg")</f>
        <v>https://pbs.twimg.com/profile_images/1165862403189465088/Fur4iu1t_normal.jpg</v>
      </c>
      <c r="G78" s="62"/>
      <c r="H78" s="66" t="s">
        <v>329</v>
      </c>
      <c r="I78" s="67"/>
      <c r="J78" s="67" t="s">
        <v>159</v>
      </c>
      <c r="K78" s="66" t="s">
        <v>2732</v>
      </c>
      <c r="L78" s="70">
        <v>477.0952380952381</v>
      </c>
      <c r="M78" s="71">
        <v>3693.207275390625</v>
      </c>
      <c r="N78" s="71">
        <v>7526.52734375</v>
      </c>
      <c r="O78" s="72"/>
      <c r="P78" s="73"/>
      <c r="Q78" s="73"/>
      <c r="R78" s="86"/>
      <c r="S78" s="45">
        <v>1</v>
      </c>
      <c r="T78" s="45">
        <v>0</v>
      </c>
      <c r="U78" s="46">
        <v>0</v>
      </c>
      <c r="V78" s="46">
        <v>0.30765</v>
      </c>
      <c r="W78" s="46">
        <v>0.05663</v>
      </c>
      <c r="X78" s="46">
        <v>0.00275</v>
      </c>
      <c r="Y78" s="46">
        <v>0</v>
      </c>
      <c r="Z78" s="46">
        <v>0</v>
      </c>
      <c r="AA78" s="68">
        <v>78</v>
      </c>
      <c r="AB78" s="68"/>
      <c r="AC78" s="69"/>
      <c r="AD78" s="76" t="s">
        <v>1323</v>
      </c>
      <c r="AE78" s="80" t="s">
        <v>1632</v>
      </c>
      <c r="AF78" s="76">
        <v>21242</v>
      </c>
      <c r="AG78" s="76">
        <v>1445</v>
      </c>
      <c r="AH78" s="76">
        <v>16427</v>
      </c>
      <c r="AI78" s="76">
        <v>195</v>
      </c>
      <c r="AJ78" s="76">
        <v>24647</v>
      </c>
      <c r="AK78" s="76">
        <v>1863</v>
      </c>
      <c r="AL78" s="76" t="b">
        <v>0</v>
      </c>
      <c r="AM78" s="78">
        <v>40428.491736111115</v>
      </c>
      <c r="AN78" s="76" t="s">
        <v>1895</v>
      </c>
      <c r="AO78" s="76" t="s">
        <v>2111</v>
      </c>
      <c r="AP78" s="82" t="str">
        <f>HYPERLINK("https://t.co/X9JBO9KcCG")</f>
        <v>https://t.co/X9JBO9KcCG</v>
      </c>
      <c r="AQ78" s="82" t="str">
        <f>HYPERLINK("https://utu.fi")</f>
        <v>https://utu.fi</v>
      </c>
      <c r="AR78" s="76" t="s">
        <v>2400</v>
      </c>
      <c r="AS78" s="76"/>
      <c r="AT78" s="76"/>
      <c r="AU78" s="76"/>
      <c r="AV78" s="76">
        <v>1.35653169399851E+18</v>
      </c>
      <c r="AW78" s="82" t="str">
        <f>HYPERLINK("https://t.co/X9JBO9KcCG")</f>
        <v>https://t.co/X9JBO9KcCG</v>
      </c>
      <c r="AX78" s="76" t="b">
        <v>0</v>
      </c>
      <c r="AY78" s="76"/>
      <c r="AZ78" s="76"/>
      <c r="BA78" s="76" t="b">
        <v>0</v>
      </c>
      <c r="BB78" s="76" t="b">
        <v>1</v>
      </c>
      <c r="BC78" s="76" t="b">
        <v>0</v>
      </c>
      <c r="BD78" s="76" t="b">
        <v>0</v>
      </c>
      <c r="BE78" s="76" t="b">
        <v>0</v>
      </c>
      <c r="BF78" s="76" t="b">
        <v>0</v>
      </c>
      <c r="BG78" s="76" t="b">
        <v>0</v>
      </c>
      <c r="BH78" s="82" t="str">
        <f>HYPERLINK("https://pbs.twimg.com/profile_banners/187880099/1623843205")</f>
        <v>https://pbs.twimg.com/profile_banners/187880099/1623843205</v>
      </c>
      <c r="BI78" s="76"/>
      <c r="BJ78" s="76" t="s">
        <v>2656</v>
      </c>
      <c r="BK78" s="76" t="b">
        <v>0</v>
      </c>
      <c r="BL78" s="76"/>
      <c r="BM78" s="76" t="s">
        <v>65</v>
      </c>
      <c r="BN78" s="76" t="s">
        <v>2657</v>
      </c>
      <c r="BO78" s="82" t="str">
        <f>HYPERLINK("https://twitter.com/uniturku")</f>
        <v>https://twitter.com/uniturku</v>
      </c>
      <c r="BP78" s="76" t="str">
        <f>REPLACE(INDEX(GroupVertices[Group],MATCH(Vertices[[#This Row],[Vertex]],GroupVertices[Vertex],0)),1,1,"")</f>
        <v>1</v>
      </c>
      <c r="BQ78" s="45"/>
      <c r="BR78" s="46"/>
      <c r="BS78" s="45"/>
      <c r="BT78" s="46"/>
      <c r="BU78" s="45"/>
      <c r="BV78" s="46"/>
      <c r="BW78" s="45"/>
      <c r="BX78" s="46"/>
      <c r="BY78" s="45"/>
      <c r="BZ78" s="45"/>
      <c r="CA78" s="45"/>
      <c r="CB78" s="45"/>
      <c r="CC78" s="45"/>
      <c r="CD78" s="45"/>
      <c r="CE78" s="45"/>
      <c r="CF78" s="45"/>
      <c r="CG78" s="45"/>
      <c r="CH78" s="45"/>
      <c r="CI78" s="45"/>
      <c r="CJ78" s="2"/>
    </row>
    <row r="79" spans="1:88" ht="15">
      <c r="A79" s="61" t="s">
        <v>330</v>
      </c>
      <c r="B79" s="62"/>
      <c r="C79" s="62"/>
      <c r="D79" s="63">
        <v>535</v>
      </c>
      <c r="E79" s="65"/>
      <c r="F79" s="100" t="str">
        <f>HYPERLINK("https://pbs.twimg.com/profile_images/1647928094282448896/oWnWWAST_normal.png")</f>
        <v>https://pbs.twimg.com/profile_images/1647928094282448896/oWnWWAST_normal.png</v>
      </c>
      <c r="G79" s="62"/>
      <c r="H79" s="66" t="s">
        <v>330</v>
      </c>
      <c r="I79" s="67"/>
      <c r="J79" s="67" t="s">
        <v>159</v>
      </c>
      <c r="K79" s="66" t="s">
        <v>2733</v>
      </c>
      <c r="L79" s="70">
        <v>477.0952380952381</v>
      </c>
      <c r="M79" s="71">
        <v>363.6624450683594</v>
      </c>
      <c r="N79" s="71">
        <v>4682.9921875</v>
      </c>
      <c r="O79" s="72"/>
      <c r="P79" s="73"/>
      <c r="Q79" s="73"/>
      <c r="R79" s="86"/>
      <c r="S79" s="45">
        <v>1</v>
      </c>
      <c r="T79" s="45">
        <v>0</v>
      </c>
      <c r="U79" s="46">
        <v>0</v>
      </c>
      <c r="V79" s="46">
        <v>0.30765</v>
      </c>
      <c r="W79" s="46">
        <v>0.05663</v>
      </c>
      <c r="X79" s="46">
        <v>0.00275</v>
      </c>
      <c r="Y79" s="46">
        <v>0</v>
      </c>
      <c r="Z79" s="46">
        <v>0</v>
      </c>
      <c r="AA79" s="68">
        <v>79</v>
      </c>
      <c r="AB79" s="68"/>
      <c r="AC79" s="69"/>
      <c r="AD79" s="76" t="s">
        <v>1324</v>
      </c>
      <c r="AE79" s="80" t="s">
        <v>1633</v>
      </c>
      <c r="AF79" s="76">
        <v>13148</v>
      </c>
      <c r="AG79" s="76">
        <v>1502</v>
      </c>
      <c r="AH79" s="76">
        <v>16492</v>
      </c>
      <c r="AI79" s="76">
        <v>162</v>
      </c>
      <c r="AJ79" s="76">
        <v>12855</v>
      </c>
      <c r="AK79" s="76">
        <v>1721</v>
      </c>
      <c r="AL79" s="76" t="b">
        <v>0</v>
      </c>
      <c r="AM79" s="78">
        <v>41667.24649305556</v>
      </c>
      <c r="AN79" s="76" t="s">
        <v>1896</v>
      </c>
      <c r="AO79" s="76" t="s">
        <v>2112</v>
      </c>
      <c r="AP79" s="82" t="str">
        <f>HYPERLINK("https://t.co/dpPBDQW5tG")</f>
        <v>https://t.co/dpPBDQW5tG</v>
      </c>
      <c r="AQ79" s="82" t="str">
        <f>HYPERLINK("http://www.uef.fi")</f>
        <v>http://www.uef.fi</v>
      </c>
      <c r="AR79" s="76" t="s">
        <v>2401</v>
      </c>
      <c r="AS79" s="76"/>
      <c r="AT79" s="76"/>
      <c r="AU79" s="76"/>
      <c r="AV79" s="76"/>
      <c r="AW79" s="82" t="str">
        <f>HYPERLINK("https://t.co/dpPBDQW5tG")</f>
        <v>https://t.co/dpPBDQW5tG</v>
      </c>
      <c r="AX79" s="76" t="b">
        <v>0</v>
      </c>
      <c r="AY79" s="76"/>
      <c r="AZ79" s="76"/>
      <c r="BA79" s="76" t="b">
        <v>0</v>
      </c>
      <c r="BB79" s="76" t="b">
        <v>1</v>
      </c>
      <c r="BC79" s="76" t="b">
        <v>0</v>
      </c>
      <c r="BD79" s="76" t="b">
        <v>0</v>
      </c>
      <c r="BE79" s="76" t="b">
        <v>1</v>
      </c>
      <c r="BF79" s="76" t="b">
        <v>0</v>
      </c>
      <c r="BG79" s="76" t="b">
        <v>0</v>
      </c>
      <c r="BH79" s="82" t="str">
        <f>HYPERLINK("https://pbs.twimg.com/profile_banners/2314947078/1660565832")</f>
        <v>https://pbs.twimg.com/profile_banners/2314947078/1660565832</v>
      </c>
      <c r="BI79" s="76"/>
      <c r="BJ79" s="76" t="s">
        <v>2656</v>
      </c>
      <c r="BK79" s="76" t="b">
        <v>0</v>
      </c>
      <c r="BL79" s="76"/>
      <c r="BM79" s="76" t="s">
        <v>65</v>
      </c>
      <c r="BN79" s="76" t="s">
        <v>2657</v>
      </c>
      <c r="BO79" s="82" t="str">
        <f>HYPERLINK("https://twitter.com/unieastfinland")</f>
        <v>https://twitter.com/unieastfinland</v>
      </c>
      <c r="BP79" s="76" t="str">
        <f>REPLACE(INDEX(GroupVertices[Group],MATCH(Vertices[[#This Row],[Vertex]],GroupVertices[Vertex],0)),1,1,"")</f>
        <v>1</v>
      </c>
      <c r="BQ79" s="45"/>
      <c r="BR79" s="46"/>
      <c r="BS79" s="45"/>
      <c r="BT79" s="46"/>
      <c r="BU79" s="45"/>
      <c r="BV79" s="46"/>
      <c r="BW79" s="45"/>
      <c r="BX79" s="46"/>
      <c r="BY79" s="45"/>
      <c r="BZ79" s="45"/>
      <c r="CA79" s="45"/>
      <c r="CB79" s="45"/>
      <c r="CC79" s="45"/>
      <c r="CD79" s="45"/>
      <c r="CE79" s="45"/>
      <c r="CF79" s="45"/>
      <c r="CG79" s="45"/>
      <c r="CH79" s="45"/>
      <c r="CI79" s="45"/>
      <c r="CJ79" s="2"/>
    </row>
    <row r="80" spans="1:88" ht="15">
      <c r="A80" s="61" t="s">
        <v>331</v>
      </c>
      <c r="B80" s="62"/>
      <c r="C80" s="62"/>
      <c r="D80" s="63">
        <v>535</v>
      </c>
      <c r="E80" s="65"/>
      <c r="F80" s="100" t="str">
        <f>HYPERLINK("https://pbs.twimg.com/profile_images/1658013140976652288/wUGvPGbS_normal.jpg")</f>
        <v>https://pbs.twimg.com/profile_images/1658013140976652288/wUGvPGbS_normal.jpg</v>
      </c>
      <c r="G80" s="62"/>
      <c r="H80" s="66" t="s">
        <v>331</v>
      </c>
      <c r="I80" s="67"/>
      <c r="J80" s="67" t="s">
        <v>159</v>
      </c>
      <c r="K80" s="66" t="s">
        <v>2734</v>
      </c>
      <c r="L80" s="70">
        <v>477.0952380952381</v>
      </c>
      <c r="M80" s="71">
        <v>732.9898071289062</v>
      </c>
      <c r="N80" s="71">
        <v>8001.8544921875</v>
      </c>
      <c r="O80" s="72"/>
      <c r="P80" s="73"/>
      <c r="Q80" s="73"/>
      <c r="R80" s="86"/>
      <c r="S80" s="45">
        <v>1</v>
      </c>
      <c r="T80" s="45">
        <v>0</v>
      </c>
      <c r="U80" s="46">
        <v>0</v>
      </c>
      <c r="V80" s="46">
        <v>0.30765</v>
      </c>
      <c r="W80" s="46">
        <v>0.05663</v>
      </c>
      <c r="X80" s="46">
        <v>0.00275</v>
      </c>
      <c r="Y80" s="46">
        <v>0</v>
      </c>
      <c r="Z80" s="46">
        <v>0</v>
      </c>
      <c r="AA80" s="68">
        <v>80</v>
      </c>
      <c r="AB80" s="68"/>
      <c r="AC80" s="69"/>
      <c r="AD80" s="76" t="s">
        <v>1325</v>
      </c>
      <c r="AE80" s="80" t="s">
        <v>1634</v>
      </c>
      <c r="AF80" s="76">
        <v>21589</v>
      </c>
      <c r="AG80" s="76">
        <v>3792</v>
      </c>
      <c r="AH80" s="76">
        <v>13152</v>
      </c>
      <c r="AI80" s="76">
        <v>134</v>
      </c>
      <c r="AJ80" s="76">
        <v>13576</v>
      </c>
      <c r="AK80" s="76">
        <v>2548</v>
      </c>
      <c r="AL80" s="76" t="b">
        <v>0</v>
      </c>
      <c r="AM80" s="78">
        <v>40315.45103009259</v>
      </c>
      <c r="AN80" s="76" t="s">
        <v>1897</v>
      </c>
      <c r="AO80" s="76" t="s">
        <v>2113</v>
      </c>
      <c r="AP80" s="82" t="str">
        <f>HYPERLINK("https://t.co/WZrok0l61x")</f>
        <v>https://t.co/WZrok0l61x</v>
      </c>
      <c r="AQ80" s="82" t="str">
        <f>HYPERLINK("http://www.aka.fi")</f>
        <v>http://www.aka.fi</v>
      </c>
      <c r="AR80" s="76" t="s">
        <v>2402</v>
      </c>
      <c r="AS80" s="82" t="str">
        <f>HYPERLINK("https://t.co/NxGMevoGC3")</f>
        <v>https://t.co/NxGMevoGC3</v>
      </c>
      <c r="AT80" s="82" t="str">
        <f>HYPERLINK("http://aka.fi/kysy")</f>
        <v>http://aka.fi/kysy</v>
      </c>
      <c r="AU80" s="76" t="s">
        <v>2623</v>
      </c>
      <c r="AV80" s="76">
        <v>1.69680506332955E+18</v>
      </c>
      <c r="AW80" s="82" t="str">
        <f>HYPERLINK("https://t.co/WZrok0l61x")</f>
        <v>https://t.co/WZrok0l61x</v>
      </c>
      <c r="AX80" s="76" t="b">
        <v>0</v>
      </c>
      <c r="AY80" s="76"/>
      <c r="AZ80" s="76"/>
      <c r="BA80" s="76" t="b">
        <v>1</v>
      </c>
      <c r="BB80" s="76" t="b">
        <v>1</v>
      </c>
      <c r="BC80" s="76" t="b">
        <v>0</v>
      </c>
      <c r="BD80" s="76" t="b">
        <v>0</v>
      </c>
      <c r="BE80" s="76" t="b">
        <v>1</v>
      </c>
      <c r="BF80" s="76" t="b">
        <v>0</v>
      </c>
      <c r="BG80" s="76" t="b">
        <v>0</v>
      </c>
      <c r="BH80" s="82" t="str">
        <f>HYPERLINK("https://pbs.twimg.com/profile_banners/144809872/1683120783")</f>
        <v>https://pbs.twimg.com/profile_banners/144809872/1683120783</v>
      </c>
      <c r="BI80" s="76"/>
      <c r="BJ80" s="76" t="s">
        <v>2656</v>
      </c>
      <c r="BK80" s="76" t="b">
        <v>0</v>
      </c>
      <c r="BL80" s="76"/>
      <c r="BM80" s="76" t="s">
        <v>65</v>
      </c>
      <c r="BN80" s="76" t="s">
        <v>2657</v>
      </c>
      <c r="BO80" s="82" t="str">
        <f>HYPERLINK("https://twitter.com/suomenakatemia")</f>
        <v>https://twitter.com/suomenakatemia</v>
      </c>
      <c r="BP80" s="76" t="str">
        <f>REPLACE(INDEX(GroupVertices[Group],MATCH(Vertices[[#This Row],[Vertex]],GroupVertices[Vertex],0)),1,1,"")</f>
        <v>1</v>
      </c>
      <c r="BQ80" s="45"/>
      <c r="BR80" s="46"/>
      <c r="BS80" s="45"/>
      <c r="BT80" s="46"/>
      <c r="BU80" s="45"/>
      <c r="BV80" s="46"/>
      <c r="BW80" s="45"/>
      <c r="BX80" s="46"/>
      <c r="BY80" s="45"/>
      <c r="BZ80" s="45"/>
      <c r="CA80" s="45"/>
      <c r="CB80" s="45"/>
      <c r="CC80" s="45"/>
      <c r="CD80" s="45"/>
      <c r="CE80" s="45"/>
      <c r="CF80" s="45"/>
      <c r="CG80" s="45"/>
      <c r="CH80" s="45"/>
      <c r="CI80" s="45"/>
      <c r="CJ80" s="2"/>
    </row>
    <row r="81" spans="1:88" ht="15">
      <c r="A81" s="61" t="s">
        <v>332</v>
      </c>
      <c r="B81" s="62"/>
      <c r="C81" s="62"/>
      <c r="D81" s="63">
        <v>535</v>
      </c>
      <c r="E81" s="65"/>
      <c r="F81" s="100" t="str">
        <f>HYPERLINK("https://pbs.twimg.com/profile_images/667425659451539457/dvTNNBn6_normal.jpg")</f>
        <v>https://pbs.twimg.com/profile_images/667425659451539457/dvTNNBn6_normal.jpg</v>
      </c>
      <c r="G81" s="62"/>
      <c r="H81" s="66" t="s">
        <v>332</v>
      </c>
      <c r="I81" s="67"/>
      <c r="J81" s="67" t="s">
        <v>159</v>
      </c>
      <c r="K81" s="66" t="s">
        <v>2735</v>
      </c>
      <c r="L81" s="70">
        <v>477.0952380952381</v>
      </c>
      <c r="M81" s="71">
        <v>3764.64990234375</v>
      </c>
      <c r="N81" s="71">
        <v>4306.74462890625</v>
      </c>
      <c r="O81" s="72"/>
      <c r="P81" s="73"/>
      <c r="Q81" s="73"/>
      <c r="R81" s="86"/>
      <c r="S81" s="45">
        <v>1</v>
      </c>
      <c r="T81" s="45">
        <v>0</v>
      </c>
      <c r="U81" s="46">
        <v>0</v>
      </c>
      <c r="V81" s="46">
        <v>0.30765</v>
      </c>
      <c r="W81" s="46">
        <v>0.05663</v>
      </c>
      <c r="X81" s="46">
        <v>0.00275</v>
      </c>
      <c r="Y81" s="46">
        <v>0</v>
      </c>
      <c r="Z81" s="46">
        <v>0</v>
      </c>
      <c r="AA81" s="68">
        <v>81</v>
      </c>
      <c r="AB81" s="68"/>
      <c r="AC81" s="69"/>
      <c r="AD81" s="76" t="s">
        <v>1326</v>
      </c>
      <c r="AE81" s="80" t="s">
        <v>1635</v>
      </c>
      <c r="AF81" s="76">
        <v>22586</v>
      </c>
      <c r="AG81" s="76">
        <v>13480</v>
      </c>
      <c r="AH81" s="76">
        <v>18732</v>
      </c>
      <c r="AI81" s="76">
        <v>71</v>
      </c>
      <c r="AJ81" s="76">
        <v>105195</v>
      </c>
      <c r="AK81" s="76">
        <v>1397</v>
      </c>
      <c r="AL81" s="76" t="b">
        <v>0</v>
      </c>
      <c r="AM81" s="78">
        <v>39935.99895833333</v>
      </c>
      <c r="AN81" s="76"/>
      <c r="AO81" s="76" t="s">
        <v>2114</v>
      </c>
      <c r="AP81" s="76"/>
      <c r="AQ81" s="76"/>
      <c r="AR81" s="76"/>
      <c r="AS81" s="76"/>
      <c r="AT81" s="76"/>
      <c r="AU81" s="76"/>
      <c r="AV81" s="76"/>
      <c r="AW81" s="76"/>
      <c r="AX81" s="76" t="b">
        <v>0</v>
      </c>
      <c r="AY81" s="76"/>
      <c r="AZ81" s="76"/>
      <c r="BA81" s="76" t="b">
        <v>0</v>
      </c>
      <c r="BB81" s="76" t="b">
        <v>1</v>
      </c>
      <c r="BC81" s="76" t="b">
        <v>1</v>
      </c>
      <c r="BD81" s="76" t="b">
        <v>0</v>
      </c>
      <c r="BE81" s="76" t="b">
        <v>1</v>
      </c>
      <c r="BF81" s="76" t="b">
        <v>0</v>
      </c>
      <c r="BG81" s="76" t="b">
        <v>0</v>
      </c>
      <c r="BH81" s="76"/>
      <c r="BI81" s="76"/>
      <c r="BJ81" s="76" t="s">
        <v>2656</v>
      </c>
      <c r="BK81" s="76" t="b">
        <v>0</v>
      </c>
      <c r="BL81" s="76"/>
      <c r="BM81" s="76" t="s">
        <v>65</v>
      </c>
      <c r="BN81" s="76" t="s">
        <v>2657</v>
      </c>
      <c r="BO81" s="82" t="str">
        <f>HYPERLINK("https://twitter.com/tapiomaatta")</f>
        <v>https://twitter.com/tapiomaatta</v>
      </c>
      <c r="BP81" s="76" t="str">
        <f>REPLACE(INDEX(GroupVertices[Group],MATCH(Vertices[[#This Row],[Vertex]],GroupVertices[Vertex],0)),1,1,"")</f>
        <v>1</v>
      </c>
      <c r="BQ81" s="45"/>
      <c r="BR81" s="46"/>
      <c r="BS81" s="45"/>
      <c r="BT81" s="46"/>
      <c r="BU81" s="45"/>
      <c r="BV81" s="46"/>
      <c r="BW81" s="45"/>
      <c r="BX81" s="46"/>
      <c r="BY81" s="45"/>
      <c r="BZ81" s="45"/>
      <c r="CA81" s="45"/>
      <c r="CB81" s="45"/>
      <c r="CC81" s="45"/>
      <c r="CD81" s="45"/>
      <c r="CE81" s="45"/>
      <c r="CF81" s="45"/>
      <c r="CG81" s="45"/>
      <c r="CH81" s="45"/>
      <c r="CI81" s="45"/>
      <c r="CJ81" s="2"/>
    </row>
    <row r="82" spans="1:88" ht="15">
      <c r="A82" s="61" t="s">
        <v>333</v>
      </c>
      <c r="B82" s="62"/>
      <c r="C82" s="62"/>
      <c r="D82" s="63">
        <v>535</v>
      </c>
      <c r="E82" s="65"/>
      <c r="F82" s="100" t="str">
        <f>HYPERLINK("https://pbs.twimg.com/profile_images/851407702769250304/dA8NaETZ_normal.jpg")</f>
        <v>https://pbs.twimg.com/profile_images/851407702769250304/dA8NaETZ_normal.jpg</v>
      </c>
      <c r="G82" s="62"/>
      <c r="H82" s="66" t="s">
        <v>333</v>
      </c>
      <c r="I82" s="67"/>
      <c r="J82" s="67" t="s">
        <v>159</v>
      </c>
      <c r="K82" s="66" t="s">
        <v>2736</v>
      </c>
      <c r="L82" s="70">
        <v>477.0952380952381</v>
      </c>
      <c r="M82" s="71">
        <v>4139.9140625</v>
      </c>
      <c r="N82" s="71">
        <v>7177.04052734375</v>
      </c>
      <c r="O82" s="72"/>
      <c r="P82" s="73"/>
      <c r="Q82" s="73"/>
      <c r="R82" s="86"/>
      <c r="S82" s="45">
        <v>1</v>
      </c>
      <c r="T82" s="45">
        <v>0</v>
      </c>
      <c r="U82" s="46">
        <v>0</v>
      </c>
      <c r="V82" s="46">
        <v>0.30765</v>
      </c>
      <c r="W82" s="46">
        <v>0.05663</v>
      </c>
      <c r="X82" s="46">
        <v>0.00275</v>
      </c>
      <c r="Y82" s="46">
        <v>0</v>
      </c>
      <c r="Z82" s="46">
        <v>0</v>
      </c>
      <c r="AA82" s="68">
        <v>82</v>
      </c>
      <c r="AB82" s="68"/>
      <c r="AC82" s="69"/>
      <c r="AD82" s="76" t="s">
        <v>1327</v>
      </c>
      <c r="AE82" s="80" t="s">
        <v>1636</v>
      </c>
      <c r="AF82" s="76">
        <v>59623</v>
      </c>
      <c r="AG82" s="76">
        <v>2426</v>
      </c>
      <c r="AH82" s="76">
        <v>21036</v>
      </c>
      <c r="AI82" s="76">
        <v>430</v>
      </c>
      <c r="AJ82" s="76">
        <v>35071</v>
      </c>
      <c r="AK82" s="76">
        <v>2055</v>
      </c>
      <c r="AL82" s="76" t="b">
        <v>0</v>
      </c>
      <c r="AM82" s="78">
        <v>40379.42534722222</v>
      </c>
      <c r="AN82" s="76" t="s">
        <v>1898</v>
      </c>
      <c r="AO82" s="76" t="s">
        <v>2115</v>
      </c>
      <c r="AP82" s="82" t="str">
        <f>HYPERLINK("https://t.co/mZODiLVf4n")</f>
        <v>https://t.co/mZODiLVf4n</v>
      </c>
      <c r="AQ82" s="82" t="str">
        <f>HYPERLINK("http://www.helsinki.fi")</f>
        <v>http://www.helsinki.fi</v>
      </c>
      <c r="AR82" s="76" t="s">
        <v>2403</v>
      </c>
      <c r="AS82" s="76"/>
      <c r="AT82" s="76"/>
      <c r="AU82" s="76"/>
      <c r="AV82" s="76"/>
      <c r="AW82" s="82" t="str">
        <f>HYPERLINK("https://t.co/mZODiLVf4n")</f>
        <v>https://t.co/mZODiLVf4n</v>
      </c>
      <c r="AX82" s="76" t="b">
        <v>0</v>
      </c>
      <c r="AY82" s="76"/>
      <c r="AZ82" s="76"/>
      <c r="BA82" s="76" t="b">
        <v>1</v>
      </c>
      <c r="BB82" s="76" t="b">
        <v>1</v>
      </c>
      <c r="BC82" s="76" t="b">
        <v>0</v>
      </c>
      <c r="BD82" s="76" t="b">
        <v>0</v>
      </c>
      <c r="BE82" s="76" t="b">
        <v>1</v>
      </c>
      <c r="BF82" s="76" t="b">
        <v>0</v>
      </c>
      <c r="BG82" s="76" t="b">
        <v>0</v>
      </c>
      <c r="BH82" s="82" t="str">
        <f>HYPERLINK("https://pbs.twimg.com/profile_banners/168607383/1681714683")</f>
        <v>https://pbs.twimg.com/profile_banners/168607383/1681714683</v>
      </c>
      <c r="BI82" s="76"/>
      <c r="BJ82" s="76" t="s">
        <v>2656</v>
      </c>
      <c r="BK82" s="76" t="b">
        <v>0</v>
      </c>
      <c r="BL82" s="76"/>
      <c r="BM82" s="76" t="s">
        <v>65</v>
      </c>
      <c r="BN82" s="76" t="s">
        <v>2657</v>
      </c>
      <c r="BO82" s="82" t="str">
        <f>HYPERLINK("https://twitter.com/helsinkiuni")</f>
        <v>https://twitter.com/helsinkiuni</v>
      </c>
      <c r="BP82" s="76" t="str">
        <f>REPLACE(INDEX(GroupVertices[Group],MATCH(Vertices[[#This Row],[Vertex]],GroupVertices[Vertex],0)),1,1,"")</f>
        <v>1</v>
      </c>
      <c r="BQ82" s="45"/>
      <c r="BR82" s="46"/>
      <c r="BS82" s="45"/>
      <c r="BT82" s="46"/>
      <c r="BU82" s="45"/>
      <c r="BV82" s="46"/>
      <c r="BW82" s="45"/>
      <c r="BX82" s="46"/>
      <c r="BY82" s="45"/>
      <c r="BZ82" s="45"/>
      <c r="CA82" s="45"/>
      <c r="CB82" s="45"/>
      <c r="CC82" s="45"/>
      <c r="CD82" s="45"/>
      <c r="CE82" s="45"/>
      <c r="CF82" s="45"/>
      <c r="CG82" s="45"/>
      <c r="CH82" s="45"/>
      <c r="CI82" s="45"/>
      <c r="CJ82" s="2"/>
    </row>
    <row r="83" spans="1:88" ht="15">
      <c r="A83" s="61" t="s">
        <v>334</v>
      </c>
      <c r="B83" s="62"/>
      <c r="C83" s="62"/>
      <c r="D83" s="63">
        <v>535</v>
      </c>
      <c r="E83" s="65"/>
      <c r="F83" s="100" t="str">
        <f>HYPERLINK("https://pbs.twimg.com/profile_images/1192153917599240193/6NPh7sC-_normal.jpg")</f>
        <v>https://pbs.twimg.com/profile_images/1192153917599240193/6NPh7sC-_normal.jpg</v>
      </c>
      <c r="G83" s="62"/>
      <c r="H83" s="66" t="s">
        <v>334</v>
      </c>
      <c r="I83" s="67"/>
      <c r="J83" s="67" t="s">
        <v>159</v>
      </c>
      <c r="K83" s="66" t="s">
        <v>2737</v>
      </c>
      <c r="L83" s="70">
        <v>477.0952380952381</v>
      </c>
      <c r="M83" s="71">
        <v>3376.596923828125</v>
      </c>
      <c r="N83" s="71">
        <v>4499.03857421875</v>
      </c>
      <c r="O83" s="72"/>
      <c r="P83" s="73"/>
      <c r="Q83" s="73"/>
      <c r="R83" s="86"/>
      <c r="S83" s="45">
        <v>1</v>
      </c>
      <c r="T83" s="45">
        <v>0</v>
      </c>
      <c r="U83" s="46">
        <v>0</v>
      </c>
      <c r="V83" s="46">
        <v>0.30765</v>
      </c>
      <c r="W83" s="46">
        <v>0.05663</v>
      </c>
      <c r="X83" s="46">
        <v>0.00275</v>
      </c>
      <c r="Y83" s="46">
        <v>0</v>
      </c>
      <c r="Z83" s="46">
        <v>0</v>
      </c>
      <c r="AA83" s="68">
        <v>83</v>
      </c>
      <c r="AB83" s="68"/>
      <c r="AC83" s="69"/>
      <c r="AD83" s="76" t="s">
        <v>1328</v>
      </c>
      <c r="AE83" s="80" t="s">
        <v>1637</v>
      </c>
      <c r="AF83" s="76">
        <v>3411</v>
      </c>
      <c r="AG83" s="76">
        <v>1541</v>
      </c>
      <c r="AH83" s="76">
        <v>68196</v>
      </c>
      <c r="AI83" s="76">
        <v>9</v>
      </c>
      <c r="AJ83" s="76">
        <v>48598</v>
      </c>
      <c r="AK83" s="76">
        <v>21232</v>
      </c>
      <c r="AL83" s="76" t="b">
        <v>0</v>
      </c>
      <c r="AM83" s="78">
        <v>42900.58929398148</v>
      </c>
      <c r="AN83" s="76" t="s">
        <v>1898</v>
      </c>
      <c r="AO83" s="76" t="s">
        <v>2116</v>
      </c>
      <c r="AP83" s="76"/>
      <c r="AQ83" s="76"/>
      <c r="AR83" s="76"/>
      <c r="AS83" s="76"/>
      <c r="AT83" s="76"/>
      <c r="AU83" s="76"/>
      <c r="AV83" s="76">
        <v>1.18470157747661E+18</v>
      </c>
      <c r="AW83" s="76"/>
      <c r="AX83" s="76" t="b">
        <v>0</v>
      </c>
      <c r="AY83" s="76"/>
      <c r="AZ83" s="76"/>
      <c r="BA83" s="76" t="b">
        <v>0</v>
      </c>
      <c r="BB83" s="76" t="b">
        <v>1</v>
      </c>
      <c r="BC83" s="76" t="b">
        <v>1</v>
      </c>
      <c r="BD83" s="76" t="b">
        <v>0</v>
      </c>
      <c r="BE83" s="76" t="b">
        <v>1</v>
      </c>
      <c r="BF83" s="76" t="b">
        <v>0</v>
      </c>
      <c r="BG83" s="76" t="b">
        <v>0</v>
      </c>
      <c r="BH83" s="82" t="str">
        <f>HYPERLINK("https://pbs.twimg.com/profile_banners/874991961933066240/1653165609")</f>
        <v>https://pbs.twimg.com/profile_banners/874991961933066240/1653165609</v>
      </c>
      <c r="BI83" s="76"/>
      <c r="BJ83" s="76" t="s">
        <v>2656</v>
      </c>
      <c r="BK83" s="76" t="b">
        <v>0</v>
      </c>
      <c r="BL83" s="76"/>
      <c r="BM83" s="76" t="s">
        <v>65</v>
      </c>
      <c r="BN83" s="76" t="s">
        <v>2657</v>
      </c>
      <c r="BO83" s="82" t="str">
        <f>HYPERLINK("https://twitter.com/kasvismafioso")</f>
        <v>https://twitter.com/kasvismafioso</v>
      </c>
      <c r="BP83" s="76" t="str">
        <f>REPLACE(INDEX(GroupVertices[Group],MATCH(Vertices[[#This Row],[Vertex]],GroupVertices[Vertex],0)),1,1,"")</f>
        <v>1</v>
      </c>
      <c r="BQ83" s="45"/>
      <c r="BR83" s="46"/>
      <c r="BS83" s="45"/>
      <c r="BT83" s="46"/>
      <c r="BU83" s="45"/>
      <c r="BV83" s="46"/>
      <c r="BW83" s="45"/>
      <c r="BX83" s="46"/>
      <c r="BY83" s="45"/>
      <c r="BZ83" s="45"/>
      <c r="CA83" s="45"/>
      <c r="CB83" s="45"/>
      <c r="CC83" s="45"/>
      <c r="CD83" s="45"/>
      <c r="CE83" s="45"/>
      <c r="CF83" s="45"/>
      <c r="CG83" s="45"/>
      <c r="CH83" s="45"/>
      <c r="CI83" s="45"/>
      <c r="CJ83" s="2"/>
    </row>
    <row r="84" spans="1:88" ht="15">
      <c r="A84" s="61" t="s">
        <v>335</v>
      </c>
      <c r="B84" s="62"/>
      <c r="C84" s="62"/>
      <c r="D84" s="63">
        <v>535</v>
      </c>
      <c r="E84" s="65"/>
      <c r="F84" s="100" t="str">
        <f>HYPERLINK("https://pbs.twimg.com/profile_images/1622592990781874177/LZ6eBbGb_normal.jpg")</f>
        <v>https://pbs.twimg.com/profile_images/1622592990781874177/LZ6eBbGb_normal.jpg</v>
      </c>
      <c r="G84" s="62"/>
      <c r="H84" s="66" t="s">
        <v>335</v>
      </c>
      <c r="I84" s="67"/>
      <c r="J84" s="67" t="s">
        <v>159</v>
      </c>
      <c r="K84" s="66" t="s">
        <v>2738</v>
      </c>
      <c r="L84" s="70">
        <v>477.0952380952381</v>
      </c>
      <c r="M84" s="71">
        <v>1171.72802734375</v>
      </c>
      <c r="N84" s="71">
        <v>3348.912841796875</v>
      </c>
      <c r="O84" s="72"/>
      <c r="P84" s="73"/>
      <c r="Q84" s="73"/>
      <c r="R84" s="86"/>
      <c r="S84" s="45">
        <v>1</v>
      </c>
      <c r="T84" s="45">
        <v>0</v>
      </c>
      <c r="U84" s="46">
        <v>0</v>
      </c>
      <c r="V84" s="46">
        <v>0.30765</v>
      </c>
      <c r="W84" s="46">
        <v>0.05663</v>
      </c>
      <c r="X84" s="46">
        <v>0.00275</v>
      </c>
      <c r="Y84" s="46">
        <v>0</v>
      </c>
      <c r="Z84" s="46">
        <v>0</v>
      </c>
      <c r="AA84" s="68">
        <v>84</v>
      </c>
      <c r="AB84" s="68"/>
      <c r="AC84" s="69"/>
      <c r="AD84" s="76" t="s">
        <v>1329</v>
      </c>
      <c r="AE84" s="80" t="s">
        <v>1638</v>
      </c>
      <c r="AF84" s="76">
        <v>26252</v>
      </c>
      <c r="AG84" s="76">
        <v>795</v>
      </c>
      <c r="AH84" s="76">
        <v>6506</v>
      </c>
      <c r="AI84" s="76">
        <v>132</v>
      </c>
      <c r="AJ84" s="76">
        <v>8104</v>
      </c>
      <c r="AK84" s="76">
        <v>601</v>
      </c>
      <c r="AL84" s="76" t="b">
        <v>0</v>
      </c>
      <c r="AM84" s="78">
        <v>41015.46776620371</v>
      </c>
      <c r="AN84" s="76" t="s">
        <v>1899</v>
      </c>
      <c r="AO84" s="76" t="s">
        <v>2117</v>
      </c>
      <c r="AP84" s="82" t="str">
        <f>HYPERLINK("https://t.co/wTEgQIrAYd")</f>
        <v>https://t.co/wTEgQIrAYd</v>
      </c>
      <c r="AQ84" s="82" t="str">
        <f>HYPERLINK("http://www.nasima.fi")</f>
        <v>http://www.nasima.fi</v>
      </c>
      <c r="AR84" s="76" t="s">
        <v>2404</v>
      </c>
      <c r="AS84" s="76"/>
      <c r="AT84" s="76"/>
      <c r="AU84" s="76"/>
      <c r="AV84" s="76"/>
      <c r="AW84" s="82" t="str">
        <f>HYPERLINK("https://t.co/wTEgQIrAYd")</f>
        <v>https://t.co/wTEgQIrAYd</v>
      </c>
      <c r="AX84" s="76" t="b">
        <v>0</v>
      </c>
      <c r="AY84" s="76"/>
      <c r="AZ84" s="76"/>
      <c r="BA84" s="76" t="b">
        <v>0</v>
      </c>
      <c r="BB84" s="76" t="b">
        <v>1</v>
      </c>
      <c r="BC84" s="76" t="b">
        <v>0</v>
      </c>
      <c r="BD84" s="76" t="b">
        <v>0</v>
      </c>
      <c r="BE84" s="76" t="b">
        <v>1</v>
      </c>
      <c r="BF84" s="76" t="b">
        <v>0</v>
      </c>
      <c r="BG84" s="76" t="b">
        <v>0</v>
      </c>
      <c r="BH84" s="82" t="str">
        <f>HYPERLINK("https://pbs.twimg.com/profile_banners/555126030/1530016179")</f>
        <v>https://pbs.twimg.com/profile_banners/555126030/1530016179</v>
      </c>
      <c r="BI84" s="76"/>
      <c r="BJ84" s="76" t="s">
        <v>2656</v>
      </c>
      <c r="BK84" s="76" t="b">
        <v>0</v>
      </c>
      <c r="BL84" s="76"/>
      <c r="BM84" s="76" t="s">
        <v>65</v>
      </c>
      <c r="BN84" s="76" t="s">
        <v>2657</v>
      </c>
      <c r="BO84" s="82" t="str">
        <f>HYPERLINK("https://twitter.com/nasimarazmyar")</f>
        <v>https://twitter.com/nasimarazmyar</v>
      </c>
      <c r="BP84" s="76" t="str">
        <f>REPLACE(INDEX(GroupVertices[Group],MATCH(Vertices[[#This Row],[Vertex]],GroupVertices[Vertex],0)),1,1,"")</f>
        <v>1</v>
      </c>
      <c r="BQ84" s="45"/>
      <c r="BR84" s="46"/>
      <c r="BS84" s="45"/>
      <c r="BT84" s="46"/>
      <c r="BU84" s="45"/>
      <c r="BV84" s="46"/>
      <c r="BW84" s="45"/>
      <c r="BX84" s="46"/>
      <c r="BY84" s="45"/>
      <c r="BZ84" s="45"/>
      <c r="CA84" s="45"/>
      <c r="CB84" s="45"/>
      <c r="CC84" s="45"/>
      <c r="CD84" s="45"/>
      <c r="CE84" s="45"/>
      <c r="CF84" s="45"/>
      <c r="CG84" s="45"/>
      <c r="CH84" s="45"/>
      <c r="CI84" s="45"/>
      <c r="CJ84" s="2"/>
    </row>
    <row r="85" spans="1:88" ht="15">
      <c r="A85" s="61" t="s">
        <v>336</v>
      </c>
      <c r="B85" s="62"/>
      <c r="C85" s="62"/>
      <c r="D85" s="63">
        <v>535</v>
      </c>
      <c r="E85" s="65"/>
      <c r="F85" s="100" t="str">
        <f>HYPERLINK("https://pbs.twimg.com/profile_images/1696208757758279680/9iDYyG4K_normal.jpg")</f>
        <v>https://pbs.twimg.com/profile_images/1696208757758279680/9iDYyG4K_normal.jpg</v>
      </c>
      <c r="G85" s="62"/>
      <c r="H85" s="66" t="s">
        <v>336</v>
      </c>
      <c r="I85" s="67"/>
      <c r="J85" s="67" t="s">
        <v>159</v>
      </c>
      <c r="K85" s="66" t="s">
        <v>2739</v>
      </c>
      <c r="L85" s="70">
        <v>477.0952380952381</v>
      </c>
      <c r="M85" s="71">
        <v>2806.31591796875</v>
      </c>
      <c r="N85" s="71">
        <v>8249.720703125</v>
      </c>
      <c r="O85" s="72"/>
      <c r="P85" s="73"/>
      <c r="Q85" s="73"/>
      <c r="R85" s="86"/>
      <c r="S85" s="45">
        <v>1</v>
      </c>
      <c r="T85" s="45">
        <v>0</v>
      </c>
      <c r="U85" s="46">
        <v>0</v>
      </c>
      <c r="V85" s="46">
        <v>0.30765</v>
      </c>
      <c r="W85" s="46">
        <v>0.05663</v>
      </c>
      <c r="X85" s="46">
        <v>0.00275</v>
      </c>
      <c r="Y85" s="46">
        <v>0</v>
      </c>
      <c r="Z85" s="46">
        <v>0</v>
      </c>
      <c r="AA85" s="68">
        <v>85</v>
      </c>
      <c r="AB85" s="68"/>
      <c r="AC85" s="69"/>
      <c r="AD85" s="76" t="s">
        <v>1330</v>
      </c>
      <c r="AE85" s="80" t="s">
        <v>1639</v>
      </c>
      <c r="AF85" s="76">
        <v>1528</v>
      </c>
      <c r="AG85" s="76">
        <v>936</v>
      </c>
      <c r="AH85" s="76">
        <v>20295</v>
      </c>
      <c r="AI85" s="76">
        <v>1</v>
      </c>
      <c r="AJ85" s="76">
        <v>46264</v>
      </c>
      <c r="AK85" s="76">
        <v>606</v>
      </c>
      <c r="AL85" s="76" t="b">
        <v>0</v>
      </c>
      <c r="AM85" s="78">
        <v>43143.58155092593</v>
      </c>
      <c r="AN85" s="76" t="s">
        <v>1900</v>
      </c>
      <c r="AO85" s="76" t="s">
        <v>2118</v>
      </c>
      <c r="AP85" s="76"/>
      <c r="AQ85" s="76"/>
      <c r="AR85" s="76"/>
      <c r="AS85" s="76"/>
      <c r="AT85" s="76"/>
      <c r="AU85" s="76"/>
      <c r="AV85" s="76"/>
      <c r="AW85" s="76"/>
      <c r="AX85" s="76" t="b">
        <v>0</v>
      </c>
      <c r="AY85" s="76"/>
      <c r="AZ85" s="76"/>
      <c r="BA85" s="76" t="b">
        <v>1</v>
      </c>
      <c r="BB85" s="76" t="b">
        <v>0</v>
      </c>
      <c r="BC85" s="76" t="b">
        <v>1</v>
      </c>
      <c r="BD85" s="76" t="b">
        <v>0</v>
      </c>
      <c r="BE85" s="76" t="b">
        <v>1</v>
      </c>
      <c r="BF85" s="76" t="b">
        <v>0</v>
      </c>
      <c r="BG85" s="76" t="b">
        <v>0</v>
      </c>
      <c r="BH85" s="76"/>
      <c r="BI85" s="76"/>
      <c r="BJ85" s="76" t="s">
        <v>2656</v>
      </c>
      <c r="BK85" s="76" t="b">
        <v>0</v>
      </c>
      <c r="BL85" s="76"/>
      <c r="BM85" s="76" t="s">
        <v>65</v>
      </c>
      <c r="BN85" s="76" t="s">
        <v>2657</v>
      </c>
      <c r="BO85" s="82" t="str">
        <f>HYPERLINK("https://twitter.com/mluonuansuu")</f>
        <v>https://twitter.com/mluonuansuu</v>
      </c>
      <c r="BP85" s="76" t="str">
        <f>REPLACE(INDEX(GroupVertices[Group],MATCH(Vertices[[#This Row],[Vertex]],GroupVertices[Vertex],0)),1,1,"")</f>
        <v>1</v>
      </c>
      <c r="BQ85" s="45"/>
      <c r="BR85" s="46"/>
      <c r="BS85" s="45"/>
      <c r="BT85" s="46"/>
      <c r="BU85" s="45"/>
      <c r="BV85" s="46"/>
      <c r="BW85" s="45"/>
      <c r="BX85" s="46"/>
      <c r="BY85" s="45"/>
      <c r="BZ85" s="45"/>
      <c r="CA85" s="45"/>
      <c r="CB85" s="45"/>
      <c r="CC85" s="45"/>
      <c r="CD85" s="45"/>
      <c r="CE85" s="45"/>
      <c r="CF85" s="45"/>
      <c r="CG85" s="45"/>
      <c r="CH85" s="45"/>
      <c r="CI85" s="45"/>
      <c r="CJ85" s="2"/>
    </row>
    <row r="86" spans="1:88" ht="15">
      <c r="A86" s="61" t="s">
        <v>337</v>
      </c>
      <c r="B86" s="62"/>
      <c r="C86" s="62"/>
      <c r="D86" s="63">
        <v>535</v>
      </c>
      <c r="E86" s="65"/>
      <c r="F86" s="100" t="str">
        <f>HYPERLINK("https://pbs.twimg.com/profile_images/1193264061288452097/JCr3uVza_normal.jpg")</f>
        <v>https://pbs.twimg.com/profile_images/1193264061288452097/JCr3uVza_normal.jpg</v>
      </c>
      <c r="G86" s="62"/>
      <c r="H86" s="66" t="s">
        <v>337</v>
      </c>
      <c r="I86" s="67"/>
      <c r="J86" s="67" t="s">
        <v>159</v>
      </c>
      <c r="K86" s="66" t="s">
        <v>2740</v>
      </c>
      <c r="L86" s="70">
        <v>477.0952380952381</v>
      </c>
      <c r="M86" s="71">
        <v>4062.201171875</v>
      </c>
      <c r="N86" s="71">
        <v>5211.8388671875</v>
      </c>
      <c r="O86" s="72"/>
      <c r="P86" s="73"/>
      <c r="Q86" s="73"/>
      <c r="R86" s="86"/>
      <c r="S86" s="45">
        <v>1</v>
      </c>
      <c r="T86" s="45">
        <v>0</v>
      </c>
      <c r="U86" s="46">
        <v>0</v>
      </c>
      <c r="V86" s="46">
        <v>0.30765</v>
      </c>
      <c r="W86" s="46">
        <v>0.05663</v>
      </c>
      <c r="X86" s="46">
        <v>0.00275</v>
      </c>
      <c r="Y86" s="46">
        <v>0</v>
      </c>
      <c r="Z86" s="46">
        <v>0</v>
      </c>
      <c r="AA86" s="68">
        <v>86</v>
      </c>
      <c r="AB86" s="68"/>
      <c r="AC86" s="69"/>
      <c r="AD86" s="76" t="s">
        <v>1331</v>
      </c>
      <c r="AE86" s="80" t="s">
        <v>1640</v>
      </c>
      <c r="AF86" s="76">
        <v>463</v>
      </c>
      <c r="AG86" s="76">
        <v>763</v>
      </c>
      <c r="AH86" s="76">
        <v>780</v>
      </c>
      <c r="AI86" s="76">
        <v>2</v>
      </c>
      <c r="AJ86" s="76">
        <v>1537</v>
      </c>
      <c r="AK86" s="76">
        <v>82</v>
      </c>
      <c r="AL86" s="76" t="b">
        <v>0</v>
      </c>
      <c r="AM86" s="78">
        <v>41533.372719907406</v>
      </c>
      <c r="AN86" s="76" t="s">
        <v>1901</v>
      </c>
      <c r="AO86" s="76" t="s">
        <v>2119</v>
      </c>
      <c r="AP86" s="76"/>
      <c r="AQ86" s="76"/>
      <c r="AR86" s="76"/>
      <c r="AS86" s="76"/>
      <c r="AT86" s="76"/>
      <c r="AU86" s="76"/>
      <c r="AV86" s="76"/>
      <c r="AW86" s="76"/>
      <c r="AX86" s="76" t="b">
        <v>0</v>
      </c>
      <c r="AY86" s="76"/>
      <c r="AZ86" s="76"/>
      <c r="BA86" s="76" t="b">
        <v>0</v>
      </c>
      <c r="BB86" s="76" t="b">
        <v>1</v>
      </c>
      <c r="BC86" s="76" t="b">
        <v>1</v>
      </c>
      <c r="BD86" s="76" t="b">
        <v>0</v>
      </c>
      <c r="BE86" s="76" t="b">
        <v>0</v>
      </c>
      <c r="BF86" s="76" t="b">
        <v>0</v>
      </c>
      <c r="BG86" s="76" t="b">
        <v>0</v>
      </c>
      <c r="BH86" s="82" t="str">
        <f>HYPERLINK("https://pbs.twimg.com/profile_banners/1870812944/1676636093")</f>
        <v>https://pbs.twimg.com/profile_banners/1870812944/1676636093</v>
      </c>
      <c r="BI86" s="76"/>
      <c r="BJ86" s="76" t="s">
        <v>2656</v>
      </c>
      <c r="BK86" s="76" t="b">
        <v>0</v>
      </c>
      <c r="BL86" s="76"/>
      <c r="BM86" s="76" t="s">
        <v>65</v>
      </c>
      <c r="BN86" s="76" t="s">
        <v>2657</v>
      </c>
      <c r="BO86" s="82" t="str">
        <f>HYPERLINK("https://twitter.com/annepauna")</f>
        <v>https://twitter.com/annepauna</v>
      </c>
      <c r="BP86" s="76" t="str">
        <f>REPLACE(INDEX(GroupVertices[Group],MATCH(Vertices[[#This Row],[Vertex]],GroupVertices[Vertex],0)),1,1,"")</f>
        <v>1</v>
      </c>
      <c r="BQ86" s="45"/>
      <c r="BR86" s="46"/>
      <c r="BS86" s="45"/>
      <c r="BT86" s="46"/>
      <c r="BU86" s="45"/>
      <c r="BV86" s="46"/>
      <c r="BW86" s="45"/>
      <c r="BX86" s="46"/>
      <c r="BY86" s="45"/>
      <c r="BZ86" s="45"/>
      <c r="CA86" s="45"/>
      <c r="CB86" s="45"/>
      <c r="CC86" s="45"/>
      <c r="CD86" s="45"/>
      <c r="CE86" s="45"/>
      <c r="CF86" s="45"/>
      <c r="CG86" s="45"/>
      <c r="CH86" s="45"/>
      <c r="CI86" s="45"/>
      <c r="CJ86" s="2"/>
    </row>
    <row r="87" spans="1:88" ht="15">
      <c r="A87" s="61" t="s">
        <v>338</v>
      </c>
      <c r="B87" s="62"/>
      <c r="C87" s="62"/>
      <c r="D87" s="63">
        <v>535</v>
      </c>
      <c r="E87" s="65"/>
      <c r="F87" s="100" t="str">
        <f>HYPERLINK("https://pbs.twimg.com/profile_images/1431347167378214919/-se1jaTV_normal.jpg")</f>
        <v>https://pbs.twimg.com/profile_images/1431347167378214919/-se1jaTV_normal.jpg</v>
      </c>
      <c r="G87" s="62"/>
      <c r="H87" s="66" t="s">
        <v>338</v>
      </c>
      <c r="I87" s="67"/>
      <c r="J87" s="67" t="s">
        <v>159</v>
      </c>
      <c r="K87" s="66" t="s">
        <v>2741</v>
      </c>
      <c r="L87" s="70">
        <v>477.0952380952381</v>
      </c>
      <c r="M87" s="71">
        <v>4214.01611328125</v>
      </c>
      <c r="N87" s="71">
        <v>6123.62548828125</v>
      </c>
      <c r="O87" s="72"/>
      <c r="P87" s="73"/>
      <c r="Q87" s="73"/>
      <c r="R87" s="86"/>
      <c r="S87" s="45">
        <v>1</v>
      </c>
      <c r="T87" s="45">
        <v>0</v>
      </c>
      <c r="U87" s="46">
        <v>0</v>
      </c>
      <c r="V87" s="46">
        <v>0.30765</v>
      </c>
      <c r="W87" s="46">
        <v>0.05663</v>
      </c>
      <c r="X87" s="46">
        <v>0.00275</v>
      </c>
      <c r="Y87" s="46">
        <v>0</v>
      </c>
      <c r="Z87" s="46">
        <v>0</v>
      </c>
      <c r="AA87" s="68">
        <v>87</v>
      </c>
      <c r="AB87" s="68"/>
      <c r="AC87" s="69"/>
      <c r="AD87" s="76" t="s">
        <v>1332</v>
      </c>
      <c r="AE87" s="80" t="s">
        <v>1641</v>
      </c>
      <c r="AF87" s="76">
        <v>13687</v>
      </c>
      <c r="AG87" s="76">
        <v>913</v>
      </c>
      <c r="AH87" s="76">
        <v>20164</v>
      </c>
      <c r="AI87" s="76">
        <v>32</v>
      </c>
      <c r="AJ87" s="76">
        <v>10187</v>
      </c>
      <c r="AK87" s="76">
        <v>1172</v>
      </c>
      <c r="AL87" s="76" t="b">
        <v>0</v>
      </c>
      <c r="AM87" s="78">
        <v>40400.5008912037</v>
      </c>
      <c r="AN87" s="76" t="s">
        <v>1902</v>
      </c>
      <c r="AO87" s="76" t="s">
        <v>2120</v>
      </c>
      <c r="AP87" s="76"/>
      <c r="AQ87" s="76"/>
      <c r="AR87" s="76"/>
      <c r="AS87" s="76"/>
      <c r="AT87" s="76"/>
      <c r="AU87" s="76"/>
      <c r="AV87" s="76"/>
      <c r="AW87" s="76"/>
      <c r="AX87" s="76" t="b">
        <v>0</v>
      </c>
      <c r="AY87" s="76"/>
      <c r="AZ87" s="76"/>
      <c r="BA87" s="76" t="b">
        <v>0</v>
      </c>
      <c r="BB87" s="76" t="b">
        <v>1</v>
      </c>
      <c r="BC87" s="76" t="b">
        <v>0</v>
      </c>
      <c r="BD87" s="76" t="b">
        <v>0</v>
      </c>
      <c r="BE87" s="76" t="b">
        <v>1</v>
      </c>
      <c r="BF87" s="76" t="b">
        <v>0</v>
      </c>
      <c r="BG87" s="76" t="b">
        <v>0</v>
      </c>
      <c r="BH87" s="82" t="str">
        <f>HYPERLINK("https://pbs.twimg.com/profile_banners/176774077/1659176881")</f>
        <v>https://pbs.twimg.com/profile_banners/176774077/1659176881</v>
      </c>
      <c r="BI87" s="76"/>
      <c r="BJ87" s="76" t="s">
        <v>2656</v>
      </c>
      <c r="BK87" s="76" t="b">
        <v>0</v>
      </c>
      <c r="BL87" s="76"/>
      <c r="BM87" s="76" t="s">
        <v>65</v>
      </c>
      <c r="BN87" s="76" t="s">
        <v>2657</v>
      </c>
      <c r="BO87" s="82" t="str">
        <f>HYPERLINK("https://twitter.com/jacquesboissons")</f>
        <v>https://twitter.com/jacquesboissons</v>
      </c>
      <c r="BP87" s="76" t="str">
        <f>REPLACE(INDEX(GroupVertices[Group],MATCH(Vertices[[#This Row],[Vertex]],GroupVertices[Vertex],0)),1,1,"")</f>
        <v>1</v>
      </c>
      <c r="BQ87" s="45"/>
      <c r="BR87" s="46"/>
      <c r="BS87" s="45"/>
      <c r="BT87" s="46"/>
      <c r="BU87" s="45"/>
      <c r="BV87" s="46"/>
      <c r="BW87" s="45"/>
      <c r="BX87" s="46"/>
      <c r="BY87" s="45"/>
      <c r="BZ87" s="45"/>
      <c r="CA87" s="45"/>
      <c r="CB87" s="45"/>
      <c r="CC87" s="45"/>
      <c r="CD87" s="45"/>
      <c r="CE87" s="45"/>
      <c r="CF87" s="45"/>
      <c r="CG87" s="45"/>
      <c r="CH87" s="45"/>
      <c r="CI87" s="45"/>
      <c r="CJ87" s="2"/>
    </row>
    <row r="88" spans="1:88" ht="15">
      <c r="A88" s="61" t="s">
        <v>339</v>
      </c>
      <c r="B88" s="62"/>
      <c r="C88" s="62"/>
      <c r="D88" s="63">
        <v>535</v>
      </c>
      <c r="E88" s="65"/>
      <c r="F88" s="100" t="str">
        <f>HYPERLINK("https://pbs.twimg.com/profile_images/1033766486983237634/MhamqcQh_normal.jpg")</f>
        <v>https://pbs.twimg.com/profile_images/1033766486983237634/MhamqcQh_normal.jpg</v>
      </c>
      <c r="G88" s="62"/>
      <c r="H88" s="66" t="s">
        <v>339</v>
      </c>
      <c r="I88" s="67"/>
      <c r="J88" s="67" t="s">
        <v>159</v>
      </c>
      <c r="K88" s="66" t="s">
        <v>2742</v>
      </c>
      <c r="L88" s="70">
        <v>477.0952380952381</v>
      </c>
      <c r="M88" s="71">
        <v>2742.3994140625</v>
      </c>
      <c r="N88" s="71">
        <v>3599.362548828125</v>
      </c>
      <c r="O88" s="72"/>
      <c r="P88" s="73"/>
      <c r="Q88" s="73"/>
      <c r="R88" s="86"/>
      <c r="S88" s="45">
        <v>1</v>
      </c>
      <c r="T88" s="45">
        <v>0</v>
      </c>
      <c r="U88" s="46">
        <v>0</v>
      </c>
      <c r="V88" s="46">
        <v>0.30765</v>
      </c>
      <c r="W88" s="46">
        <v>0.05663</v>
      </c>
      <c r="X88" s="46">
        <v>0.00275</v>
      </c>
      <c r="Y88" s="46">
        <v>0</v>
      </c>
      <c r="Z88" s="46">
        <v>0</v>
      </c>
      <c r="AA88" s="68">
        <v>88</v>
      </c>
      <c r="AB88" s="68"/>
      <c r="AC88" s="69"/>
      <c r="AD88" s="76" t="s">
        <v>1333</v>
      </c>
      <c r="AE88" s="80" t="s">
        <v>1642</v>
      </c>
      <c r="AF88" s="76">
        <v>24435</v>
      </c>
      <c r="AG88" s="76">
        <v>580</v>
      </c>
      <c r="AH88" s="76">
        <v>11600</v>
      </c>
      <c r="AI88" s="76">
        <v>133</v>
      </c>
      <c r="AJ88" s="76">
        <v>5921</v>
      </c>
      <c r="AK88" s="76">
        <v>684</v>
      </c>
      <c r="AL88" s="76" t="b">
        <v>0</v>
      </c>
      <c r="AM88" s="78">
        <v>41475.58767361111</v>
      </c>
      <c r="AN88" s="76" t="s">
        <v>1899</v>
      </c>
      <c r="AO88" s="76" t="s">
        <v>2121</v>
      </c>
      <c r="AP88" s="82" t="str">
        <f>HYPERLINK("https://t.co/g4Xp3dq1sk")</f>
        <v>https://t.co/g4Xp3dq1sk</v>
      </c>
      <c r="AQ88" s="82" t="str">
        <f>HYPERLINK("http://www.thl.fi")</f>
        <v>http://www.thl.fi</v>
      </c>
      <c r="AR88" s="76" t="s">
        <v>2405</v>
      </c>
      <c r="AS88" s="76"/>
      <c r="AT88" s="76"/>
      <c r="AU88" s="76"/>
      <c r="AV88" s="76">
        <v>9.97391012547973E+17</v>
      </c>
      <c r="AW88" s="82" t="str">
        <f>HYPERLINK("https://t.co/g4Xp3dq1sk")</f>
        <v>https://t.co/g4Xp3dq1sk</v>
      </c>
      <c r="AX88" s="76" t="b">
        <v>0</v>
      </c>
      <c r="AY88" s="76"/>
      <c r="AZ88" s="76"/>
      <c r="BA88" s="76" t="b">
        <v>0</v>
      </c>
      <c r="BB88" s="76" t="b">
        <v>0</v>
      </c>
      <c r="BC88" s="76" t="b">
        <v>0</v>
      </c>
      <c r="BD88" s="76" t="b">
        <v>0</v>
      </c>
      <c r="BE88" s="76" t="b">
        <v>1</v>
      </c>
      <c r="BF88" s="76" t="b">
        <v>0</v>
      </c>
      <c r="BG88" s="76" t="b">
        <v>0</v>
      </c>
      <c r="BH88" s="82" t="str">
        <f>HYPERLINK("https://pbs.twimg.com/profile_banners/1608295104/1422651528")</f>
        <v>https://pbs.twimg.com/profile_banners/1608295104/1422651528</v>
      </c>
      <c r="BI88" s="76"/>
      <c r="BJ88" s="76" t="s">
        <v>2656</v>
      </c>
      <c r="BK88" s="76" t="b">
        <v>0</v>
      </c>
      <c r="BL88" s="76"/>
      <c r="BM88" s="76" t="s">
        <v>65</v>
      </c>
      <c r="BN88" s="76" t="s">
        <v>2657</v>
      </c>
      <c r="BO88" s="82" t="str">
        <f>HYPERLINK("https://twitter.com/mika_salminen")</f>
        <v>https://twitter.com/mika_salminen</v>
      </c>
      <c r="BP88" s="76" t="str">
        <f>REPLACE(INDEX(GroupVertices[Group],MATCH(Vertices[[#This Row],[Vertex]],GroupVertices[Vertex],0)),1,1,"")</f>
        <v>1</v>
      </c>
      <c r="BQ88" s="45"/>
      <c r="BR88" s="46"/>
      <c r="BS88" s="45"/>
      <c r="BT88" s="46"/>
      <c r="BU88" s="45"/>
      <c r="BV88" s="46"/>
      <c r="BW88" s="45"/>
      <c r="BX88" s="46"/>
      <c r="BY88" s="45"/>
      <c r="BZ88" s="45"/>
      <c r="CA88" s="45"/>
      <c r="CB88" s="45"/>
      <c r="CC88" s="45"/>
      <c r="CD88" s="45"/>
      <c r="CE88" s="45"/>
      <c r="CF88" s="45"/>
      <c r="CG88" s="45"/>
      <c r="CH88" s="45"/>
      <c r="CI88" s="45"/>
      <c r="CJ88" s="2"/>
    </row>
    <row r="89" spans="1:88" ht="15">
      <c r="A89" s="61" t="s">
        <v>340</v>
      </c>
      <c r="B89" s="62"/>
      <c r="C89" s="62"/>
      <c r="D89" s="63">
        <v>535</v>
      </c>
      <c r="E89" s="65"/>
      <c r="F89" s="100" t="str">
        <f>HYPERLINK("https://pbs.twimg.com/profile_images/1675503043784196096/1eymHdyt_normal.jpg")</f>
        <v>https://pbs.twimg.com/profile_images/1675503043784196096/1eymHdyt_normal.jpg</v>
      </c>
      <c r="G89" s="62"/>
      <c r="H89" s="66" t="s">
        <v>340</v>
      </c>
      <c r="I89" s="67"/>
      <c r="J89" s="67" t="s">
        <v>159</v>
      </c>
      <c r="K89" s="66" t="s">
        <v>2743</v>
      </c>
      <c r="L89" s="70">
        <v>477.0952380952381</v>
      </c>
      <c r="M89" s="71">
        <v>1019.7322387695312</v>
      </c>
      <c r="N89" s="71">
        <v>8558.1552734375</v>
      </c>
      <c r="O89" s="72"/>
      <c r="P89" s="73"/>
      <c r="Q89" s="73"/>
      <c r="R89" s="86"/>
      <c r="S89" s="45">
        <v>1</v>
      </c>
      <c r="T89" s="45">
        <v>0</v>
      </c>
      <c r="U89" s="46">
        <v>0</v>
      </c>
      <c r="V89" s="46">
        <v>0.30765</v>
      </c>
      <c r="W89" s="46">
        <v>0.05663</v>
      </c>
      <c r="X89" s="46">
        <v>0.00275</v>
      </c>
      <c r="Y89" s="46">
        <v>0</v>
      </c>
      <c r="Z89" s="46">
        <v>0</v>
      </c>
      <c r="AA89" s="68">
        <v>89</v>
      </c>
      <c r="AB89" s="68"/>
      <c r="AC89" s="69"/>
      <c r="AD89" s="76" t="s">
        <v>1334</v>
      </c>
      <c r="AE89" s="80" t="s">
        <v>1643</v>
      </c>
      <c r="AF89" s="76">
        <v>36167</v>
      </c>
      <c r="AG89" s="76">
        <v>882</v>
      </c>
      <c r="AH89" s="76">
        <v>20092</v>
      </c>
      <c r="AI89" s="76">
        <v>269</v>
      </c>
      <c r="AJ89" s="76">
        <v>5390</v>
      </c>
      <c r="AK89" s="76">
        <v>1719</v>
      </c>
      <c r="AL89" s="76" t="b">
        <v>0</v>
      </c>
      <c r="AM89" s="78">
        <v>39872.626909722225</v>
      </c>
      <c r="AN89" s="76" t="s">
        <v>1903</v>
      </c>
      <c r="AO89" s="76" t="s">
        <v>2122</v>
      </c>
      <c r="AP89" s="82" t="str">
        <f>HYPERLINK("https://t.co/ynoR6EFpUo")</f>
        <v>https://t.co/ynoR6EFpUo</v>
      </c>
      <c r="AQ89" s="82" t="str">
        <f>HYPERLINK("http://www.sdp.fi")</f>
        <v>http://www.sdp.fi</v>
      </c>
      <c r="AR89" s="76" t="s">
        <v>2406</v>
      </c>
      <c r="AS89" s="76"/>
      <c r="AT89" s="76"/>
      <c r="AU89" s="76"/>
      <c r="AV89" s="76">
        <v>8.49279165283131E+17</v>
      </c>
      <c r="AW89" s="82" t="str">
        <f>HYPERLINK("https://t.co/ynoR6EFpUo")</f>
        <v>https://t.co/ynoR6EFpUo</v>
      </c>
      <c r="AX89" s="76" t="b">
        <v>1</v>
      </c>
      <c r="AY89" s="76"/>
      <c r="AZ89" s="76"/>
      <c r="BA89" s="76" t="b">
        <v>0</v>
      </c>
      <c r="BB89" s="76" t="b">
        <v>1</v>
      </c>
      <c r="BC89" s="76" t="b">
        <v>0</v>
      </c>
      <c r="BD89" s="76" t="b">
        <v>0</v>
      </c>
      <c r="BE89" s="76" t="b">
        <v>1</v>
      </c>
      <c r="BF89" s="76" t="b">
        <v>0</v>
      </c>
      <c r="BG89" s="76" t="b">
        <v>0</v>
      </c>
      <c r="BH89" s="82" t="str">
        <f>HYPERLINK("https://pbs.twimg.com/profile_banners/22262225/1693544298")</f>
        <v>https://pbs.twimg.com/profile_banners/22262225/1693544298</v>
      </c>
      <c r="BI89" s="76"/>
      <c r="BJ89" s="76" t="s">
        <v>2656</v>
      </c>
      <c r="BK89" s="76" t="b">
        <v>0</v>
      </c>
      <c r="BL89" s="76"/>
      <c r="BM89" s="76" t="s">
        <v>65</v>
      </c>
      <c r="BN89" s="76" t="s">
        <v>2657</v>
      </c>
      <c r="BO89" s="82" t="str">
        <f>HYPERLINK("https://twitter.com/demarit")</f>
        <v>https://twitter.com/demarit</v>
      </c>
      <c r="BP89" s="76" t="str">
        <f>REPLACE(INDEX(GroupVertices[Group],MATCH(Vertices[[#This Row],[Vertex]],GroupVertices[Vertex],0)),1,1,"")</f>
        <v>1</v>
      </c>
      <c r="BQ89" s="45"/>
      <c r="BR89" s="46"/>
      <c r="BS89" s="45"/>
      <c r="BT89" s="46"/>
      <c r="BU89" s="45"/>
      <c r="BV89" s="46"/>
      <c r="BW89" s="45"/>
      <c r="BX89" s="46"/>
      <c r="BY89" s="45"/>
      <c r="BZ89" s="45"/>
      <c r="CA89" s="45"/>
      <c r="CB89" s="45"/>
      <c r="CC89" s="45"/>
      <c r="CD89" s="45"/>
      <c r="CE89" s="45"/>
      <c r="CF89" s="45"/>
      <c r="CG89" s="45"/>
      <c r="CH89" s="45"/>
      <c r="CI89" s="45"/>
      <c r="CJ89" s="2"/>
    </row>
    <row r="90" spans="1:88" ht="15">
      <c r="A90" s="61" t="s">
        <v>341</v>
      </c>
      <c r="B90" s="62"/>
      <c r="C90" s="62"/>
      <c r="D90" s="63">
        <v>535</v>
      </c>
      <c r="E90" s="65"/>
      <c r="F90" s="100" t="str">
        <f>HYPERLINK("https://pbs.twimg.com/profile_images/1621532240294432768/7uDthSnv_normal.jpg")</f>
        <v>https://pbs.twimg.com/profile_images/1621532240294432768/7uDthSnv_normal.jpg</v>
      </c>
      <c r="G90" s="62"/>
      <c r="H90" s="66" t="s">
        <v>341</v>
      </c>
      <c r="I90" s="67"/>
      <c r="J90" s="67" t="s">
        <v>159</v>
      </c>
      <c r="K90" s="66" t="s">
        <v>2744</v>
      </c>
      <c r="L90" s="70">
        <v>477.0952380952381</v>
      </c>
      <c r="M90" s="71">
        <v>1744.86328125</v>
      </c>
      <c r="N90" s="71">
        <v>9143.8828125</v>
      </c>
      <c r="O90" s="72"/>
      <c r="P90" s="73"/>
      <c r="Q90" s="73"/>
      <c r="R90" s="86"/>
      <c r="S90" s="45">
        <v>1</v>
      </c>
      <c r="T90" s="45">
        <v>0</v>
      </c>
      <c r="U90" s="46">
        <v>0</v>
      </c>
      <c r="V90" s="46">
        <v>0.30765</v>
      </c>
      <c r="W90" s="46">
        <v>0.05663</v>
      </c>
      <c r="X90" s="46">
        <v>0.00275</v>
      </c>
      <c r="Y90" s="46">
        <v>0</v>
      </c>
      <c r="Z90" s="46">
        <v>0</v>
      </c>
      <c r="AA90" s="68">
        <v>90</v>
      </c>
      <c r="AB90" s="68"/>
      <c r="AC90" s="69"/>
      <c r="AD90" s="76" t="s">
        <v>1335</v>
      </c>
      <c r="AE90" s="80" t="s">
        <v>1644</v>
      </c>
      <c r="AF90" s="76">
        <v>39884</v>
      </c>
      <c r="AG90" s="76">
        <v>1412</v>
      </c>
      <c r="AH90" s="76">
        <v>1996</v>
      </c>
      <c r="AI90" s="76">
        <v>181</v>
      </c>
      <c r="AJ90" s="76">
        <v>1206</v>
      </c>
      <c r="AK90" s="76">
        <v>298</v>
      </c>
      <c r="AL90" s="76" t="b">
        <v>0</v>
      </c>
      <c r="AM90" s="78">
        <v>40293.61515046296</v>
      </c>
      <c r="AN90" s="76" t="s">
        <v>1904</v>
      </c>
      <c r="AO90" s="76" t="s">
        <v>2123</v>
      </c>
      <c r="AP90" s="82" t="str">
        <f>HYPERLINK("https://t.co/YweZq60UoB")</f>
        <v>https://t.co/YweZq60UoB</v>
      </c>
      <c r="AQ90" s="82" t="str">
        <f>HYPERLINK("http://annikasaarikko.fi")</f>
        <v>http://annikasaarikko.fi</v>
      </c>
      <c r="AR90" s="76" t="s">
        <v>2407</v>
      </c>
      <c r="AS90" s="76"/>
      <c r="AT90" s="76"/>
      <c r="AU90" s="76"/>
      <c r="AV90" s="76"/>
      <c r="AW90" s="82" t="str">
        <f>HYPERLINK("https://t.co/YweZq60UoB")</f>
        <v>https://t.co/YweZq60UoB</v>
      </c>
      <c r="AX90" s="76" t="b">
        <v>0</v>
      </c>
      <c r="AY90" s="76"/>
      <c r="AZ90" s="76"/>
      <c r="BA90" s="76" t="b">
        <v>0</v>
      </c>
      <c r="BB90" s="76" t="b">
        <v>1</v>
      </c>
      <c r="BC90" s="76" t="b">
        <v>1</v>
      </c>
      <c r="BD90" s="76" t="b">
        <v>0</v>
      </c>
      <c r="BE90" s="76" t="b">
        <v>0</v>
      </c>
      <c r="BF90" s="76" t="b">
        <v>0</v>
      </c>
      <c r="BG90" s="76" t="b">
        <v>0</v>
      </c>
      <c r="BH90" s="82" t="str">
        <f>HYPERLINK("https://pbs.twimg.com/profile_banners/137013308/1590000852")</f>
        <v>https://pbs.twimg.com/profile_banners/137013308/1590000852</v>
      </c>
      <c r="BI90" s="76"/>
      <c r="BJ90" s="76" t="s">
        <v>2656</v>
      </c>
      <c r="BK90" s="76" t="b">
        <v>0</v>
      </c>
      <c r="BL90" s="76"/>
      <c r="BM90" s="76" t="s">
        <v>65</v>
      </c>
      <c r="BN90" s="76" t="s">
        <v>2657</v>
      </c>
      <c r="BO90" s="82" t="str">
        <f>HYPERLINK("https://twitter.com/annikasaarikko")</f>
        <v>https://twitter.com/annikasaarikko</v>
      </c>
      <c r="BP90" s="76" t="str">
        <f>REPLACE(INDEX(GroupVertices[Group],MATCH(Vertices[[#This Row],[Vertex]],GroupVertices[Vertex],0)),1,1,"")</f>
        <v>1</v>
      </c>
      <c r="BQ90" s="45"/>
      <c r="BR90" s="46"/>
      <c r="BS90" s="45"/>
      <c r="BT90" s="46"/>
      <c r="BU90" s="45"/>
      <c r="BV90" s="46"/>
      <c r="BW90" s="45"/>
      <c r="BX90" s="46"/>
      <c r="BY90" s="45"/>
      <c r="BZ90" s="45"/>
      <c r="CA90" s="45"/>
      <c r="CB90" s="45"/>
      <c r="CC90" s="45"/>
      <c r="CD90" s="45"/>
      <c r="CE90" s="45"/>
      <c r="CF90" s="45"/>
      <c r="CG90" s="45"/>
      <c r="CH90" s="45"/>
      <c r="CI90" s="45"/>
      <c r="CJ90" s="2"/>
    </row>
    <row r="91" spans="1:88" ht="15">
      <c r="A91" s="61" t="s">
        <v>342</v>
      </c>
      <c r="B91" s="62"/>
      <c r="C91" s="62"/>
      <c r="D91" s="63">
        <v>535</v>
      </c>
      <c r="E91" s="65"/>
      <c r="F91" s="100" t="str">
        <f>HYPERLINK("https://pbs.twimg.com/profile_images/1661751078814199808/pGvw1zNE_normal.jpg")</f>
        <v>https://pbs.twimg.com/profile_images/1661751078814199808/pGvw1zNE_normal.jpg</v>
      </c>
      <c r="G91" s="62"/>
      <c r="H91" s="66" t="s">
        <v>342</v>
      </c>
      <c r="I91" s="67"/>
      <c r="J91" s="67" t="s">
        <v>159</v>
      </c>
      <c r="K91" s="66" t="s">
        <v>2745</v>
      </c>
      <c r="L91" s="70">
        <v>477.0952380952381</v>
      </c>
      <c r="M91" s="71">
        <v>3923.741455078125</v>
      </c>
      <c r="N91" s="71">
        <v>8088.306640625</v>
      </c>
      <c r="O91" s="72"/>
      <c r="P91" s="73"/>
      <c r="Q91" s="73"/>
      <c r="R91" s="86"/>
      <c r="S91" s="45">
        <v>1</v>
      </c>
      <c r="T91" s="45">
        <v>0</v>
      </c>
      <c r="U91" s="46">
        <v>0</v>
      </c>
      <c r="V91" s="46">
        <v>0.30765</v>
      </c>
      <c r="W91" s="46">
        <v>0.05663</v>
      </c>
      <c r="X91" s="46">
        <v>0.00275</v>
      </c>
      <c r="Y91" s="46">
        <v>0</v>
      </c>
      <c r="Z91" s="46">
        <v>0</v>
      </c>
      <c r="AA91" s="68">
        <v>91</v>
      </c>
      <c r="AB91" s="68"/>
      <c r="AC91" s="69"/>
      <c r="AD91" s="76" t="s">
        <v>1336</v>
      </c>
      <c r="AE91" s="80" t="s">
        <v>1645</v>
      </c>
      <c r="AF91" s="76">
        <v>45373</v>
      </c>
      <c r="AG91" s="76">
        <v>3613</v>
      </c>
      <c r="AH91" s="76">
        <v>48839</v>
      </c>
      <c r="AI91" s="76">
        <v>181</v>
      </c>
      <c r="AJ91" s="76">
        <v>30256</v>
      </c>
      <c r="AK91" s="76">
        <v>3834</v>
      </c>
      <c r="AL91" s="76" t="b">
        <v>0</v>
      </c>
      <c r="AM91" s="78">
        <v>40988.70916666667</v>
      </c>
      <c r="AN91" s="76"/>
      <c r="AO91" s="76" t="s">
        <v>2124</v>
      </c>
      <c r="AP91" s="76"/>
      <c r="AQ91" s="76"/>
      <c r="AR91" s="76"/>
      <c r="AS91" s="76"/>
      <c r="AT91" s="76"/>
      <c r="AU91" s="76"/>
      <c r="AV91" s="76"/>
      <c r="AW91" s="76"/>
      <c r="AX91" s="76" t="b">
        <v>0</v>
      </c>
      <c r="AY91" s="76"/>
      <c r="AZ91" s="76"/>
      <c r="BA91" s="76" t="b">
        <v>0</v>
      </c>
      <c r="BB91" s="76" t="b">
        <v>1</v>
      </c>
      <c r="BC91" s="76" t="b">
        <v>0</v>
      </c>
      <c r="BD91" s="76" t="b">
        <v>0</v>
      </c>
      <c r="BE91" s="76" t="b">
        <v>1</v>
      </c>
      <c r="BF91" s="76" t="b">
        <v>0</v>
      </c>
      <c r="BG91" s="76" t="b">
        <v>0</v>
      </c>
      <c r="BH91" s="82" t="str">
        <f>HYPERLINK("https://pbs.twimg.com/profile_banners/531527946/1665401588")</f>
        <v>https://pbs.twimg.com/profile_banners/531527946/1665401588</v>
      </c>
      <c r="BI91" s="76"/>
      <c r="BJ91" s="76" t="s">
        <v>2656</v>
      </c>
      <c r="BK91" s="76" t="b">
        <v>0</v>
      </c>
      <c r="BL91" s="76"/>
      <c r="BM91" s="76" t="s">
        <v>65</v>
      </c>
      <c r="BN91" s="76" t="s">
        <v>2657</v>
      </c>
      <c r="BO91" s="82" t="str">
        <f>HYPERLINK("https://twitter.com/karnamikko")</f>
        <v>https://twitter.com/karnamikko</v>
      </c>
      <c r="BP91" s="76" t="str">
        <f>REPLACE(INDEX(GroupVertices[Group],MATCH(Vertices[[#This Row],[Vertex]],GroupVertices[Vertex],0)),1,1,"")</f>
        <v>1</v>
      </c>
      <c r="BQ91" s="45"/>
      <c r="BR91" s="46"/>
      <c r="BS91" s="45"/>
      <c r="BT91" s="46"/>
      <c r="BU91" s="45"/>
      <c r="BV91" s="46"/>
      <c r="BW91" s="45"/>
      <c r="BX91" s="46"/>
      <c r="BY91" s="45"/>
      <c r="BZ91" s="45"/>
      <c r="CA91" s="45"/>
      <c r="CB91" s="45"/>
      <c r="CC91" s="45"/>
      <c r="CD91" s="45"/>
      <c r="CE91" s="45"/>
      <c r="CF91" s="45"/>
      <c r="CG91" s="45"/>
      <c r="CH91" s="45"/>
      <c r="CI91" s="45"/>
      <c r="CJ91" s="2"/>
    </row>
    <row r="92" spans="1:88" ht="15">
      <c r="A92" s="61" t="s">
        <v>343</v>
      </c>
      <c r="B92" s="62"/>
      <c r="C92" s="62"/>
      <c r="D92" s="63">
        <v>535</v>
      </c>
      <c r="E92" s="65"/>
      <c r="F92" s="100" t="str">
        <f>HYPERLINK("https://pbs.twimg.com/profile_images/1569955220163026946/kZc79Gsn_normal.jpg")</f>
        <v>https://pbs.twimg.com/profile_images/1569955220163026946/kZc79Gsn_normal.jpg</v>
      </c>
      <c r="G92" s="62"/>
      <c r="H92" s="66" t="s">
        <v>343</v>
      </c>
      <c r="I92" s="67"/>
      <c r="J92" s="67" t="s">
        <v>159</v>
      </c>
      <c r="K92" s="66" t="s">
        <v>2746</v>
      </c>
      <c r="L92" s="70">
        <v>477.0952380952381</v>
      </c>
      <c r="M92" s="71">
        <v>3097.60791015625</v>
      </c>
      <c r="N92" s="71">
        <v>5907.45458984375</v>
      </c>
      <c r="O92" s="72"/>
      <c r="P92" s="73"/>
      <c r="Q92" s="73"/>
      <c r="R92" s="86"/>
      <c r="S92" s="45">
        <v>1</v>
      </c>
      <c r="T92" s="45">
        <v>0</v>
      </c>
      <c r="U92" s="46">
        <v>0</v>
      </c>
      <c r="V92" s="46">
        <v>0.30765</v>
      </c>
      <c r="W92" s="46">
        <v>0.05663</v>
      </c>
      <c r="X92" s="46">
        <v>0.00275</v>
      </c>
      <c r="Y92" s="46">
        <v>0</v>
      </c>
      <c r="Z92" s="46">
        <v>0</v>
      </c>
      <c r="AA92" s="68">
        <v>92</v>
      </c>
      <c r="AB92" s="68"/>
      <c r="AC92" s="69"/>
      <c r="AD92" s="76" t="s">
        <v>1337</v>
      </c>
      <c r="AE92" s="80" t="s">
        <v>1646</v>
      </c>
      <c r="AF92" s="76">
        <v>10823</v>
      </c>
      <c r="AG92" s="76">
        <v>1101</v>
      </c>
      <c r="AH92" s="76">
        <v>16111</v>
      </c>
      <c r="AI92" s="76">
        <v>33</v>
      </c>
      <c r="AJ92" s="76">
        <v>23804</v>
      </c>
      <c r="AK92" s="76">
        <v>539</v>
      </c>
      <c r="AL92" s="76" t="b">
        <v>0</v>
      </c>
      <c r="AM92" s="78">
        <v>40347.64381944444</v>
      </c>
      <c r="AN92" s="76" t="s">
        <v>1899</v>
      </c>
      <c r="AO92" s="76" t="s">
        <v>2125</v>
      </c>
      <c r="AP92" s="82" t="str">
        <f>HYPERLINK("https://t.co/YhPn2jkQB4")</f>
        <v>https://t.co/YhPn2jkQB4</v>
      </c>
      <c r="AQ92" s="82" t="str">
        <f>HYPERLINK("https://petralaiti.com/")</f>
        <v>https://petralaiti.com/</v>
      </c>
      <c r="AR92" s="76" t="s">
        <v>2408</v>
      </c>
      <c r="AS92" s="76"/>
      <c r="AT92" s="76"/>
      <c r="AU92" s="76"/>
      <c r="AV92" s="76">
        <v>9.06113068018651E+17</v>
      </c>
      <c r="AW92" s="82" t="str">
        <f>HYPERLINK("https://t.co/YhPn2jkQB4")</f>
        <v>https://t.co/YhPn2jkQB4</v>
      </c>
      <c r="AX92" s="76" t="b">
        <v>0</v>
      </c>
      <c r="AY92" s="76"/>
      <c r="AZ92" s="76"/>
      <c r="BA92" s="76" t="b">
        <v>0</v>
      </c>
      <c r="BB92" s="76" t="b">
        <v>0</v>
      </c>
      <c r="BC92" s="76" t="b">
        <v>0</v>
      </c>
      <c r="BD92" s="76" t="b">
        <v>0</v>
      </c>
      <c r="BE92" s="76" t="b">
        <v>1</v>
      </c>
      <c r="BF92" s="76" t="b">
        <v>0</v>
      </c>
      <c r="BG92" s="76" t="b">
        <v>0</v>
      </c>
      <c r="BH92" s="82" t="str">
        <f>HYPERLINK("https://pbs.twimg.com/profile_banners/157005724/1677059320")</f>
        <v>https://pbs.twimg.com/profile_banners/157005724/1677059320</v>
      </c>
      <c r="BI92" s="76"/>
      <c r="BJ92" s="76" t="s">
        <v>2656</v>
      </c>
      <c r="BK92" s="76" t="b">
        <v>0</v>
      </c>
      <c r="BL92" s="76"/>
      <c r="BM92" s="76" t="s">
        <v>65</v>
      </c>
      <c r="BN92" s="76" t="s">
        <v>2657</v>
      </c>
      <c r="BO92" s="82" t="str">
        <f>HYPERLINK("https://twitter.com/petralaiti")</f>
        <v>https://twitter.com/petralaiti</v>
      </c>
      <c r="BP92" s="76" t="str">
        <f>REPLACE(INDEX(GroupVertices[Group],MATCH(Vertices[[#This Row],[Vertex]],GroupVertices[Vertex],0)),1,1,"")</f>
        <v>1</v>
      </c>
      <c r="BQ92" s="45"/>
      <c r="BR92" s="46"/>
      <c r="BS92" s="45"/>
      <c r="BT92" s="46"/>
      <c r="BU92" s="45"/>
      <c r="BV92" s="46"/>
      <c r="BW92" s="45"/>
      <c r="BX92" s="46"/>
      <c r="BY92" s="45"/>
      <c r="BZ92" s="45"/>
      <c r="CA92" s="45"/>
      <c r="CB92" s="45"/>
      <c r="CC92" s="45"/>
      <c r="CD92" s="45"/>
      <c r="CE92" s="45"/>
      <c r="CF92" s="45"/>
      <c r="CG92" s="45"/>
      <c r="CH92" s="45"/>
      <c r="CI92" s="45"/>
      <c r="CJ92" s="2"/>
    </row>
    <row r="93" spans="1:88" ht="15">
      <c r="A93" s="61" t="s">
        <v>344</v>
      </c>
      <c r="B93" s="62"/>
      <c r="C93" s="62"/>
      <c r="D93" s="63">
        <v>535</v>
      </c>
      <c r="E93" s="65"/>
      <c r="F93" s="100" t="str">
        <f>HYPERLINK("https://pbs.twimg.com/profile_images/1638839338275332096/ubxllHi0_normal.jpg")</f>
        <v>https://pbs.twimg.com/profile_images/1638839338275332096/ubxllHi0_normal.jpg</v>
      </c>
      <c r="G93" s="62"/>
      <c r="H93" s="66" t="s">
        <v>344</v>
      </c>
      <c r="I93" s="67"/>
      <c r="J93" s="67" t="s">
        <v>159</v>
      </c>
      <c r="K93" s="66" t="s">
        <v>2747</v>
      </c>
      <c r="L93" s="70">
        <v>477.0952380952381</v>
      </c>
      <c r="M93" s="71">
        <v>1900.773193359375</v>
      </c>
      <c r="N93" s="71">
        <v>4517.37060546875</v>
      </c>
      <c r="O93" s="72"/>
      <c r="P93" s="73"/>
      <c r="Q93" s="73"/>
      <c r="R93" s="86"/>
      <c r="S93" s="45">
        <v>1</v>
      </c>
      <c r="T93" s="45">
        <v>0</v>
      </c>
      <c r="U93" s="46">
        <v>0</v>
      </c>
      <c r="V93" s="46">
        <v>0.30765</v>
      </c>
      <c r="W93" s="46">
        <v>0.05663</v>
      </c>
      <c r="X93" s="46">
        <v>0.00275</v>
      </c>
      <c r="Y93" s="46">
        <v>0</v>
      </c>
      <c r="Z93" s="46">
        <v>0</v>
      </c>
      <c r="AA93" s="68">
        <v>93</v>
      </c>
      <c r="AB93" s="68"/>
      <c r="AC93" s="69"/>
      <c r="AD93" s="76" t="s">
        <v>1338</v>
      </c>
      <c r="AE93" s="80" t="s">
        <v>1647</v>
      </c>
      <c r="AF93" s="76">
        <v>1945</v>
      </c>
      <c r="AG93" s="76">
        <v>1563</v>
      </c>
      <c r="AH93" s="76">
        <v>3935</v>
      </c>
      <c r="AI93" s="76">
        <v>19</v>
      </c>
      <c r="AJ93" s="76">
        <v>7289</v>
      </c>
      <c r="AK93" s="76">
        <v>138</v>
      </c>
      <c r="AL93" s="76" t="b">
        <v>0</v>
      </c>
      <c r="AM93" s="78">
        <v>41814.469363425924</v>
      </c>
      <c r="AN93" s="76"/>
      <c r="AO93" s="76" t="s">
        <v>2126</v>
      </c>
      <c r="AP93" s="76"/>
      <c r="AQ93" s="76"/>
      <c r="AR93" s="76"/>
      <c r="AS93" s="82" t="str">
        <f>HYPERLINK("https://t.co/Eye1AVl8W5")</f>
        <v>https://t.co/Eye1AVl8W5</v>
      </c>
      <c r="AT93" s="82" t="str">
        <f>HYPERLINK("http://luontoaconsulting.fi")</f>
        <v>http://luontoaconsulting.fi</v>
      </c>
      <c r="AU93" s="76" t="s">
        <v>2624</v>
      </c>
      <c r="AV93" s="76"/>
      <c r="AW93" s="76"/>
      <c r="AX93" s="76" t="b">
        <v>0</v>
      </c>
      <c r="AY93" s="76"/>
      <c r="AZ93" s="76"/>
      <c r="BA93" s="76" t="b">
        <v>1</v>
      </c>
      <c r="BB93" s="76" t="b">
        <v>1</v>
      </c>
      <c r="BC93" s="76" t="b">
        <v>0</v>
      </c>
      <c r="BD93" s="76" t="b">
        <v>0</v>
      </c>
      <c r="BE93" s="76" t="b">
        <v>0</v>
      </c>
      <c r="BF93" s="76" t="b">
        <v>0</v>
      </c>
      <c r="BG93" s="76" t="b">
        <v>0</v>
      </c>
      <c r="BH93" s="82" t="str">
        <f>HYPERLINK("https://pbs.twimg.com/profile_banners/2585568954/1679563514")</f>
        <v>https://pbs.twimg.com/profile_banners/2585568954/1679563514</v>
      </c>
      <c r="BI93" s="76"/>
      <c r="BJ93" s="76" t="s">
        <v>2656</v>
      </c>
      <c r="BK93" s="76" t="b">
        <v>0</v>
      </c>
      <c r="BL93" s="76"/>
      <c r="BM93" s="76" t="s">
        <v>65</v>
      </c>
      <c r="BN93" s="76" t="s">
        <v>2657</v>
      </c>
      <c r="BO93" s="82" t="str">
        <f>HYPERLINK("https://twitter.com/inkamusta")</f>
        <v>https://twitter.com/inkamusta</v>
      </c>
      <c r="BP93" s="76" t="str">
        <f>REPLACE(INDEX(GroupVertices[Group],MATCH(Vertices[[#This Row],[Vertex]],GroupVertices[Vertex],0)),1,1,"")</f>
        <v>1</v>
      </c>
      <c r="BQ93" s="45"/>
      <c r="BR93" s="46"/>
      <c r="BS93" s="45"/>
      <c r="BT93" s="46"/>
      <c r="BU93" s="45"/>
      <c r="BV93" s="46"/>
      <c r="BW93" s="45"/>
      <c r="BX93" s="46"/>
      <c r="BY93" s="45"/>
      <c r="BZ93" s="45"/>
      <c r="CA93" s="45"/>
      <c r="CB93" s="45"/>
      <c r="CC93" s="45"/>
      <c r="CD93" s="45"/>
      <c r="CE93" s="45"/>
      <c r="CF93" s="45"/>
      <c r="CG93" s="45"/>
      <c r="CH93" s="45"/>
      <c r="CI93" s="45"/>
      <c r="CJ93" s="2"/>
    </row>
    <row r="94" spans="1:88" ht="15">
      <c r="A94" s="61" t="s">
        <v>345</v>
      </c>
      <c r="B94" s="62"/>
      <c r="C94" s="62"/>
      <c r="D94" s="63">
        <v>535</v>
      </c>
      <c r="E94" s="65"/>
      <c r="F94" s="100" t="str">
        <f>HYPERLINK("https://pbs.twimg.com/profile_images/1698641073826906112/rm-QcN8F_normal.jpg")</f>
        <v>https://pbs.twimg.com/profile_images/1698641073826906112/rm-QcN8F_normal.jpg</v>
      </c>
      <c r="G94" s="62"/>
      <c r="H94" s="66" t="s">
        <v>345</v>
      </c>
      <c r="I94" s="67"/>
      <c r="J94" s="67" t="s">
        <v>159</v>
      </c>
      <c r="K94" s="66" t="s">
        <v>2748</v>
      </c>
      <c r="L94" s="70">
        <v>477.0952380952381</v>
      </c>
      <c r="M94" s="71">
        <v>2791.558349609375</v>
      </c>
      <c r="N94" s="71">
        <v>6987.14404296875</v>
      </c>
      <c r="O94" s="72"/>
      <c r="P94" s="73"/>
      <c r="Q94" s="73"/>
      <c r="R94" s="86"/>
      <c r="S94" s="45">
        <v>1</v>
      </c>
      <c r="T94" s="45">
        <v>0</v>
      </c>
      <c r="U94" s="46">
        <v>0</v>
      </c>
      <c r="V94" s="46">
        <v>0.30765</v>
      </c>
      <c r="W94" s="46">
        <v>0.05663</v>
      </c>
      <c r="X94" s="46">
        <v>0.00275</v>
      </c>
      <c r="Y94" s="46">
        <v>0</v>
      </c>
      <c r="Z94" s="46">
        <v>0</v>
      </c>
      <c r="AA94" s="68">
        <v>94</v>
      </c>
      <c r="AB94" s="68"/>
      <c r="AC94" s="69"/>
      <c r="AD94" s="76" t="s">
        <v>1339</v>
      </c>
      <c r="AE94" s="80" t="s">
        <v>1648</v>
      </c>
      <c r="AF94" s="76">
        <v>5557</v>
      </c>
      <c r="AG94" s="76">
        <v>5814</v>
      </c>
      <c r="AH94" s="76">
        <v>25121</v>
      </c>
      <c r="AI94" s="76">
        <v>64</v>
      </c>
      <c r="AJ94" s="76">
        <v>15628</v>
      </c>
      <c r="AK94" s="76">
        <v>1105</v>
      </c>
      <c r="AL94" s="76" t="b">
        <v>0</v>
      </c>
      <c r="AM94" s="78">
        <v>39622.414502314816</v>
      </c>
      <c r="AN94" s="76" t="s">
        <v>1905</v>
      </c>
      <c r="AO94" s="76" t="s">
        <v>2127</v>
      </c>
      <c r="AP94" s="82" t="str">
        <f>HYPERLINK("https://t.co/ofXwG7puoV")</f>
        <v>https://t.co/ofXwG7puoV</v>
      </c>
      <c r="AQ94" s="82" t="str">
        <f>HYPERLINK("https://piritanakkalajarvi.com")</f>
        <v>https://piritanakkalajarvi.com</v>
      </c>
      <c r="AR94" s="76" t="s">
        <v>2409</v>
      </c>
      <c r="AS94" s="76"/>
      <c r="AT94" s="76"/>
      <c r="AU94" s="76"/>
      <c r="AV94" s="76"/>
      <c r="AW94" s="82" t="str">
        <f>HYPERLINK("https://t.co/ofXwG7puoV")</f>
        <v>https://t.co/ofXwG7puoV</v>
      </c>
      <c r="AX94" s="76" t="b">
        <v>0</v>
      </c>
      <c r="AY94" s="76"/>
      <c r="AZ94" s="76"/>
      <c r="BA94" s="76" t="b">
        <v>0</v>
      </c>
      <c r="BB94" s="76" t="b">
        <v>0</v>
      </c>
      <c r="BC94" s="76" t="b">
        <v>0</v>
      </c>
      <c r="BD94" s="76" t="b">
        <v>0</v>
      </c>
      <c r="BE94" s="76" t="b">
        <v>1</v>
      </c>
      <c r="BF94" s="76" t="b">
        <v>0</v>
      </c>
      <c r="BG94" s="76" t="b">
        <v>0</v>
      </c>
      <c r="BH94" s="82" t="str">
        <f>HYPERLINK("https://pbs.twimg.com/profile_banners/15205449/1693823306")</f>
        <v>https://pbs.twimg.com/profile_banners/15205449/1693823306</v>
      </c>
      <c r="BI94" s="76"/>
      <c r="BJ94" s="76" t="s">
        <v>2656</v>
      </c>
      <c r="BK94" s="76" t="b">
        <v>0</v>
      </c>
      <c r="BL94" s="76"/>
      <c r="BM94" s="76" t="s">
        <v>65</v>
      </c>
      <c r="BN94" s="76" t="s">
        <v>2657</v>
      </c>
      <c r="BO94" s="82" t="str">
        <f>HYPERLINK("https://twitter.com/biret")</f>
        <v>https://twitter.com/biret</v>
      </c>
      <c r="BP94" s="76" t="str">
        <f>REPLACE(INDEX(GroupVertices[Group],MATCH(Vertices[[#This Row],[Vertex]],GroupVertices[Vertex],0)),1,1,"")</f>
        <v>1</v>
      </c>
      <c r="BQ94" s="45"/>
      <c r="BR94" s="46"/>
      <c r="BS94" s="45"/>
      <c r="BT94" s="46"/>
      <c r="BU94" s="45"/>
      <c r="BV94" s="46"/>
      <c r="BW94" s="45"/>
      <c r="BX94" s="46"/>
      <c r="BY94" s="45"/>
      <c r="BZ94" s="45"/>
      <c r="CA94" s="45"/>
      <c r="CB94" s="45"/>
      <c r="CC94" s="45"/>
      <c r="CD94" s="45"/>
      <c r="CE94" s="45"/>
      <c r="CF94" s="45"/>
      <c r="CG94" s="45"/>
      <c r="CH94" s="45"/>
      <c r="CI94" s="45"/>
      <c r="CJ94" s="2"/>
    </row>
    <row r="95" spans="1:88" ht="15">
      <c r="A95" s="61" t="s">
        <v>346</v>
      </c>
      <c r="B95" s="62"/>
      <c r="C95" s="62"/>
      <c r="D95" s="63">
        <v>535</v>
      </c>
      <c r="E95" s="65"/>
      <c r="F95" s="100" t="str">
        <f>HYPERLINK("https://pbs.twimg.com/profile_images/1657651651489017857/P0iulSmb_normal.jpg")</f>
        <v>https://pbs.twimg.com/profile_images/1657651651489017857/P0iulSmb_normal.jpg</v>
      </c>
      <c r="G95" s="62"/>
      <c r="H95" s="66" t="s">
        <v>346</v>
      </c>
      <c r="I95" s="67"/>
      <c r="J95" s="67" t="s">
        <v>159</v>
      </c>
      <c r="K95" s="66" t="s">
        <v>2749</v>
      </c>
      <c r="L95" s="70">
        <v>477.0952380952381</v>
      </c>
      <c r="M95" s="71">
        <v>2792.91552734375</v>
      </c>
      <c r="N95" s="71">
        <v>4339.85205078125</v>
      </c>
      <c r="O95" s="72"/>
      <c r="P95" s="73"/>
      <c r="Q95" s="73"/>
      <c r="R95" s="86"/>
      <c r="S95" s="45">
        <v>1</v>
      </c>
      <c r="T95" s="45">
        <v>0</v>
      </c>
      <c r="U95" s="46">
        <v>0</v>
      </c>
      <c r="V95" s="46">
        <v>0.30765</v>
      </c>
      <c r="W95" s="46">
        <v>0.05663</v>
      </c>
      <c r="X95" s="46">
        <v>0.00275</v>
      </c>
      <c r="Y95" s="46">
        <v>0</v>
      </c>
      <c r="Z95" s="46">
        <v>0</v>
      </c>
      <c r="AA95" s="68">
        <v>95</v>
      </c>
      <c r="AB95" s="68"/>
      <c r="AC95" s="69"/>
      <c r="AD95" s="76" t="s">
        <v>1340</v>
      </c>
      <c r="AE95" s="80" t="s">
        <v>1649</v>
      </c>
      <c r="AF95" s="76">
        <v>28637</v>
      </c>
      <c r="AG95" s="76">
        <v>1111</v>
      </c>
      <c r="AH95" s="76">
        <v>17276</v>
      </c>
      <c r="AI95" s="76">
        <v>233</v>
      </c>
      <c r="AJ95" s="76">
        <v>8680</v>
      </c>
      <c r="AK95" s="76">
        <v>1600</v>
      </c>
      <c r="AL95" s="76" t="b">
        <v>0</v>
      </c>
      <c r="AM95" s="78">
        <v>39863.452418981484</v>
      </c>
      <c r="AN95" s="76"/>
      <c r="AO95" s="76" t="s">
        <v>2128</v>
      </c>
      <c r="AP95" s="82" t="str">
        <f>HYPERLINK("https://t.co/HGhzw1rZyX")</f>
        <v>https://t.co/HGhzw1rZyX</v>
      </c>
      <c r="AQ95" s="82" t="str">
        <f>HYPERLINK("http://keskusta.fi")</f>
        <v>http://keskusta.fi</v>
      </c>
      <c r="AR95" s="76" t="s">
        <v>2410</v>
      </c>
      <c r="AS95" s="76"/>
      <c r="AT95" s="76"/>
      <c r="AU95" s="76"/>
      <c r="AV95" s="76"/>
      <c r="AW95" s="82" t="str">
        <f>HYPERLINK("https://t.co/HGhzw1rZyX")</f>
        <v>https://t.co/HGhzw1rZyX</v>
      </c>
      <c r="AX95" s="76" t="b">
        <v>0</v>
      </c>
      <c r="AY95" s="76"/>
      <c r="AZ95" s="76"/>
      <c r="BA95" s="76" t="b">
        <v>0</v>
      </c>
      <c r="BB95" s="76" t="b">
        <v>1</v>
      </c>
      <c r="BC95" s="76" t="b">
        <v>0</v>
      </c>
      <c r="BD95" s="76" t="b">
        <v>0</v>
      </c>
      <c r="BE95" s="76" t="b">
        <v>1</v>
      </c>
      <c r="BF95" s="76" t="b">
        <v>0</v>
      </c>
      <c r="BG95" s="76" t="b">
        <v>0</v>
      </c>
      <c r="BH95" s="82" t="str">
        <f>HYPERLINK("https://pbs.twimg.com/profile_banners/21289183/1634818385")</f>
        <v>https://pbs.twimg.com/profile_banners/21289183/1634818385</v>
      </c>
      <c r="BI95" s="76"/>
      <c r="BJ95" s="76" t="s">
        <v>2656</v>
      </c>
      <c r="BK95" s="76" t="b">
        <v>0</v>
      </c>
      <c r="BL95" s="76"/>
      <c r="BM95" s="76" t="s">
        <v>65</v>
      </c>
      <c r="BN95" s="76" t="s">
        <v>2657</v>
      </c>
      <c r="BO95" s="82" t="str">
        <f>HYPERLINK("https://twitter.com/keskusta")</f>
        <v>https://twitter.com/keskusta</v>
      </c>
      <c r="BP95" s="76" t="str">
        <f>REPLACE(INDEX(GroupVertices[Group],MATCH(Vertices[[#This Row],[Vertex]],GroupVertices[Vertex],0)),1,1,"")</f>
        <v>1</v>
      </c>
      <c r="BQ95" s="45"/>
      <c r="BR95" s="46"/>
      <c r="BS95" s="45"/>
      <c r="BT95" s="46"/>
      <c r="BU95" s="45"/>
      <c r="BV95" s="46"/>
      <c r="BW95" s="45"/>
      <c r="BX95" s="46"/>
      <c r="BY95" s="45"/>
      <c r="BZ95" s="45"/>
      <c r="CA95" s="45"/>
      <c r="CB95" s="45"/>
      <c r="CC95" s="45"/>
      <c r="CD95" s="45"/>
      <c r="CE95" s="45"/>
      <c r="CF95" s="45"/>
      <c r="CG95" s="45"/>
      <c r="CH95" s="45"/>
      <c r="CI95" s="45"/>
      <c r="CJ95" s="2"/>
    </row>
    <row r="96" spans="1:88" ht="15">
      <c r="A96" s="61" t="s">
        <v>347</v>
      </c>
      <c r="B96" s="62"/>
      <c r="C96" s="62"/>
      <c r="D96" s="63">
        <v>535</v>
      </c>
      <c r="E96" s="65"/>
      <c r="F96" s="100" t="str">
        <f>HYPERLINK("https://pbs.twimg.com/profile_images/1223312080952090625/YWIfvduU_normal.jpg")</f>
        <v>https://pbs.twimg.com/profile_images/1223312080952090625/YWIfvduU_normal.jpg</v>
      </c>
      <c r="G96" s="62"/>
      <c r="H96" s="66" t="s">
        <v>347</v>
      </c>
      <c r="I96" s="67"/>
      <c r="J96" s="67" t="s">
        <v>159</v>
      </c>
      <c r="K96" s="66" t="s">
        <v>2750</v>
      </c>
      <c r="L96" s="70">
        <v>477.0952380952381</v>
      </c>
      <c r="M96" s="71">
        <v>1898.88623046875</v>
      </c>
      <c r="N96" s="71">
        <v>3625.438232421875</v>
      </c>
      <c r="O96" s="72"/>
      <c r="P96" s="73"/>
      <c r="Q96" s="73"/>
      <c r="R96" s="86"/>
      <c r="S96" s="45">
        <v>1</v>
      </c>
      <c r="T96" s="45">
        <v>0</v>
      </c>
      <c r="U96" s="46">
        <v>0</v>
      </c>
      <c r="V96" s="46">
        <v>0.30765</v>
      </c>
      <c r="W96" s="46">
        <v>0.05663</v>
      </c>
      <c r="X96" s="46">
        <v>0.00275</v>
      </c>
      <c r="Y96" s="46">
        <v>0</v>
      </c>
      <c r="Z96" s="46">
        <v>0</v>
      </c>
      <c r="AA96" s="68">
        <v>96</v>
      </c>
      <c r="AB96" s="68"/>
      <c r="AC96" s="69"/>
      <c r="AD96" s="76" t="s">
        <v>1341</v>
      </c>
      <c r="AE96" s="80" t="s">
        <v>1650</v>
      </c>
      <c r="AF96" s="76">
        <v>16131</v>
      </c>
      <c r="AG96" s="76">
        <v>10801</v>
      </c>
      <c r="AH96" s="76">
        <v>12950</v>
      </c>
      <c r="AI96" s="76">
        <v>25</v>
      </c>
      <c r="AJ96" s="76">
        <v>12099</v>
      </c>
      <c r="AK96" s="76">
        <v>2641</v>
      </c>
      <c r="AL96" s="76" t="b">
        <v>0</v>
      </c>
      <c r="AM96" s="78">
        <v>43214.971597222226</v>
      </c>
      <c r="AN96" s="76" t="s">
        <v>1906</v>
      </c>
      <c r="AO96" s="76" t="s">
        <v>2129</v>
      </c>
      <c r="AP96" s="82" t="str">
        <f>HYPERLINK("https://t.co/jgi4daXlTD")</f>
        <v>https://t.co/jgi4daXlTD</v>
      </c>
      <c r="AQ96" s="82" t="str">
        <f>HYPERLINK("https://linktr.ee/HerSport")</f>
        <v>https://linktr.ee/HerSport</v>
      </c>
      <c r="AR96" s="76" t="s">
        <v>2411</v>
      </c>
      <c r="AS96" s="76"/>
      <c r="AT96" s="76"/>
      <c r="AU96" s="76"/>
      <c r="AV96" s="76">
        <v>1.62911629020693E+18</v>
      </c>
      <c r="AW96" s="82" t="str">
        <f>HYPERLINK("https://t.co/jgi4daXlTD")</f>
        <v>https://t.co/jgi4daXlTD</v>
      </c>
      <c r="AX96" s="76" t="b">
        <v>0</v>
      </c>
      <c r="AY96" s="76"/>
      <c r="AZ96" s="76"/>
      <c r="BA96" s="76" t="b">
        <v>1</v>
      </c>
      <c r="BB96" s="76" t="b">
        <v>1</v>
      </c>
      <c r="BC96" s="76" t="b">
        <v>1</v>
      </c>
      <c r="BD96" s="76" t="b">
        <v>0</v>
      </c>
      <c r="BE96" s="76" t="b">
        <v>1</v>
      </c>
      <c r="BF96" s="76" t="b">
        <v>0</v>
      </c>
      <c r="BG96" s="76" t="b">
        <v>0</v>
      </c>
      <c r="BH96" s="82" t="str">
        <f>HYPERLINK("https://pbs.twimg.com/profile_banners/988920296672460800/1632000674")</f>
        <v>https://pbs.twimg.com/profile_banners/988920296672460800/1632000674</v>
      </c>
      <c r="BI96" s="76"/>
      <c r="BJ96" s="76" t="s">
        <v>2656</v>
      </c>
      <c r="BK96" s="76" t="b">
        <v>0</v>
      </c>
      <c r="BL96" s="76"/>
      <c r="BM96" s="76" t="s">
        <v>65</v>
      </c>
      <c r="BN96" s="76" t="s">
        <v>2657</v>
      </c>
      <c r="BO96" s="82" t="str">
        <f>HYPERLINK("https://twitter.com/hersportdotie")</f>
        <v>https://twitter.com/hersportdotie</v>
      </c>
      <c r="BP96" s="76" t="str">
        <f>REPLACE(INDEX(GroupVertices[Group],MATCH(Vertices[[#This Row],[Vertex]],GroupVertices[Vertex],0)),1,1,"")</f>
        <v>1</v>
      </c>
      <c r="BQ96" s="45"/>
      <c r="BR96" s="46"/>
      <c r="BS96" s="45"/>
      <c r="BT96" s="46"/>
      <c r="BU96" s="45"/>
      <c r="BV96" s="46"/>
      <c r="BW96" s="45"/>
      <c r="BX96" s="46"/>
      <c r="BY96" s="45"/>
      <c r="BZ96" s="45"/>
      <c r="CA96" s="45"/>
      <c r="CB96" s="45"/>
      <c r="CC96" s="45"/>
      <c r="CD96" s="45"/>
      <c r="CE96" s="45"/>
      <c r="CF96" s="45"/>
      <c r="CG96" s="45"/>
      <c r="CH96" s="45"/>
      <c r="CI96" s="45"/>
      <c r="CJ96" s="2"/>
    </row>
    <row r="97" spans="1:88" ht="15">
      <c r="A97" s="61" t="s">
        <v>348</v>
      </c>
      <c r="B97" s="62"/>
      <c r="C97" s="62"/>
      <c r="D97" s="63">
        <v>535</v>
      </c>
      <c r="E97" s="65"/>
      <c r="F97" s="100" t="str">
        <f>HYPERLINK("https://pbs.twimg.com/profile_images/1271674949523120140/mE6PAwMa_normal.jpg")</f>
        <v>https://pbs.twimg.com/profile_images/1271674949523120140/mE6PAwMa_normal.jpg</v>
      </c>
      <c r="G97" s="62"/>
      <c r="H97" s="66" t="s">
        <v>348</v>
      </c>
      <c r="I97" s="67"/>
      <c r="J97" s="67" t="s">
        <v>159</v>
      </c>
      <c r="K97" s="66" t="s">
        <v>2751</v>
      </c>
      <c r="L97" s="70">
        <v>477.0952380952381</v>
      </c>
      <c r="M97" s="71">
        <v>3265.781494140625</v>
      </c>
      <c r="N97" s="71">
        <v>6981.4580078125</v>
      </c>
      <c r="O97" s="72"/>
      <c r="P97" s="73"/>
      <c r="Q97" s="73"/>
      <c r="R97" s="86"/>
      <c r="S97" s="45">
        <v>1</v>
      </c>
      <c r="T97" s="45">
        <v>0</v>
      </c>
      <c r="U97" s="46">
        <v>0</v>
      </c>
      <c r="V97" s="46">
        <v>0.30765</v>
      </c>
      <c r="W97" s="46">
        <v>0.05663</v>
      </c>
      <c r="X97" s="46">
        <v>0.00275</v>
      </c>
      <c r="Y97" s="46">
        <v>0</v>
      </c>
      <c r="Z97" s="46">
        <v>0</v>
      </c>
      <c r="AA97" s="68">
        <v>97</v>
      </c>
      <c r="AB97" s="68"/>
      <c r="AC97" s="69"/>
      <c r="AD97" s="76" t="s">
        <v>1342</v>
      </c>
      <c r="AE97" s="80" t="s">
        <v>1651</v>
      </c>
      <c r="AF97" s="76">
        <v>13586</v>
      </c>
      <c r="AG97" s="76">
        <v>3771</v>
      </c>
      <c r="AH97" s="76">
        <v>19793</v>
      </c>
      <c r="AI97" s="76">
        <v>39</v>
      </c>
      <c r="AJ97" s="76">
        <v>14743</v>
      </c>
      <c r="AK97" s="76">
        <v>3310</v>
      </c>
      <c r="AL97" s="76" t="b">
        <v>0</v>
      </c>
      <c r="AM97" s="78">
        <v>40852.924375</v>
      </c>
      <c r="AN97" s="76" t="s">
        <v>1907</v>
      </c>
      <c r="AO97" s="76" t="s">
        <v>2130</v>
      </c>
      <c r="AP97" s="76"/>
      <c r="AQ97" s="76"/>
      <c r="AR97" s="76"/>
      <c r="AS97" s="76"/>
      <c r="AT97" s="76"/>
      <c r="AU97" s="76"/>
      <c r="AV97" s="76">
        <v>1.30437148002999E+18</v>
      </c>
      <c r="AW97" s="76"/>
      <c r="AX97" s="76" t="b">
        <v>0</v>
      </c>
      <c r="AY97" s="76"/>
      <c r="AZ97" s="76"/>
      <c r="BA97" s="76" t="b">
        <v>1</v>
      </c>
      <c r="BB97" s="76" t="b">
        <v>1</v>
      </c>
      <c r="BC97" s="76" t="b">
        <v>0</v>
      </c>
      <c r="BD97" s="76" t="b">
        <v>0</v>
      </c>
      <c r="BE97" s="76" t="b">
        <v>1</v>
      </c>
      <c r="BF97" s="76" t="b">
        <v>0</v>
      </c>
      <c r="BG97" s="76" t="b">
        <v>0</v>
      </c>
      <c r="BH97" s="82" t="str">
        <f>HYPERLINK("https://pbs.twimg.com/profile_banners/405854863/1513095418")</f>
        <v>https://pbs.twimg.com/profile_banners/405854863/1513095418</v>
      </c>
      <c r="BI97" s="76"/>
      <c r="BJ97" s="76" t="s">
        <v>2656</v>
      </c>
      <c r="BK97" s="76" t="b">
        <v>0</v>
      </c>
      <c r="BL97" s="76"/>
      <c r="BM97" s="76" t="s">
        <v>65</v>
      </c>
      <c r="BN97" s="76" t="s">
        <v>2657</v>
      </c>
      <c r="BO97" s="82" t="str">
        <f>HYPERLINK("https://twitter.com/bamulanzeki")</f>
        <v>https://twitter.com/bamulanzeki</v>
      </c>
      <c r="BP97" s="76" t="str">
        <f>REPLACE(INDEX(GroupVertices[Group],MATCH(Vertices[[#This Row],[Vertex]],GroupVertices[Vertex],0)),1,1,"")</f>
        <v>1</v>
      </c>
      <c r="BQ97" s="45"/>
      <c r="BR97" s="46"/>
      <c r="BS97" s="45"/>
      <c r="BT97" s="46"/>
      <c r="BU97" s="45"/>
      <c r="BV97" s="46"/>
      <c r="BW97" s="45"/>
      <c r="BX97" s="46"/>
      <c r="BY97" s="45"/>
      <c r="BZ97" s="45"/>
      <c r="CA97" s="45"/>
      <c r="CB97" s="45"/>
      <c r="CC97" s="45"/>
      <c r="CD97" s="45"/>
      <c r="CE97" s="45"/>
      <c r="CF97" s="45"/>
      <c r="CG97" s="45"/>
      <c r="CH97" s="45"/>
      <c r="CI97" s="45"/>
      <c r="CJ97" s="2"/>
    </row>
    <row r="98" spans="1:88" ht="15">
      <c r="A98" s="61" t="s">
        <v>349</v>
      </c>
      <c r="B98" s="62"/>
      <c r="C98" s="62"/>
      <c r="D98" s="63">
        <v>535</v>
      </c>
      <c r="E98" s="65"/>
      <c r="F98" s="100" t="str">
        <f>HYPERLINK("https://pbs.twimg.com/profile_images/1230961024246874112/5gur-MlE_normal.jpg")</f>
        <v>https://pbs.twimg.com/profile_images/1230961024246874112/5gur-MlE_normal.jpg</v>
      </c>
      <c r="G98" s="62"/>
      <c r="H98" s="66" t="s">
        <v>349</v>
      </c>
      <c r="I98" s="67"/>
      <c r="J98" s="67" t="s">
        <v>159</v>
      </c>
      <c r="K98" s="66" t="s">
        <v>2752</v>
      </c>
      <c r="L98" s="70">
        <v>477.0952380952381</v>
      </c>
      <c r="M98" s="71">
        <v>609.5646362304688</v>
      </c>
      <c r="N98" s="71">
        <v>8654.4697265625</v>
      </c>
      <c r="O98" s="72"/>
      <c r="P98" s="73"/>
      <c r="Q98" s="73"/>
      <c r="R98" s="86"/>
      <c r="S98" s="45">
        <v>1</v>
      </c>
      <c r="T98" s="45">
        <v>0</v>
      </c>
      <c r="U98" s="46">
        <v>0</v>
      </c>
      <c r="V98" s="46">
        <v>0.30765</v>
      </c>
      <c r="W98" s="46">
        <v>0.05663</v>
      </c>
      <c r="X98" s="46">
        <v>0.00275</v>
      </c>
      <c r="Y98" s="46">
        <v>0</v>
      </c>
      <c r="Z98" s="46">
        <v>0</v>
      </c>
      <c r="AA98" s="68">
        <v>98</v>
      </c>
      <c r="AB98" s="68"/>
      <c r="AC98" s="69"/>
      <c r="AD98" s="76" t="s">
        <v>1343</v>
      </c>
      <c r="AE98" s="80" t="s">
        <v>1652</v>
      </c>
      <c r="AF98" s="76">
        <v>145180</v>
      </c>
      <c r="AG98" s="76">
        <v>648</v>
      </c>
      <c r="AH98" s="76">
        <v>12206</v>
      </c>
      <c r="AI98" s="76">
        <v>507</v>
      </c>
      <c r="AJ98" s="76">
        <v>3713</v>
      </c>
      <c r="AK98" s="76">
        <v>1181</v>
      </c>
      <c r="AL98" s="76" t="b">
        <v>0</v>
      </c>
      <c r="AM98" s="78">
        <v>39957.65835648148</v>
      </c>
      <c r="AN98" s="76" t="s">
        <v>1908</v>
      </c>
      <c r="AO98" s="76" t="s">
        <v>2131</v>
      </c>
      <c r="AP98" s="82" t="str">
        <f>HYPERLINK("https://t.co/r0wFlhaf2R")</f>
        <v>https://t.co/r0wFlhaf2R</v>
      </c>
      <c r="AQ98" s="82" t="str">
        <f>HYPERLINK("https://www.k-j-t.com/")</f>
        <v>https://www.k-j-t.com/</v>
      </c>
      <c r="AR98" s="76" t="s">
        <v>2412</v>
      </c>
      <c r="AS98" s="76"/>
      <c r="AT98" s="76"/>
      <c r="AU98" s="76"/>
      <c r="AV98" s="76">
        <v>1.69351888924462E+18</v>
      </c>
      <c r="AW98" s="82" t="str">
        <f>HYPERLINK("https://t.co/r0wFlhaf2R")</f>
        <v>https://t.co/r0wFlhaf2R</v>
      </c>
      <c r="AX98" s="76" t="b">
        <v>0</v>
      </c>
      <c r="AY98" s="76"/>
      <c r="AZ98" s="76"/>
      <c r="BA98" s="76" t="b">
        <v>0</v>
      </c>
      <c r="BB98" s="76" t="b">
        <v>1</v>
      </c>
      <c r="BC98" s="76" t="b">
        <v>0</v>
      </c>
      <c r="BD98" s="76" t="b">
        <v>0</v>
      </c>
      <c r="BE98" s="76" t="b">
        <v>0</v>
      </c>
      <c r="BF98" s="76" t="b">
        <v>0</v>
      </c>
      <c r="BG98" s="76" t="b">
        <v>1</v>
      </c>
      <c r="BH98" s="82" t="str">
        <f>HYPERLINK("https://pbs.twimg.com/profile_banners/42230810/1584893923")</f>
        <v>https://pbs.twimg.com/profile_banners/42230810/1584893923</v>
      </c>
      <c r="BI98" s="76"/>
      <c r="BJ98" s="76" t="s">
        <v>2656</v>
      </c>
      <c r="BK98" s="76" t="b">
        <v>0</v>
      </c>
      <c r="BL98" s="76"/>
      <c r="BM98" s="76" t="s">
        <v>65</v>
      </c>
      <c r="BN98" s="76" t="s">
        <v>2657</v>
      </c>
      <c r="BO98" s="82" t="str">
        <f>HYPERLINK("https://twitter.com/johnsonthompson")</f>
        <v>https://twitter.com/johnsonthompson</v>
      </c>
      <c r="BP98" s="76" t="str">
        <f>REPLACE(INDEX(GroupVertices[Group],MATCH(Vertices[[#This Row],[Vertex]],GroupVertices[Vertex],0)),1,1,"")</f>
        <v>1</v>
      </c>
      <c r="BQ98" s="45"/>
      <c r="BR98" s="46"/>
      <c r="BS98" s="45"/>
      <c r="BT98" s="46"/>
      <c r="BU98" s="45"/>
      <c r="BV98" s="46"/>
      <c r="BW98" s="45"/>
      <c r="BX98" s="46"/>
      <c r="BY98" s="45"/>
      <c r="BZ98" s="45"/>
      <c r="CA98" s="45"/>
      <c r="CB98" s="45"/>
      <c r="CC98" s="45"/>
      <c r="CD98" s="45"/>
      <c r="CE98" s="45"/>
      <c r="CF98" s="45"/>
      <c r="CG98" s="45"/>
      <c r="CH98" s="45"/>
      <c r="CI98" s="45"/>
      <c r="CJ98" s="2"/>
    </row>
    <row r="99" spans="1:88" ht="15">
      <c r="A99" s="61" t="s">
        <v>350</v>
      </c>
      <c r="B99" s="62"/>
      <c r="C99" s="62"/>
      <c r="D99" s="63">
        <v>535</v>
      </c>
      <c r="E99" s="65"/>
      <c r="F99" s="100" t="str">
        <f>HYPERLINK("https://pbs.twimg.com/profile_images/1624677302104739846/BO4JYMwA_normal.jpg")</f>
        <v>https://pbs.twimg.com/profile_images/1624677302104739846/BO4JYMwA_normal.jpg</v>
      </c>
      <c r="G99" s="62"/>
      <c r="H99" s="66" t="s">
        <v>350</v>
      </c>
      <c r="I99" s="67"/>
      <c r="J99" s="67" t="s">
        <v>159</v>
      </c>
      <c r="K99" s="66" t="s">
        <v>2753</v>
      </c>
      <c r="L99" s="70">
        <v>477.0952380952381</v>
      </c>
      <c r="M99" s="71">
        <v>3142.6982421875</v>
      </c>
      <c r="N99" s="71">
        <v>3937.392333984375</v>
      </c>
      <c r="O99" s="72"/>
      <c r="P99" s="73"/>
      <c r="Q99" s="73"/>
      <c r="R99" s="86"/>
      <c r="S99" s="45">
        <v>1</v>
      </c>
      <c r="T99" s="45">
        <v>0</v>
      </c>
      <c r="U99" s="46">
        <v>0</v>
      </c>
      <c r="V99" s="46">
        <v>0.30765</v>
      </c>
      <c r="W99" s="46">
        <v>0.05663</v>
      </c>
      <c r="X99" s="46">
        <v>0.00275</v>
      </c>
      <c r="Y99" s="46">
        <v>0</v>
      </c>
      <c r="Z99" s="46">
        <v>0</v>
      </c>
      <c r="AA99" s="68">
        <v>99</v>
      </c>
      <c r="AB99" s="68"/>
      <c r="AC99" s="69"/>
      <c r="AD99" s="76" t="s">
        <v>1344</v>
      </c>
      <c r="AE99" s="80" t="s">
        <v>1653</v>
      </c>
      <c r="AF99" s="76">
        <v>98527</v>
      </c>
      <c r="AG99" s="76">
        <v>460</v>
      </c>
      <c r="AH99" s="76">
        <v>859</v>
      </c>
      <c r="AI99" s="76">
        <v>29</v>
      </c>
      <c r="AJ99" s="76">
        <v>1424</v>
      </c>
      <c r="AK99" s="76">
        <v>300</v>
      </c>
      <c r="AL99" s="76" t="b">
        <v>0</v>
      </c>
      <c r="AM99" s="78">
        <v>42834.53233796296</v>
      </c>
      <c r="AN99" s="76" t="s">
        <v>1909</v>
      </c>
      <c r="AO99" s="76" t="s">
        <v>2132</v>
      </c>
      <c r="AP99" s="76"/>
      <c r="AQ99" s="76"/>
      <c r="AR99" s="76"/>
      <c r="AS99" s="76"/>
      <c r="AT99" s="76"/>
      <c r="AU99" s="76"/>
      <c r="AV99" s="76">
        <v>1.55546882234528E+18</v>
      </c>
      <c r="AW99" s="76"/>
      <c r="AX99" s="76" t="b">
        <v>1</v>
      </c>
      <c r="AY99" s="76"/>
      <c r="AZ99" s="76"/>
      <c r="BA99" s="76" t="b">
        <v>0</v>
      </c>
      <c r="BB99" s="76" t="b">
        <v>0</v>
      </c>
      <c r="BC99" s="76" t="b">
        <v>1</v>
      </c>
      <c r="BD99" s="76" t="b">
        <v>0</v>
      </c>
      <c r="BE99" s="76" t="b">
        <v>0</v>
      </c>
      <c r="BF99" s="76" t="b">
        <v>0</v>
      </c>
      <c r="BG99" s="76" t="b">
        <v>0</v>
      </c>
      <c r="BH99" s="82" t="str">
        <f>HYPERLINK("https://pbs.twimg.com/profile_banners/851053724269150209/1659976134")</f>
        <v>https://pbs.twimg.com/profile_banners/851053724269150209/1659976134</v>
      </c>
      <c r="BI99" s="76"/>
      <c r="BJ99" s="76" t="s">
        <v>2656</v>
      </c>
      <c r="BK99" s="76" t="b">
        <v>0</v>
      </c>
      <c r="BL99" s="76"/>
      <c r="BM99" s="76" t="s">
        <v>65</v>
      </c>
      <c r="BN99" s="76" t="s">
        <v>2657</v>
      </c>
      <c r="BO99" s="82" t="str">
        <f>HYPERLINK("https://twitter.com/ferdiomanyala")</f>
        <v>https://twitter.com/ferdiomanyala</v>
      </c>
      <c r="BP99" s="76" t="str">
        <f>REPLACE(INDEX(GroupVertices[Group],MATCH(Vertices[[#This Row],[Vertex]],GroupVertices[Vertex],0)),1,1,"")</f>
        <v>1</v>
      </c>
      <c r="BQ99" s="45"/>
      <c r="BR99" s="46"/>
      <c r="BS99" s="45"/>
      <c r="BT99" s="46"/>
      <c r="BU99" s="45"/>
      <c r="BV99" s="46"/>
      <c r="BW99" s="45"/>
      <c r="BX99" s="46"/>
      <c r="BY99" s="45"/>
      <c r="BZ99" s="45"/>
      <c r="CA99" s="45"/>
      <c r="CB99" s="45"/>
      <c r="CC99" s="45"/>
      <c r="CD99" s="45"/>
      <c r="CE99" s="45"/>
      <c r="CF99" s="45"/>
      <c r="CG99" s="45"/>
      <c r="CH99" s="45"/>
      <c r="CI99" s="45"/>
      <c r="CJ99" s="2"/>
    </row>
    <row r="100" spans="1:88" ht="15">
      <c r="A100" s="61" t="s">
        <v>351</v>
      </c>
      <c r="B100" s="62"/>
      <c r="C100" s="62"/>
      <c r="D100" s="63">
        <v>535</v>
      </c>
      <c r="E100" s="65"/>
      <c r="F100" s="100" t="str">
        <f>HYPERLINK("https://pbs.twimg.com/profile_images/1042389796579102720/Ktdn6bqD_normal.jpg")</f>
        <v>https://pbs.twimg.com/profile_images/1042389796579102720/Ktdn6bqD_normal.jpg</v>
      </c>
      <c r="G100" s="62"/>
      <c r="H100" s="66" t="s">
        <v>351</v>
      </c>
      <c r="I100" s="67"/>
      <c r="J100" s="67" t="s">
        <v>159</v>
      </c>
      <c r="K100" s="66" t="s">
        <v>2754</v>
      </c>
      <c r="L100" s="70">
        <v>477.0952380952381</v>
      </c>
      <c r="M100" s="71">
        <v>171.67857360839844</v>
      </c>
      <c r="N100" s="71">
        <v>7382.0087890625</v>
      </c>
      <c r="O100" s="72"/>
      <c r="P100" s="73"/>
      <c r="Q100" s="73"/>
      <c r="R100" s="86"/>
      <c r="S100" s="45">
        <v>1</v>
      </c>
      <c r="T100" s="45">
        <v>0</v>
      </c>
      <c r="U100" s="46">
        <v>0</v>
      </c>
      <c r="V100" s="46">
        <v>0.30765</v>
      </c>
      <c r="W100" s="46">
        <v>0.05663</v>
      </c>
      <c r="X100" s="46">
        <v>0.00275</v>
      </c>
      <c r="Y100" s="46">
        <v>0</v>
      </c>
      <c r="Z100" s="46">
        <v>0</v>
      </c>
      <c r="AA100" s="68">
        <v>100</v>
      </c>
      <c r="AB100" s="68"/>
      <c r="AC100" s="69"/>
      <c r="AD100" s="76" t="s">
        <v>1345</v>
      </c>
      <c r="AE100" s="80" t="s">
        <v>1654</v>
      </c>
      <c r="AF100" s="76">
        <v>8217</v>
      </c>
      <c r="AG100" s="76">
        <v>863</v>
      </c>
      <c r="AH100" s="76">
        <v>11352</v>
      </c>
      <c r="AI100" s="76">
        <v>149</v>
      </c>
      <c r="AJ100" s="76">
        <v>2321</v>
      </c>
      <c r="AK100" s="76">
        <v>1056</v>
      </c>
      <c r="AL100" s="76" t="b">
        <v>0</v>
      </c>
      <c r="AM100" s="78">
        <v>40840.52127314815</v>
      </c>
      <c r="AN100" s="76" t="s">
        <v>1910</v>
      </c>
      <c r="AO100" s="76" t="s">
        <v>2133</v>
      </c>
      <c r="AP100" s="76"/>
      <c r="AQ100" s="76"/>
      <c r="AR100" s="76"/>
      <c r="AS100" s="76"/>
      <c r="AT100" s="76"/>
      <c r="AU100" s="76"/>
      <c r="AV100" s="76">
        <v>1.69353193229697E+18</v>
      </c>
      <c r="AW100" s="76"/>
      <c r="AX100" s="76" t="b">
        <v>0</v>
      </c>
      <c r="AY100" s="76"/>
      <c r="AZ100" s="76"/>
      <c r="BA100" s="76" t="b">
        <v>1</v>
      </c>
      <c r="BB100" s="76" t="b">
        <v>1</v>
      </c>
      <c r="BC100" s="76" t="b">
        <v>0</v>
      </c>
      <c r="BD100" s="76" t="b">
        <v>0</v>
      </c>
      <c r="BE100" s="76" t="b">
        <v>1</v>
      </c>
      <c r="BF100" s="76" t="b">
        <v>0</v>
      </c>
      <c r="BG100" s="76" t="b">
        <v>0</v>
      </c>
      <c r="BH100" s="82" t="str">
        <f>HYPERLINK("https://pbs.twimg.com/profile_banners/397237114/1611090419")</f>
        <v>https://pbs.twimg.com/profile_banners/397237114/1611090419</v>
      </c>
      <c r="BI100" s="76"/>
      <c r="BJ100" s="76" t="s">
        <v>2656</v>
      </c>
      <c r="BK100" s="76" t="b">
        <v>0</v>
      </c>
      <c r="BL100" s="76"/>
      <c r="BM100" s="76" t="s">
        <v>65</v>
      </c>
      <c r="BN100" s="76" t="s">
        <v>2657</v>
      </c>
      <c r="BO100" s="82" t="str">
        <f>HYPERLINK("https://twitter.com/alvaroatletismo")</f>
        <v>https://twitter.com/alvaroatletismo</v>
      </c>
      <c r="BP100" s="76" t="str">
        <f>REPLACE(INDEX(GroupVertices[Group],MATCH(Vertices[[#This Row],[Vertex]],GroupVertices[Vertex],0)),1,1,"")</f>
        <v>1</v>
      </c>
      <c r="BQ100" s="45"/>
      <c r="BR100" s="46"/>
      <c r="BS100" s="45"/>
      <c r="BT100" s="46"/>
      <c r="BU100" s="45"/>
      <c r="BV100" s="46"/>
      <c r="BW100" s="45"/>
      <c r="BX100" s="46"/>
      <c r="BY100" s="45"/>
      <c r="BZ100" s="45"/>
      <c r="CA100" s="45"/>
      <c r="CB100" s="45"/>
      <c r="CC100" s="45"/>
      <c r="CD100" s="45"/>
      <c r="CE100" s="45"/>
      <c r="CF100" s="45"/>
      <c r="CG100" s="45"/>
      <c r="CH100" s="45"/>
      <c r="CI100" s="45"/>
      <c r="CJ100" s="2"/>
    </row>
    <row r="101" spans="1:88" ht="15">
      <c r="A101" s="61" t="s">
        <v>352</v>
      </c>
      <c r="B101" s="62"/>
      <c r="C101" s="62"/>
      <c r="D101" s="63">
        <v>535</v>
      </c>
      <c r="E101" s="65"/>
      <c r="F101" s="100" t="str">
        <f>HYPERLINK("https://pbs.twimg.com/profile_images/1287123612751847424/GeApWt3l_normal.jpg")</f>
        <v>https://pbs.twimg.com/profile_images/1287123612751847424/GeApWt3l_normal.jpg</v>
      </c>
      <c r="G101" s="62"/>
      <c r="H101" s="66" t="s">
        <v>352</v>
      </c>
      <c r="I101" s="67"/>
      <c r="J101" s="67" t="s">
        <v>159</v>
      </c>
      <c r="K101" s="66" t="s">
        <v>2755</v>
      </c>
      <c r="L101" s="70">
        <v>477.0952380952381</v>
      </c>
      <c r="M101" s="71">
        <v>130.6800537109375</v>
      </c>
      <c r="N101" s="71">
        <v>6916.17138671875</v>
      </c>
      <c r="O101" s="72"/>
      <c r="P101" s="73"/>
      <c r="Q101" s="73"/>
      <c r="R101" s="86"/>
      <c r="S101" s="45">
        <v>1</v>
      </c>
      <c r="T101" s="45">
        <v>0</v>
      </c>
      <c r="U101" s="46">
        <v>0</v>
      </c>
      <c r="V101" s="46">
        <v>0.30765</v>
      </c>
      <c r="W101" s="46">
        <v>0.05663</v>
      </c>
      <c r="X101" s="46">
        <v>0.00275</v>
      </c>
      <c r="Y101" s="46">
        <v>0</v>
      </c>
      <c r="Z101" s="46">
        <v>0</v>
      </c>
      <c r="AA101" s="68">
        <v>101</v>
      </c>
      <c r="AB101" s="68"/>
      <c r="AC101" s="69"/>
      <c r="AD101" s="76" t="s">
        <v>1346</v>
      </c>
      <c r="AE101" s="80" t="s">
        <v>1655</v>
      </c>
      <c r="AF101" s="76">
        <v>28210</v>
      </c>
      <c r="AG101" s="76">
        <v>2858</v>
      </c>
      <c r="AH101" s="76">
        <v>32759</v>
      </c>
      <c r="AI101" s="76">
        <v>44</v>
      </c>
      <c r="AJ101" s="76">
        <v>384806</v>
      </c>
      <c r="AK101" s="76">
        <v>10960</v>
      </c>
      <c r="AL101" s="76" t="b">
        <v>0</v>
      </c>
      <c r="AM101" s="78">
        <v>42043.38884259259</v>
      </c>
      <c r="AN101" s="76"/>
      <c r="AO101" s="76" t="s">
        <v>2134</v>
      </c>
      <c r="AP101" s="82" t="str">
        <f>HYPERLINK("https://t.co/oZZFvZdRVy")</f>
        <v>https://t.co/oZZFvZdRVy</v>
      </c>
      <c r="AQ101" s="82" t="str">
        <f>HYPERLINK("https://www.instagram.com/cinguetterai/")</f>
        <v>https://www.instagram.com/cinguetterai/</v>
      </c>
      <c r="AR101" s="76" t="s">
        <v>2413</v>
      </c>
      <c r="AS101" s="82" t="str">
        <f>HYPERLINK("https://t.co/50bdVEhsP9")</f>
        <v>https://t.co/50bdVEhsP9</v>
      </c>
      <c r="AT101" s="82" t="str">
        <f>HYPERLINK("http://instagram.com/cinguetterai/")</f>
        <v>http://instagram.com/cinguetterai/</v>
      </c>
      <c r="AU101" s="76" t="s">
        <v>2413</v>
      </c>
      <c r="AV101" s="76"/>
      <c r="AW101" s="82" t="str">
        <f>HYPERLINK("https://t.co/oZZFvZdRVy")</f>
        <v>https://t.co/oZZFvZdRVy</v>
      </c>
      <c r="AX101" s="76" t="b">
        <v>0</v>
      </c>
      <c r="AY101" s="76"/>
      <c r="AZ101" s="76"/>
      <c r="BA101" s="76" t="b">
        <v>0</v>
      </c>
      <c r="BB101" s="76" t="b">
        <v>1</v>
      </c>
      <c r="BC101" s="76" t="b">
        <v>0</v>
      </c>
      <c r="BD101" s="76" t="b">
        <v>0</v>
      </c>
      <c r="BE101" s="76" t="b">
        <v>1</v>
      </c>
      <c r="BF101" s="76" t="b">
        <v>0</v>
      </c>
      <c r="BG101" s="76" t="b">
        <v>0</v>
      </c>
      <c r="BH101" s="82" t="str">
        <f>HYPERLINK("https://pbs.twimg.com/profile_banners/3024638457/1625833156")</f>
        <v>https://pbs.twimg.com/profile_banners/3024638457/1625833156</v>
      </c>
      <c r="BI101" s="76"/>
      <c r="BJ101" s="76" t="s">
        <v>2656</v>
      </c>
      <c r="BK101" s="76" t="b">
        <v>0</v>
      </c>
      <c r="BL101" s="76"/>
      <c r="BM101" s="76" t="s">
        <v>65</v>
      </c>
      <c r="BN101" s="76" t="s">
        <v>2657</v>
      </c>
      <c r="BO101" s="82" t="str">
        <f>HYPERLINK("https://twitter.com/cinguetterai")</f>
        <v>https://twitter.com/cinguetterai</v>
      </c>
      <c r="BP101" s="76" t="str">
        <f>REPLACE(INDEX(GroupVertices[Group],MATCH(Vertices[[#This Row],[Vertex]],GroupVertices[Vertex],0)),1,1,"")</f>
        <v>1</v>
      </c>
      <c r="BQ101" s="45"/>
      <c r="BR101" s="46"/>
      <c r="BS101" s="45"/>
      <c r="BT101" s="46"/>
      <c r="BU101" s="45"/>
      <c r="BV101" s="46"/>
      <c r="BW101" s="45"/>
      <c r="BX101" s="46"/>
      <c r="BY101" s="45"/>
      <c r="BZ101" s="45"/>
      <c r="CA101" s="45"/>
      <c r="CB101" s="45"/>
      <c r="CC101" s="45"/>
      <c r="CD101" s="45"/>
      <c r="CE101" s="45"/>
      <c r="CF101" s="45"/>
      <c r="CG101" s="45"/>
      <c r="CH101" s="45"/>
      <c r="CI101" s="45"/>
      <c r="CJ101" s="2"/>
    </row>
    <row r="102" spans="1:88" ht="15">
      <c r="A102" s="61" t="s">
        <v>353</v>
      </c>
      <c r="B102" s="62"/>
      <c r="C102" s="62"/>
      <c r="D102" s="63">
        <v>535</v>
      </c>
      <c r="E102" s="65"/>
      <c r="F102" s="100" t="str">
        <f>HYPERLINK("https://pbs.twimg.com/profile_images/1221866371916525568/M31MeK7L_normal.jpg")</f>
        <v>https://pbs.twimg.com/profile_images/1221866371916525568/M31MeK7L_normal.jpg</v>
      </c>
      <c r="G102" s="62"/>
      <c r="H102" s="66" t="s">
        <v>353</v>
      </c>
      <c r="I102" s="67"/>
      <c r="J102" s="67" t="s">
        <v>159</v>
      </c>
      <c r="K102" s="66" t="s">
        <v>2756</v>
      </c>
      <c r="L102" s="70">
        <v>477.0952380952381</v>
      </c>
      <c r="M102" s="71">
        <v>3347.21435546875</v>
      </c>
      <c r="N102" s="71">
        <v>9178.3515625</v>
      </c>
      <c r="O102" s="72"/>
      <c r="P102" s="73"/>
      <c r="Q102" s="73"/>
      <c r="R102" s="86"/>
      <c r="S102" s="45">
        <v>1</v>
      </c>
      <c r="T102" s="45">
        <v>0</v>
      </c>
      <c r="U102" s="46">
        <v>0</v>
      </c>
      <c r="V102" s="46">
        <v>0.30765</v>
      </c>
      <c r="W102" s="46">
        <v>0.05663</v>
      </c>
      <c r="X102" s="46">
        <v>0.00275</v>
      </c>
      <c r="Y102" s="46">
        <v>0</v>
      </c>
      <c r="Z102" s="46">
        <v>0</v>
      </c>
      <c r="AA102" s="68">
        <v>102</v>
      </c>
      <c r="AB102" s="68"/>
      <c r="AC102" s="69"/>
      <c r="AD102" s="76" t="s">
        <v>1347</v>
      </c>
      <c r="AE102" s="80" t="s">
        <v>1656</v>
      </c>
      <c r="AF102" s="76">
        <v>549</v>
      </c>
      <c r="AG102" s="76">
        <v>481</v>
      </c>
      <c r="AH102" s="76">
        <v>862</v>
      </c>
      <c r="AI102" s="76">
        <v>20</v>
      </c>
      <c r="AJ102" s="76">
        <v>6363</v>
      </c>
      <c r="AK102" s="76">
        <v>133</v>
      </c>
      <c r="AL102" s="76" t="b">
        <v>0</v>
      </c>
      <c r="AM102" s="78">
        <v>40772.30583333333</v>
      </c>
      <c r="AN102" s="76" t="s">
        <v>1911</v>
      </c>
      <c r="AO102" s="76" t="s">
        <v>2135</v>
      </c>
      <c r="AP102" s="82" t="str">
        <f>HYPERLINK("https://t.co/BEVKza7VFz")</f>
        <v>https://t.co/BEVKza7VFz</v>
      </c>
      <c r="AQ102" s="82" t="str">
        <f>HYPERLINK("https://streamlineathletes.com")</f>
        <v>https://streamlineathletes.com</v>
      </c>
      <c r="AR102" s="76" t="s">
        <v>2414</v>
      </c>
      <c r="AS102" s="76"/>
      <c r="AT102" s="76"/>
      <c r="AU102" s="76"/>
      <c r="AV102" s="76"/>
      <c r="AW102" s="82" t="str">
        <f>HYPERLINK("https://t.co/BEVKza7VFz")</f>
        <v>https://t.co/BEVKza7VFz</v>
      </c>
      <c r="AX102" s="76" t="b">
        <v>0</v>
      </c>
      <c r="AY102" s="76"/>
      <c r="AZ102" s="76"/>
      <c r="BA102" s="76" t="b">
        <v>1</v>
      </c>
      <c r="BB102" s="76" t="b">
        <v>0</v>
      </c>
      <c r="BC102" s="76" t="b">
        <v>0</v>
      </c>
      <c r="BD102" s="76" t="b">
        <v>0</v>
      </c>
      <c r="BE102" s="76" t="b">
        <v>0</v>
      </c>
      <c r="BF102" s="76" t="b">
        <v>0</v>
      </c>
      <c r="BG102" s="76" t="b">
        <v>0</v>
      </c>
      <c r="BH102" s="82" t="str">
        <f>HYPERLINK("https://pbs.twimg.com/profile_banners/356704979/1580151081")</f>
        <v>https://pbs.twimg.com/profile_banners/356704979/1580151081</v>
      </c>
      <c r="BI102" s="76"/>
      <c r="BJ102" s="76" t="s">
        <v>2656</v>
      </c>
      <c r="BK102" s="76" t="b">
        <v>0</v>
      </c>
      <c r="BL102" s="76"/>
      <c r="BM102" s="76" t="s">
        <v>65</v>
      </c>
      <c r="BN102" s="76" t="s">
        <v>2657</v>
      </c>
      <c r="BO102" s="82" t="str">
        <f>HYPERLINK("https://twitter.com/brett_nineone")</f>
        <v>https://twitter.com/brett_nineone</v>
      </c>
      <c r="BP102" s="76" t="str">
        <f>REPLACE(INDEX(GroupVertices[Group],MATCH(Vertices[[#This Row],[Vertex]],GroupVertices[Vertex],0)),1,1,"")</f>
        <v>1</v>
      </c>
      <c r="BQ102" s="45"/>
      <c r="BR102" s="46"/>
      <c r="BS102" s="45"/>
      <c r="BT102" s="46"/>
      <c r="BU102" s="45"/>
      <c r="BV102" s="46"/>
      <c r="BW102" s="45"/>
      <c r="BX102" s="46"/>
      <c r="BY102" s="45"/>
      <c r="BZ102" s="45"/>
      <c r="CA102" s="45"/>
      <c r="CB102" s="45"/>
      <c r="CC102" s="45"/>
      <c r="CD102" s="45"/>
      <c r="CE102" s="45"/>
      <c r="CF102" s="45"/>
      <c r="CG102" s="45"/>
      <c r="CH102" s="45"/>
      <c r="CI102" s="45"/>
      <c r="CJ102" s="2"/>
    </row>
    <row r="103" spans="1:88" ht="15">
      <c r="A103" s="61" t="s">
        <v>354</v>
      </c>
      <c r="B103" s="62"/>
      <c r="C103" s="62"/>
      <c r="D103" s="63">
        <v>535</v>
      </c>
      <c r="E103" s="65"/>
      <c r="F103" s="100" t="str">
        <f>HYPERLINK("https://pbs.twimg.com/profile_images/1635217590640336901/g5Vwwlfb_normal.jpg")</f>
        <v>https://pbs.twimg.com/profile_images/1635217590640336901/g5Vwwlfb_normal.jpg</v>
      </c>
      <c r="G103" s="62"/>
      <c r="H103" s="66" t="s">
        <v>354</v>
      </c>
      <c r="I103" s="67"/>
      <c r="J103" s="67" t="s">
        <v>159</v>
      </c>
      <c r="K103" s="66" t="s">
        <v>2757</v>
      </c>
      <c r="L103" s="70">
        <v>477.0952380952381</v>
      </c>
      <c r="M103" s="71">
        <v>2424.340087890625</v>
      </c>
      <c r="N103" s="71">
        <v>7919.1513671875</v>
      </c>
      <c r="O103" s="72"/>
      <c r="P103" s="73"/>
      <c r="Q103" s="73"/>
      <c r="R103" s="86"/>
      <c r="S103" s="45">
        <v>1</v>
      </c>
      <c r="T103" s="45">
        <v>0</v>
      </c>
      <c r="U103" s="46">
        <v>0</v>
      </c>
      <c r="V103" s="46">
        <v>0.30765</v>
      </c>
      <c r="W103" s="46">
        <v>0.05663</v>
      </c>
      <c r="X103" s="46">
        <v>0.00275</v>
      </c>
      <c r="Y103" s="46">
        <v>0</v>
      </c>
      <c r="Z103" s="46">
        <v>0</v>
      </c>
      <c r="AA103" s="68">
        <v>103</v>
      </c>
      <c r="AB103" s="68"/>
      <c r="AC103" s="69"/>
      <c r="AD103" s="76" t="s">
        <v>1348</v>
      </c>
      <c r="AE103" s="80" t="s">
        <v>1657</v>
      </c>
      <c r="AF103" s="76">
        <v>454607</v>
      </c>
      <c r="AG103" s="76">
        <v>772</v>
      </c>
      <c r="AH103" s="76">
        <v>39684</v>
      </c>
      <c r="AI103" s="76">
        <v>2567</v>
      </c>
      <c r="AJ103" s="76">
        <v>2743</v>
      </c>
      <c r="AK103" s="76">
        <v>18800</v>
      </c>
      <c r="AL103" s="76" t="b">
        <v>0</v>
      </c>
      <c r="AM103" s="78">
        <v>39938.556342592594</v>
      </c>
      <c r="AN103" s="76" t="s">
        <v>1912</v>
      </c>
      <c r="AO103" s="76" t="s">
        <v>2136</v>
      </c>
      <c r="AP103" s="82" t="str">
        <f>HYPERLINK("https://t.co/9rb2jiXRQ2")</f>
        <v>https://t.co/9rb2jiXRQ2</v>
      </c>
      <c r="AQ103" s="82" t="str">
        <f>HYPERLINK("https://worldathletics.org/inside-track")</f>
        <v>https://worldathletics.org/inside-track</v>
      </c>
      <c r="AR103" s="76" t="s">
        <v>2415</v>
      </c>
      <c r="AS103" s="76"/>
      <c r="AT103" s="76"/>
      <c r="AU103" s="76"/>
      <c r="AV103" s="76"/>
      <c r="AW103" s="82" t="str">
        <f>HYPERLINK("https://t.co/9rb2jiXRQ2")</f>
        <v>https://t.co/9rb2jiXRQ2</v>
      </c>
      <c r="AX103" s="76" t="b">
        <v>1</v>
      </c>
      <c r="AY103" s="76"/>
      <c r="AZ103" s="76"/>
      <c r="BA103" s="76" t="b">
        <v>0</v>
      </c>
      <c r="BB103" s="76" t="b">
        <v>1</v>
      </c>
      <c r="BC103" s="76" t="b">
        <v>0</v>
      </c>
      <c r="BD103" s="76" t="b">
        <v>0</v>
      </c>
      <c r="BE103" s="76" t="b">
        <v>1</v>
      </c>
      <c r="BF103" s="76" t="b">
        <v>0</v>
      </c>
      <c r="BG103" s="76" t="b">
        <v>0</v>
      </c>
      <c r="BH103" s="82" t="str">
        <f>HYPERLINK("https://pbs.twimg.com/profile_banners/37921383/1692654422")</f>
        <v>https://pbs.twimg.com/profile_banners/37921383/1692654422</v>
      </c>
      <c r="BI103" s="76"/>
      <c r="BJ103" s="76" t="s">
        <v>2656</v>
      </c>
      <c r="BK103" s="76" t="b">
        <v>0</v>
      </c>
      <c r="BL103" s="76"/>
      <c r="BM103" s="76" t="s">
        <v>65</v>
      </c>
      <c r="BN103" s="76" t="s">
        <v>2657</v>
      </c>
      <c r="BO103" s="82" t="str">
        <f>HYPERLINK("https://twitter.com/worldathletics")</f>
        <v>https://twitter.com/worldathletics</v>
      </c>
      <c r="BP103" s="76" t="str">
        <f>REPLACE(INDEX(GroupVertices[Group],MATCH(Vertices[[#This Row],[Vertex]],GroupVertices[Vertex],0)),1,1,"")</f>
        <v>1</v>
      </c>
      <c r="BQ103" s="45"/>
      <c r="BR103" s="46"/>
      <c r="BS103" s="45"/>
      <c r="BT103" s="46"/>
      <c r="BU103" s="45"/>
      <c r="BV103" s="46"/>
      <c r="BW103" s="45"/>
      <c r="BX103" s="46"/>
      <c r="BY103" s="45"/>
      <c r="BZ103" s="45"/>
      <c r="CA103" s="45"/>
      <c r="CB103" s="45"/>
      <c r="CC103" s="45"/>
      <c r="CD103" s="45"/>
      <c r="CE103" s="45"/>
      <c r="CF103" s="45"/>
      <c r="CG103" s="45"/>
      <c r="CH103" s="45"/>
      <c r="CI103" s="45"/>
      <c r="CJ103" s="2"/>
    </row>
    <row r="104" spans="1:88" ht="15">
      <c r="A104" s="61" t="s">
        <v>355</v>
      </c>
      <c r="B104" s="62"/>
      <c r="C104" s="62"/>
      <c r="D104" s="63">
        <v>535</v>
      </c>
      <c r="E104" s="65"/>
      <c r="F104" s="100" t="str">
        <f>HYPERLINK("https://pbs.twimg.com/profile_images/1697139990084333568/oPqKPWVb_normal.jpg")</f>
        <v>https://pbs.twimg.com/profile_images/1697139990084333568/oPqKPWVb_normal.jpg</v>
      </c>
      <c r="G104" s="62"/>
      <c r="H104" s="66" t="s">
        <v>355</v>
      </c>
      <c r="I104" s="67"/>
      <c r="J104" s="67" t="s">
        <v>159</v>
      </c>
      <c r="K104" s="66" t="s">
        <v>2758</v>
      </c>
      <c r="L104" s="70">
        <v>477.0952380952381</v>
      </c>
      <c r="M104" s="71">
        <v>2658.9482421875</v>
      </c>
      <c r="N104" s="71">
        <v>5986.71826171875</v>
      </c>
      <c r="O104" s="72"/>
      <c r="P104" s="73"/>
      <c r="Q104" s="73"/>
      <c r="R104" s="86"/>
      <c r="S104" s="45">
        <v>1</v>
      </c>
      <c r="T104" s="45">
        <v>0</v>
      </c>
      <c r="U104" s="46">
        <v>0</v>
      </c>
      <c r="V104" s="46">
        <v>0.30765</v>
      </c>
      <c r="W104" s="46">
        <v>0.05663</v>
      </c>
      <c r="X104" s="46">
        <v>0.00275</v>
      </c>
      <c r="Y104" s="46">
        <v>0</v>
      </c>
      <c r="Z104" s="46">
        <v>0</v>
      </c>
      <c r="AA104" s="68">
        <v>104</v>
      </c>
      <c r="AB104" s="68"/>
      <c r="AC104" s="69"/>
      <c r="AD104" s="76" t="s">
        <v>1349</v>
      </c>
      <c r="AE104" s="80" t="s">
        <v>1658</v>
      </c>
      <c r="AF104" s="76">
        <v>63848</v>
      </c>
      <c r="AG104" s="76">
        <v>548</v>
      </c>
      <c r="AH104" s="76">
        <v>2223</v>
      </c>
      <c r="AI104" s="76">
        <v>105</v>
      </c>
      <c r="AJ104" s="76">
        <v>11454</v>
      </c>
      <c r="AK104" s="76">
        <v>146</v>
      </c>
      <c r="AL104" s="76" t="b">
        <v>0</v>
      </c>
      <c r="AM104" s="78">
        <v>42449.2196412037</v>
      </c>
      <c r="AN104" s="76" t="s">
        <v>1913</v>
      </c>
      <c r="AO104" s="76" t="s">
        <v>2137</v>
      </c>
      <c r="AP104" s="76"/>
      <c r="AQ104" s="76"/>
      <c r="AR104" s="76"/>
      <c r="AS104" s="76"/>
      <c r="AT104" s="76"/>
      <c r="AU104" s="76"/>
      <c r="AV104" s="76"/>
      <c r="AW104" s="76"/>
      <c r="AX104" s="76" t="b">
        <v>1</v>
      </c>
      <c r="AY104" s="76"/>
      <c r="AZ104" s="76"/>
      <c r="BA104" s="76" t="b">
        <v>1</v>
      </c>
      <c r="BB104" s="76" t="b">
        <v>0</v>
      </c>
      <c r="BC104" s="76" t="b">
        <v>1</v>
      </c>
      <c r="BD104" s="76" t="b">
        <v>0</v>
      </c>
      <c r="BE104" s="76" t="b">
        <v>1</v>
      </c>
      <c r="BF104" s="76" t="b">
        <v>0</v>
      </c>
      <c r="BG104" s="76" t="b">
        <v>0</v>
      </c>
      <c r="BH104" s="82" t="str">
        <f>HYPERLINK("https://pbs.twimg.com/profile_banners/711421078862745601/1554210952")</f>
        <v>https://pbs.twimg.com/profile_banners/711421078862745601/1554210952</v>
      </c>
      <c r="BI104" s="76"/>
      <c r="BJ104" s="76" t="s">
        <v>2656</v>
      </c>
      <c r="BK104" s="76" t="b">
        <v>0</v>
      </c>
      <c r="BL104" s="76"/>
      <c r="BM104" s="76" t="s">
        <v>65</v>
      </c>
      <c r="BN104" s="76" t="s">
        <v>2657</v>
      </c>
      <c r="BO104" s="82" t="str">
        <f>HYPERLINK("https://twitter.com/joshuacheptege1")</f>
        <v>https://twitter.com/joshuacheptege1</v>
      </c>
      <c r="BP104" s="76" t="str">
        <f>REPLACE(INDEX(GroupVertices[Group],MATCH(Vertices[[#This Row],[Vertex]],GroupVertices[Vertex],0)),1,1,"")</f>
        <v>1</v>
      </c>
      <c r="BQ104" s="45"/>
      <c r="BR104" s="46"/>
      <c r="BS104" s="45"/>
      <c r="BT104" s="46"/>
      <c r="BU104" s="45"/>
      <c r="BV104" s="46"/>
      <c r="BW104" s="45"/>
      <c r="BX104" s="46"/>
      <c r="BY104" s="45"/>
      <c r="BZ104" s="45"/>
      <c r="CA104" s="45"/>
      <c r="CB104" s="45"/>
      <c r="CC104" s="45"/>
      <c r="CD104" s="45"/>
      <c r="CE104" s="45"/>
      <c r="CF104" s="45"/>
      <c r="CG104" s="45"/>
      <c r="CH104" s="45"/>
      <c r="CI104" s="45"/>
      <c r="CJ104" s="2"/>
    </row>
    <row r="105" spans="1:88" ht="15">
      <c r="A105" s="61" t="s">
        <v>356</v>
      </c>
      <c r="B105" s="62"/>
      <c r="C105" s="62"/>
      <c r="D105" s="63">
        <v>535</v>
      </c>
      <c r="E105" s="65"/>
      <c r="F105" s="100" t="str">
        <f>HYPERLINK("https://pbs.twimg.com/profile_images/1470769862360416262/ky-E0r0U_normal.jpg")</f>
        <v>https://pbs.twimg.com/profile_images/1470769862360416262/ky-E0r0U_normal.jpg</v>
      </c>
      <c r="G105" s="62"/>
      <c r="H105" s="66" t="s">
        <v>356</v>
      </c>
      <c r="I105" s="67"/>
      <c r="J105" s="67" t="s">
        <v>159</v>
      </c>
      <c r="K105" s="66" t="s">
        <v>2759</v>
      </c>
      <c r="L105" s="70">
        <v>477.0952380952381</v>
      </c>
      <c r="M105" s="71">
        <v>3098.9853515625</v>
      </c>
      <c r="N105" s="71">
        <v>9448.140625</v>
      </c>
      <c r="O105" s="72"/>
      <c r="P105" s="73"/>
      <c r="Q105" s="73"/>
      <c r="R105" s="86"/>
      <c r="S105" s="45">
        <v>1</v>
      </c>
      <c r="T105" s="45">
        <v>0</v>
      </c>
      <c r="U105" s="46">
        <v>0</v>
      </c>
      <c r="V105" s="46">
        <v>0.30765</v>
      </c>
      <c r="W105" s="46">
        <v>0.05663</v>
      </c>
      <c r="X105" s="46">
        <v>0.00275</v>
      </c>
      <c r="Y105" s="46">
        <v>0</v>
      </c>
      <c r="Z105" s="46">
        <v>0</v>
      </c>
      <c r="AA105" s="68">
        <v>105</v>
      </c>
      <c r="AB105" s="68"/>
      <c r="AC105" s="69"/>
      <c r="AD105" s="76" t="s">
        <v>1350</v>
      </c>
      <c r="AE105" s="80" t="s">
        <v>1659</v>
      </c>
      <c r="AF105" s="76">
        <v>88748</v>
      </c>
      <c r="AG105" s="76">
        <v>505</v>
      </c>
      <c r="AH105" s="76">
        <v>63235</v>
      </c>
      <c r="AI105" s="76">
        <v>173</v>
      </c>
      <c r="AJ105" s="76">
        <v>16983</v>
      </c>
      <c r="AK105" s="76">
        <v>5158</v>
      </c>
      <c r="AL105" s="76" t="b">
        <v>0</v>
      </c>
      <c r="AM105" s="78">
        <v>40440.63350694445</v>
      </c>
      <c r="AN105" s="76" t="s">
        <v>1914</v>
      </c>
      <c r="AO105" s="76" t="s">
        <v>2138</v>
      </c>
      <c r="AP105" s="82" t="str">
        <f>HYPERLINK("https://t.co/HpjJmoHcU1")</f>
        <v>https://t.co/HpjJmoHcU1</v>
      </c>
      <c r="AQ105" s="82" t="str">
        <f>HYPERLINK("http://about.me/dejiadesogan")</f>
        <v>http://about.me/dejiadesogan</v>
      </c>
      <c r="AR105" s="76" t="s">
        <v>2416</v>
      </c>
      <c r="AS105" s="76"/>
      <c r="AT105" s="76"/>
      <c r="AU105" s="76"/>
      <c r="AV105" s="76"/>
      <c r="AW105" s="82" t="str">
        <f>HYPERLINK("https://t.co/HpjJmoHcU1")</f>
        <v>https://t.co/HpjJmoHcU1</v>
      </c>
      <c r="AX105" s="76" t="b">
        <v>1</v>
      </c>
      <c r="AY105" s="76"/>
      <c r="AZ105" s="76"/>
      <c r="BA105" s="76" t="b">
        <v>0</v>
      </c>
      <c r="BB105" s="76" t="b">
        <v>0</v>
      </c>
      <c r="BC105" s="76" t="b">
        <v>1</v>
      </c>
      <c r="BD105" s="76" t="b">
        <v>0</v>
      </c>
      <c r="BE105" s="76" t="b">
        <v>1</v>
      </c>
      <c r="BF105" s="76" t="b">
        <v>0</v>
      </c>
      <c r="BG105" s="76" t="b">
        <v>0</v>
      </c>
      <c r="BH105" s="82" t="str">
        <f>HYPERLINK("https://pbs.twimg.com/profile_banners/192575711/1610794328")</f>
        <v>https://pbs.twimg.com/profile_banners/192575711/1610794328</v>
      </c>
      <c r="BI105" s="76"/>
      <c r="BJ105" s="76" t="s">
        <v>2656</v>
      </c>
      <c r="BK105" s="76" t="b">
        <v>0</v>
      </c>
      <c r="BL105" s="76"/>
      <c r="BM105" s="76" t="s">
        <v>65</v>
      </c>
      <c r="BN105" s="76" t="s">
        <v>2657</v>
      </c>
      <c r="BO105" s="82" t="str">
        <f>HYPERLINK("https://twitter.com/dejiadesogan")</f>
        <v>https://twitter.com/dejiadesogan</v>
      </c>
      <c r="BP105" s="76" t="str">
        <f>REPLACE(INDEX(GroupVertices[Group],MATCH(Vertices[[#This Row],[Vertex]],GroupVertices[Vertex],0)),1,1,"")</f>
        <v>1</v>
      </c>
      <c r="BQ105" s="45"/>
      <c r="BR105" s="46"/>
      <c r="BS105" s="45"/>
      <c r="BT105" s="46"/>
      <c r="BU105" s="45"/>
      <c r="BV105" s="46"/>
      <c r="BW105" s="45"/>
      <c r="BX105" s="46"/>
      <c r="BY105" s="45"/>
      <c r="BZ105" s="45"/>
      <c r="CA105" s="45"/>
      <c r="CB105" s="45"/>
      <c r="CC105" s="45"/>
      <c r="CD105" s="45"/>
      <c r="CE105" s="45"/>
      <c r="CF105" s="45"/>
      <c r="CG105" s="45"/>
      <c r="CH105" s="45"/>
      <c r="CI105" s="45"/>
      <c r="CJ105" s="2"/>
    </row>
    <row r="106" spans="1:88" ht="15">
      <c r="A106" s="61" t="s">
        <v>357</v>
      </c>
      <c r="B106" s="62"/>
      <c r="C106" s="62"/>
      <c r="D106" s="63">
        <v>535</v>
      </c>
      <c r="E106" s="65"/>
      <c r="F106" s="100" t="str">
        <f>HYPERLINK("https://pbs.twimg.com/profile_images/1144561366960922624/LsI-PFSe_normal.png")</f>
        <v>https://pbs.twimg.com/profile_images/1144561366960922624/LsI-PFSe_normal.png</v>
      </c>
      <c r="G106" s="62"/>
      <c r="H106" s="66" t="s">
        <v>357</v>
      </c>
      <c r="I106" s="67"/>
      <c r="J106" s="67" t="s">
        <v>159</v>
      </c>
      <c r="K106" s="66" t="s">
        <v>2760</v>
      </c>
      <c r="L106" s="70">
        <v>477.0952380952381</v>
      </c>
      <c r="M106" s="71">
        <v>2834.4990234375</v>
      </c>
      <c r="N106" s="71">
        <v>9123.5400390625</v>
      </c>
      <c r="O106" s="72"/>
      <c r="P106" s="73"/>
      <c r="Q106" s="73"/>
      <c r="R106" s="86"/>
      <c r="S106" s="45">
        <v>1</v>
      </c>
      <c r="T106" s="45">
        <v>0</v>
      </c>
      <c r="U106" s="46">
        <v>0</v>
      </c>
      <c r="V106" s="46">
        <v>0.30765</v>
      </c>
      <c r="W106" s="46">
        <v>0.05663</v>
      </c>
      <c r="X106" s="46">
        <v>0.00275</v>
      </c>
      <c r="Y106" s="46">
        <v>0</v>
      </c>
      <c r="Z106" s="46">
        <v>0</v>
      </c>
      <c r="AA106" s="68">
        <v>106</v>
      </c>
      <c r="AB106" s="68"/>
      <c r="AC106" s="69"/>
      <c r="AD106" s="76" t="s">
        <v>1351</v>
      </c>
      <c r="AE106" s="80" t="s">
        <v>1660</v>
      </c>
      <c r="AF106" s="76">
        <v>18448</v>
      </c>
      <c r="AG106" s="76">
        <v>4120</v>
      </c>
      <c r="AH106" s="76">
        <v>7531</v>
      </c>
      <c r="AI106" s="76">
        <v>184</v>
      </c>
      <c r="AJ106" s="76">
        <v>18624</v>
      </c>
      <c r="AK106" s="76">
        <v>383</v>
      </c>
      <c r="AL106" s="76" t="b">
        <v>0</v>
      </c>
      <c r="AM106" s="78">
        <v>41257.66207175926</v>
      </c>
      <c r="AN106" s="76"/>
      <c r="AO106" s="76" t="s">
        <v>2139</v>
      </c>
      <c r="AP106" s="82" t="str">
        <f>HYPERLINK("https://t.co/8OPSyNsppd")</f>
        <v>https://t.co/8OPSyNsppd</v>
      </c>
      <c r="AQ106" s="82" t="str">
        <f>HYPERLINK("http://www.liisajaakonsaari.fi")</f>
        <v>http://www.liisajaakonsaari.fi</v>
      </c>
      <c r="AR106" s="76" t="s">
        <v>2417</v>
      </c>
      <c r="AS106" s="76"/>
      <c r="AT106" s="76"/>
      <c r="AU106" s="76"/>
      <c r="AV106" s="76"/>
      <c r="AW106" s="82" t="str">
        <f>HYPERLINK("https://t.co/8OPSyNsppd")</f>
        <v>https://t.co/8OPSyNsppd</v>
      </c>
      <c r="AX106" s="76" t="b">
        <v>0</v>
      </c>
      <c r="AY106" s="76"/>
      <c r="AZ106" s="76"/>
      <c r="BA106" s="76" t="b">
        <v>0</v>
      </c>
      <c r="BB106" s="76" t="b">
        <v>1</v>
      </c>
      <c r="BC106" s="76" t="b">
        <v>1</v>
      </c>
      <c r="BD106" s="76" t="b">
        <v>0</v>
      </c>
      <c r="BE106" s="76" t="b">
        <v>1</v>
      </c>
      <c r="BF106" s="76" t="b">
        <v>0</v>
      </c>
      <c r="BG106" s="76" t="b">
        <v>0</v>
      </c>
      <c r="BH106" s="82" t="str">
        <f>HYPERLINK("https://pbs.twimg.com/profile_banners/1011412910/1401979896")</f>
        <v>https://pbs.twimg.com/profile_banners/1011412910/1401979896</v>
      </c>
      <c r="BI106" s="76"/>
      <c r="BJ106" s="76" t="s">
        <v>2656</v>
      </c>
      <c r="BK106" s="76" t="b">
        <v>0</v>
      </c>
      <c r="BL106" s="76"/>
      <c r="BM106" s="76" t="s">
        <v>65</v>
      </c>
      <c r="BN106" s="76" t="s">
        <v>2657</v>
      </c>
      <c r="BO106" s="82" t="str">
        <f>HYPERLINK("https://twitter.com/ljaakonsaari")</f>
        <v>https://twitter.com/ljaakonsaari</v>
      </c>
      <c r="BP106" s="76" t="str">
        <f>REPLACE(INDEX(GroupVertices[Group],MATCH(Vertices[[#This Row],[Vertex]],GroupVertices[Vertex],0)),1,1,"")</f>
        <v>1</v>
      </c>
      <c r="BQ106" s="45"/>
      <c r="BR106" s="46"/>
      <c r="BS106" s="45"/>
      <c r="BT106" s="46"/>
      <c r="BU106" s="45"/>
      <c r="BV106" s="46"/>
      <c r="BW106" s="45"/>
      <c r="BX106" s="46"/>
      <c r="BY106" s="45"/>
      <c r="BZ106" s="45"/>
      <c r="CA106" s="45"/>
      <c r="CB106" s="45"/>
      <c r="CC106" s="45"/>
      <c r="CD106" s="45"/>
      <c r="CE106" s="45"/>
      <c r="CF106" s="45"/>
      <c r="CG106" s="45"/>
      <c r="CH106" s="45"/>
      <c r="CI106" s="45"/>
      <c r="CJ106" s="2"/>
    </row>
    <row r="107" spans="1:88" ht="15">
      <c r="A107" s="61" t="s">
        <v>358</v>
      </c>
      <c r="B107" s="62"/>
      <c r="C107" s="62"/>
      <c r="D107" s="63">
        <v>535</v>
      </c>
      <c r="E107" s="65"/>
      <c r="F107" s="100" t="str">
        <f>HYPERLINK("https://pbs.twimg.com/profile_images/1099561156119793664/tPuHIc7J_normal.jpg")</f>
        <v>https://pbs.twimg.com/profile_images/1099561156119793664/tPuHIc7J_normal.jpg</v>
      </c>
      <c r="G107" s="62"/>
      <c r="H107" s="66" t="s">
        <v>358</v>
      </c>
      <c r="I107" s="67"/>
      <c r="J107" s="67" t="s">
        <v>159</v>
      </c>
      <c r="K107" s="66" t="s">
        <v>2761</v>
      </c>
      <c r="L107" s="70">
        <v>477.0952380952381</v>
      </c>
      <c r="M107" s="71">
        <v>4056.8623046875</v>
      </c>
      <c r="N107" s="71">
        <v>7650.03662109375</v>
      </c>
      <c r="O107" s="72"/>
      <c r="P107" s="73"/>
      <c r="Q107" s="73"/>
      <c r="R107" s="86"/>
      <c r="S107" s="45">
        <v>1</v>
      </c>
      <c r="T107" s="45">
        <v>0</v>
      </c>
      <c r="U107" s="46">
        <v>0</v>
      </c>
      <c r="V107" s="46">
        <v>0.30765</v>
      </c>
      <c r="W107" s="46">
        <v>0.05663</v>
      </c>
      <c r="X107" s="46">
        <v>0.00275</v>
      </c>
      <c r="Y107" s="46">
        <v>0</v>
      </c>
      <c r="Z107" s="46">
        <v>0</v>
      </c>
      <c r="AA107" s="68">
        <v>107</v>
      </c>
      <c r="AB107" s="68"/>
      <c r="AC107" s="69"/>
      <c r="AD107" s="76" t="s">
        <v>1352</v>
      </c>
      <c r="AE107" s="80" t="s">
        <v>1661</v>
      </c>
      <c r="AF107" s="76">
        <v>17323</v>
      </c>
      <c r="AG107" s="76">
        <v>841</v>
      </c>
      <c r="AH107" s="76">
        <v>2730</v>
      </c>
      <c r="AI107" s="76">
        <v>50</v>
      </c>
      <c r="AJ107" s="76">
        <v>3688</v>
      </c>
      <c r="AK107" s="76">
        <v>71</v>
      </c>
      <c r="AL107" s="76" t="b">
        <v>0</v>
      </c>
      <c r="AM107" s="78">
        <v>42228.65201388889</v>
      </c>
      <c r="AN107" s="76" t="s">
        <v>1915</v>
      </c>
      <c r="AO107" s="76" t="s">
        <v>2140</v>
      </c>
      <c r="AP107" s="82" t="str">
        <f>HYPERLINK("https://t.co/fFNIe2siv6")</f>
        <v>https://t.co/fFNIe2siv6</v>
      </c>
      <c r="AQ107" s="82" t="str">
        <f>HYPERLINK("http://www.sofiavirta.fi")</f>
        <v>http://www.sofiavirta.fi</v>
      </c>
      <c r="AR107" s="76" t="s">
        <v>2418</v>
      </c>
      <c r="AS107" s="76"/>
      <c r="AT107" s="76"/>
      <c r="AU107" s="76"/>
      <c r="AV107" s="76">
        <v>1.30847635885985E+18</v>
      </c>
      <c r="AW107" s="82" t="str">
        <f>HYPERLINK("https://t.co/fFNIe2siv6")</f>
        <v>https://t.co/fFNIe2siv6</v>
      </c>
      <c r="AX107" s="76" t="b">
        <v>0</v>
      </c>
      <c r="AY107" s="76"/>
      <c r="AZ107" s="76"/>
      <c r="BA107" s="76" t="b">
        <v>0</v>
      </c>
      <c r="BB107" s="76" t="b">
        <v>1</v>
      </c>
      <c r="BC107" s="76" t="b">
        <v>1</v>
      </c>
      <c r="BD107" s="76" t="b">
        <v>0</v>
      </c>
      <c r="BE107" s="76" t="b">
        <v>0</v>
      </c>
      <c r="BF107" s="76" t="b">
        <v>0</v>
      </c>
      <c r="BG107" s="76" t="b">
        <v>0</v>
      </c>
      <c r="BH107" s="82" t="str">
        <f>HYPERLINK("https://pbs.twimg.com/profile_banners/3313442100/1555917781")</f>
        <v>https://pbs.twimg.com/profile_banners/3313442100/1555917781</v>
      </c>
      <c r="BI107" s="76"/>
      <c r="BJ107" s="76" t="s">
        <v>2656</v>
      </c>
      <c r="BK107" s="76" t="b">
        <v>0</v>
      </c>
      <c r="BL107" s="76"/>
      <c r="BM107" s="76" t="s">
        <v>65</v>
      </c>
      <c r="BN107" s="76" t="s">
        <v>2657</v>
      </c>
      <c r="BO107" s="82" t="str">
        <f>HYPERLINK("https://twitter.com/virtasofia")</f>
        <v>https://twitter.com/virtasofia</v>
      </c>
      <c r="BP107" s="76" t="str">
        <f>REPLACE(INDEX(GroupVertices[Group],MATCH(Vertices[[#This Row],[Vertex]],GroupVertices[Vertex],0)),1,1,"")</f>
        <v>1</v>
      </c>
      <c r="BQ107" s="45"/>
      <c r="BR107" s="46"/>
      <c r="BS107" s="45"/>
      <c r="BT107" s="46"/>
      <c r="BU107" s="45"/>
      <c r="BV107" s="46"/>
      <c r="BW107" s="45"/>
      <c r="BX107" s="46"/>
      <c r="BY107" s="45"/>
      <c r="BZ107" s="45"/>
      <c r="CA107" s="45"/>
      <c r="CB107" s="45"/>
      <c r="CC107" s="45"/>
      <c r="CD107" s="45"/>
      <c r="CE107" s="45"/>
      <c r="CF107" s="45"/>
      <c r="CG107" s="45"/>
      <c r="CH107" s="45"/>
      <c r="CI107" s="45"/>
      <c r="CJ107" s="2"/>
    </row>
    <row r="108" spans="1:88" ht="15">
      <c r="A108" s="61" t="s">
        <v>359</v>
      </c>
      <c r="B108" s="62"/>
      <c r="C108" s="62"/>
      <c r="D108" s="63">
        <v>535</v>
      </c>
      <c r="E108" s="65"/>
      <c r="F108" s="100" t="str">
        <f>HYPERLINK("https://pbs.twimg.com/profile_images/1616499861225963521/2LtIr7bs_normal.jpg")</f>
        <v>https://pbs.twimg.com/profile_images/1616499861225963521/2LtIr7bs_normal.jpg</v>
      </c>
      <c r="G108" s="62"/>
      <c r="H108" s="66" t="s">
        <v>359</v>
      </c>
      <c r="I108" s="67"/>
      <c r="J108" s="67" t="s">
        <v>159</v>
      </c>
      <c r="K108" s="66" t="s">
        <v>2762</v>
      </c>
      <c r="L108" s="70">
        <v>477.0952380952381</v>
      </c>
      <c r="M108" s="71">
        <v>876.29638671875</v>
      </c>
      <c r="N108" s="71">
        <v>7154.2294921875</v>
      </c>
      <c r="O108" s="72"/>
      <c r="P108" s="73"/>
      <c r="Q108" s="73"/>
      <c r="R108" s="86"/>
      <c r="S108" s="45">
        <v>1</v>
      </c>
      <c r="T108" s="45">
        <v>0</v>
      </c>
      <c r="U108" s="46">
        <v>0</v>
      </c>
      <c r="V108" s="46">
        <v>0.30765</v>
      </c>
      <c r="W108" s="46">
        <v>0.05663</v>
      </c>
      <c r="X108" s="46">
        <v>0.00275</v>
      </c>
      <c r="Y108" s="46">
        <v>0</v>
      </c>
      <c r="Z108" s="46">
        <v>0</v>
      </c>
      <c r="AA108" s="68">
        <v>108</v>
      </c>
      <c r="AB108" s="68"/>
      <c r="AC108" s="69"/>
      <c r="AD108" s="76" t="s">
        <v>1353</v>
      </c>
      <c r="AE108" s="80" t="s">
        <v>1662</v>
      </c>
      <c r="AF108" s="76">
        <v>22341</v>
      </c>
      <c r="AG108" s="76">
        <v>967</v>
      </c>
      <c r="AH108" s="76">
        <v>17127</v>
      </c>
      <c r="AI108" s="76">
        <v>20</v>
      </c>
      <c r="AJ108" s="76">
        <v>26979</v>
      </c>
      <c r="AK108" s="76">
        <v>1365</v>
      </c>
      <c r="AL108" s="76" t="b">
        <v>0</v>
      </c>
      <c r="AM108" s="78">
        <v>42730.701215277775</v>
      </c>
      <c r="AN108" s="76" t="s">
        <v>1916</v>
      </c>
      <c r="AO108" s="76" t="s">
        <v>2141</v>
      </c>
      <c r="AP108" s="82" t="str">
        <f>HYPERLINK("https://t.co/VrSrdaIrou")</f>
        <v>https://t.co/VrSrdaIrou</v>
      </c>
      <c r="AQ108" s="82" t="str">
        <f>HYPERLINK("http://joakimvigelius.fi")</f>
        <v>http://joakimvigelius.fi</v>
      </c>
      <c r="AR108" s="76" t="s">
        <v>2419</v>
      </c>
      <c r="AS108" s="76"/>
      <c r="AT108" s="76"/>
      <c r="AU108" s="76"/>
      <c r="AV108" s="76">
        <v>1.32615859008906E+18</v>
      </c>
      <c r="AW108" s="82" t="str">
        <f>HYPERLINK("https://t.co/VrSrdaIrou")</f>
        <v>https://t.co/VrSrdaIrou</v>
      </c>
      <c r="AX108" s="76" t="b">
        <v>1</v>
      </c>
      <c r="AY108" s="76"/>
      <c r="AZ108" s="76"/>
      <c r="BA108" s="76" t="b">
        <v>1</v>
      </c>
      <c r="BB108" s="76" t="b">
        <v>1</v>
      </c>
      <c r="BC108" s="76" t="b">
        <v>0</v>
      </c>
      <c r="BD108" s="76" t="b">
        <v>0</v>
      </c>
      <c r="BE108" s="76" t="b">
        <v>1</v>
      </c>
      <c r="BF108" s="76" t="b">
        <v>0</v>
      </c>
      <c r="BG108" s="76" t="b">
        <v>0</v>
      </c>
      <c r="BH108" s="82" t="str">
        <f>HYPERLINK("https://pbs.twimg.com/profile_banners/813426585030328320/1674240791")</f>
        <v>https://pbs.twimg.com/profile_banners/813426585030328320/1674240791</v>
      </c>
      <c r="BI108" s="76"/>
      <c r="BJ108" s="76" t="s">
        <v>2656</v>
      </c>
      <c r="BK108" s="76" t="b">
        <v>0</v>
      </c>
      <c r="BL108" s="76"/>
      <c r="BM108" s="76" t="s">
        <v>65</v>
      </c>
      <c r="BN108" s="76" t="s">
        <v>2657</v>
      </c>
      <c r="BO108" s="82" t="str">
        <f>HYPERLINK("https://twitter.com/joakimvigelius")</f>
        <v>https://twitter.com/joakimvigelius</v>
      </c>
      <c r="BP108" s="76" t="str">
        <f>REPLACE(INDEX(GroupVertices[Group],MATCH(Vertices[[#This Row],[Vertex]],GroupVertices[Vertex],0)),1,1,"")</f>
        <v>1</v>
      </c>
      <c r="BQ108" s="45"/>
      <c r="BR108" s="46"/>
      <c r="BS108" s="45"/>
      <c r="BT108" s="46"/>
      <c r="BU108" s="45"/>
      <c r="BV108" s="46"/>
      <c r="BW108" s="45"/>
      <c r="BX108" s="46"/>
      <c r="BY108" s="45"/>
      <c r="BZ108" s="45"/>
      <c r="CA108" s="45"/>
      <c r="CB108" s="45"/>
      <c r="CC108" s="45"/>
      <c r="CD108" s="45"/>
      <c r="CE108" s="45"/>
      <c r="CF108" s="45"/>
      <c r="CG108" s="45"/>
      <c r="CH108" s="45"/>
      <c r="CI108" s="45"/>
      <c r="CJ108" s="2"/>
    </row>
    <row r="109" spans="1:88" ht="15">
      <c r="A109" s="61" t="s">
        <v>360</v>
      </c>
      <c r="B109" s="62"/>
      <c r="C109" s="62"/>
      <c r="D109" s="63">
        <v>535</v>
      </c>
      <c r="E109" s="65"/>
      <c r="F109" s="100" t="str">
        <f>HYPERLINK("https://pbs.twimg.com/profile_images/1238087598658195456/BRR-KPPj_normal.jpg")</f>
        <v>https://pbs.twimg.com/profile_images/1238087598658195456/BRR-KPPj_normal.jpg</v>
      </c>
      <c r="G109" s="62"/>
      <c r="H109" s="66" t="s">
        <v>360</v>
      </c>
      <c r="I109" s="67"/>
      <c r="J109" s="67" t="s">
        <v>159</v>
      </c>
      <c r="K109" s="66" t="s">
        <v>2763</v>
      </c>
      <c r="L109" s="70">
        <v>477.0952380952381</v>
      </c>
      <c r="M109" s="71">
        <v>494.2679443359375</v>
      </c>
      <c r="N109" s="71">
        <v>7324.115234375</v>
      </c>
      <c r="O109" s="72"/>
      <c r="P109" s="73"/>
      <c r="Q109" s="73"/>
      <c r="R109" s="86"/>
      <c r="S109" s="45">
        <v>1</v>
      </c>
      <c r="T109" s="45">
        <v>0</v>
      </c>
      <c r="U109" s="46">
        <v>0</v>
      </c>
      <c r="V109" s="46">
        <v>0.30765</v>
      </c>
      <c r="W109" s="46">
        <v>0.05663</v>
      </c>
      <c r="X109" s="46">
        <v>0.00275</v>
      </c>
      <c r="Y109" s="46">
        <v>0</v>
      </c>
      <c r="Z109" s="46">
        <v>0</v>
      </c>
      <c r="AA109" s="68">
        <v>109</v>
      </c>
      <c r="AB109" s="68"/>
      <c r="AC109" s="69"/>
      <c r="AD109" s="76" t="s">
        <v>1354</v>
      </c>
      <c r="AE109" s="80" t="s">
        <v>1663</v>
      </c>
      <c r="AF109" s="76">
        <v>14360</v>
      </c>
      <c r="AG109" s="76">
        <v>539</v>
      </c>
      <c r="AH109" s="76">
        <v>6154</v>
      </c>
      <c r="AI109" s="76">
        <v>76</v>
      </c>
      <c r="AJ109" s="76">
        <v>6432</v>
      </c>
      <c r="AK109" s="76">
        <v>730</v>
      </c>
      <c r="AL109" s="76" t="b">
        <v>0</v>
      </c>
      <c r="AM109" s="78">
        <v>41897.820601851854</v>
      </c>
      <c r="AN109" s="76" t="s">
        <v>1917</v>
      </c>
      <c r="AO109" s="76" t="s">
        <v>2142</v>
      </c>
      <c r="AP109" s="82" t="str">
        <f>HYPERLINK("https://t.co/7tSRf98dlX")</f>
        <v>https://t.co/7tSRf98dlX</v>
      </c>
      <c r="AQ109" s="82" t="str">
        <f>HYPERLINK("http://www.leenameri.fi")</f>
        <v>http://www.leenameri.fi</v>
      </c>
      <c r="AR109" s="76" t="s">
        <v>2420</v>
      </c>
      <c r="AS109" s="76"/>
      <c r="AT109" s="76"/>
      <c r="AU109" s="76"/>
      <c r="AV109" s="76">
        <v>1.67100772855304E+18</v>
      </c>
      <c r="AW109" s="82" t="str">
        <f>HYPERLINK("https://t.co/7tSRf98dlX")</f>
        <v>https://t.co/7tSRf98dlX</v>
      </c>
      <c r="AX109" s="76" t="b">
        <v>1</v>
      </c>
      <c r="AY109" s="76"/>
      <c r="AZ109" s="76"/>
      <c r="BA109" s="76" t="b">
        <v>1</v>
      </c>
      <c r="BB109" s="76" t="b">
        <v>0</v>
      </c>
      <c r="BC109" s="76" t="b">
        <v>0</v>
      </c>
      <c r="BD109" s="76" t="b">
        <v>0</v>
      </c>
      <c r="BE109" s="76" t="b">
        <v>0</v>
      </c>
      <c r="BF109" s="76" t="b">
        <v>0</v>
      </c>
      <c r="BG109" s="76" t="b">
        <v>0</v>
      </c>
      <c r="BH109" s="82" t="str">
        <f>HYPERLINK("https://pbs.twimg.com/profile_banners/2811875701/1678735893")</f>
        <v>https://pbs.twimg.com/profile_banners/2811875701/1678735893</v>
      </c>
      <c r="BI109" s="76"/>
      <c r="BJ109" s="76" t="s">
        <v>2656</v>
      </c>
      <c r="BK109" s="76" t="b">
        <v>0</v>
      </c>
      <c r="BL109" s="76"/>
      <c r="BM109" s="76" t="s">
        <v>65</v>
      </c>
      <c r="BN109" s="76" t="s">
        <v>2657</v>
      </c>
      <c r="BO109" s="82" t="str">
        <f>HYPERLINK("https://twitter.com/leena_meri")</f>
        <v>https://twitter.com/leena_meri</v>
      </c>
      <c r="BP109" s="76" t="str">
        <f>REPLACE(INDEX(GroupVertices[Group],MATCH(Vertices[[#This Row],[Vertex]],GroupVertices[Vertex],0)),1,1,"")</f>
        <v>1</v>
      </c>
      <c r="BQ109" s="45"/>
      <c r="BR109" s="46"/>
      <c r="BS109" s="45"/>
      <c r="BT109" s="46"/>
      <c r="BU109" s="45"/>
      <c r="BV109" s="46"/>
      <c r="BW109" s="45"/>
      <c r="BX109" s="46"/>
      <c r="BY109" s="45"/>
      <c r="BZ109" s="45"/>
      <c r="CA109" s="45"/>
      <c r="CB109" s="45"/>
      <c r="CC109" s="45"/>
      <c r="CD109" s="45"/>
      <c r="CE109" s="45"/>
      <c r="CF109" s="45"/>
      <c r="CG109" s="45"/>
      <c r="CH109" s="45"/>
      <c r="CI109" s="45"/>
      <c r="CJ109" s="2"/>
    </row>
    <row r="110" spans="1:88" ht="15">
      <c r="A110" s="61" t="s">
        <v>361</v>
      </c>
      <c r="B110" s="62"/>
      <c r="C110" s="62"/>
      <c r="D110" s="63">
        <v>535</v>
      </c>
      <c r="E110" s="65"/>
      <c r="F110" s="100" t="str">
        <f>HYPERLINK("https://pbs.twimg.com/profile_images/1350837676174413825/nr9JcDoo_normal.jpg")</f>
        <v>https://pbs.twimg.com/profile_images/1350837676174413825/nr9JcDoo_normal.jpg</v>
      </c>
      <c r="G110" s="62"/>
      <c r="H110" s="66" t="s">
        <v>361</v>
      </c>
      <c r="I110" s="67"/>
      <c r="J110" s="67" t="s">
        <v>159</v>
      </c>
      <c r="K110" s="66" t="s">
        <v>2764</v>
      </c>
      <c r="L110" s="70">
        <v>477.0952380952381</v>
      </c>
      <c r="M110" s="71">
        <v>1897.8404541015625</v>
      </c>
      <c r="N110" s="71">
        <v>9808.8173828125</v>
      </c>
      <c r="O110" s="72"/>
      <c r="P110" s="73"/>
      <c r="Q110" s="73"/>
      <c r="R110" s="86"/>
      <c r="S110" s="45">
        <v>1</v>
      </c>
      <c r="T110" s="45">
        <v>0</v>
      </c>
      <c r="U110" s="46">
        <v>0</v>
      </c>
      <c r="V110" s="46">
        <v>0.30765</v>
      </c>
      <c r="W110" s="46">
        <v>0.05663</v>
      </c>
      <c r="X110" s="46">
        <v>0.00275</v>
      </c>
      <c r="Y110" s="46">
        <v>0</v>
      </c>
      <c r="Z110" s="46">
        <v>0</v>
      </c>
      <c r="AA110" s="68">
        <v>110</v>
      </c>
      <c r="AB110" s="68"/>
      <c r="AC110" s="69"/>
      <c r="AD110" s="76" t="s">
        <v>1355</v>
      </c>
      <c r="AE110" s="80" t="s">
        <v>1664</v>
      </c>
      <c r="AF110" s="76">
        <v>3376</v>
      </c>
      <c r="AG110" s="76">
        <v>1752</v>
      </c>
      <c r="AH110" s="76">
        <v>5163</v>
      </c>
      <c r="AI110" s="76">
        <v>11</v>
      </c>
      <c r="AJ110" s="76">
        <v>12998</v>
      </c>
      <c r="AK110" s="76">
        <v>106</v>
      </c>
      <c r="AL110" s="76" t="b">
        <v>0</v>
      </c>
      <c r="AM110" s="78">
        <v>41522.23121527778</v>
      </c>
      <c r="AN110" s="76"/>
      <c r="AO110" s="76" t="s">
        <v>2143</v>
      </c>
      <c r="AP110" s="82" t="str">
        <f>HYPERLINK("https://t.co/DHQ744QKSr")</f>
        <v>https://t.co/DHQ744QKSr</v>
      </c>
      <c r="AQ110" s="82" t="str">
        <f>HYPERLINK("https://www.akt.fi/")</f>
        <v>https://www.akt.fi/</v>
      </c>
      <c r="AR110" s="76" t="s">
        <v>2421</v>
      </c>
      <c r="AS110" s="76"/>
      <c r="AT110" s="76"/>
      <c r="AU110" s="76"/>
      <c r="AV110" s="76"/>
      <c r="AW110" s="82" t="str">
        <f>HYPERLINK("https://t.co/DHQ744QKSr")</f>
        <v>https://t.co/DHQ744QKSr</v>
      </c>
      <c r="AX110" s="76" t="b">
        <v>0</v>
      </c>
      <c r="AY110" s="76"/>
      <c r="AZ110" s="76"/>
      <c r="BA110" s="76" t="b">
        <v>0</v>
      </c>
      <c r="BB110" s="76" t="b">
        <v>1</v>
      </c>
      <c r="BC110" s="76" t="b">
        <v>0</v>
      </c>
      <c r="BD110" s="76" t="b">
        <v>0</v>
      </c>
      <c r="BE110" s="76" t="b">
        <v>0</v>
      </c>
      <c r="BF110" s="76" t="b">
        <v>0</v>
      </c>
      <c r="BG110" s="76" t="b">
        <v>0</v>
      </c>
      <c r="BH110" s="82" t="str">
        <f>HYPERLINK("https://pbs.twimg.com/profile_banners/1730886690/1610899775")</f>
        <v>https://pbs.twimg.com/profile_banners/1730886690/1610899775</v>
      </c>
      <c r="BI110" s="76"/>
      <c r="BJ110" s="76" t="s">
        <v>2656</v>
      </c>
      <c r="BK110" s="76" t="b">
        <v>0</v>
      </c>
      <c r="BL110" s="76"/>
      <c r="BM110" s="76" t="s">
        <v>65</v>
      </c>
      <c r="BN110" s="76" t="s">
        <v>2657</v>
      </c>
      <c r="BO110" s="82" t="str">
        <f>HYPERLINK("https://twitter.com/kokkoismo")</f>
        <v>https://twitter.com/kokkoismo</v>
      </c>
      <c r="BP110" s="76" t="str">
        <f>REPLACE(INDEX(GroupVertices[Group],MATCH(Vertices[[#This Row],[Vertex]],GroupVertices[Vertex],0)),1,1,"")</f>
        <v>1</v>
      </c>
      <c r="BQ110" s="45"/>
      <c r="BR110" s="46"/>
      <c r="BS110" s="45"/>
      <c r="BT110" s="46"/>
      <c r="BU110" s="45"/>
      <c r="BV110" s="46"/>
      <c r="BW110" s="45"/>
      <c r="BX110" s="46"/>
      <c r="BY110" s="45"/>
      <c r="BZ110" s="45"/>
      <c r="CA110" s="45"/>
      <c r="CB110" s="45"/>
      <c r="CC110" s="45"/>
      <c r="CD110" s="45"/>
      <c r="CE110" s="45"/>
      <c r="CF110" s="45"/>
      <c r="CG110" s="45"/>
      <c r="CH110" s="45"/>
      <c r="CI110" s="45"/>
      <c r="CJ110" s="2"/>
    </row>
    <row r="111" spans="1:88" ht="15">
      <c r="A111" s="61" t="s">
        <v>362</v>
      </c>
      <c r="B111" s="62"/>
      <c r="C111" s="62"/>
      <c r="D111" s="63">
        <v>535</v>
      </c>
      <c r="E111" s="65"/>
      <c r="F111" s="100" t="str">
        <f>HYPERLINK("https://pbs.twimg.com/profile_images/1095396909072740354/3KbGwU_E_normal.jpg")</f>
        <v>https://pbs.twimg.com/profile_images/1095396909072740354/3KbGwU_E_normal.jpg</v>
      </c>
      <c r="G111" s="62"/>
      <c r="H111" s="66" t="s">
        <v>362</v>
      </c>
      <c r="I111" s="67"/>
      <c r="J111" s="67" t="s">
        <v>159</v>
      </c>
      <c r="K111" s="66" t="s">
        <v>2765</v>
      </c>
      <c r="L111" s="70">
        <v>477.0952380952381</v>
      </c>
      <c r="M111" s="71">
        <v>3575.173583984375</v>
      </c>
      <c r="N111" s="71">
        <v>3942.58203125</v>
      </c>
      <c r="O111" s="72"/>
      <c r="P111" s="73"/>
      <c r="Q111" s="73"/>
      <c r="R111" s="86"/>
      <c r="S111" s="45">
        <v>1</v>
      </c>
      <c r="T111" s="45">
        <v>0</v>
      </c>
      <c r="U111" s="46">
        <v>0</v>
      </c>
      <c r="V111" s="46">
        <v>0.30765</v>
      </c>
      <c r="W111" s="46">
        <v>0.05663</v>
      </c>
      <c r="X111" s="46">
        <v>0.00275</v>
      </c>
      <c r="Y111" s="46">
        <v>0</v>
      </c>
      <c r="Z111" s="46">
        <v>0</v>
      </c>
      <c r="AA111" s="68">
        <v>111</v>
      </c>
      <c r="AB111" s="68"/>
      <c r="AC111" s="69"/>
      <c r="AD111" s="76" t="s">
        <v>1356</v>
      </c>
      <c r="AE111" s="80" t="s">
        <v>1665</v>
      </c>
      <c r="AF111" s="76">
        <v>31062</v>
      </c>
      <c r="AG111" s="76">
        <v>1068</v>
      </c>
      <c r="AH111" s="76">
        <v>7808</v>
      </c>
      <c r="AI111" s="76">
        <v>212</v>
      </c>
      <c r="AJ111" s="76">
        <v>6402</v>
      </c>
      <c r="AK111" s="76">
        <v>907</v>
      </c>
      <c r="AL111" s="76" t="b">
        <v>0</v>
      </c>
      <c r="AM111" s="78">
        <v>40225.446747685186</v>
      </c>
      <c r="AN111" s="76"/>
      <c r="AO111" s="76" t="s">
        <v>2144</v>
      </c>
      <c r="AP111" s="82" t="str">
        <f>HYPERLINK("https://t.co/Tavk6jzn4C")</f>
        <v>https://t.co/Tavk6jzn4C</v>
      </c>
      <c r="AQ111" s="82" t="str">
        <f>HYPERLINK("http://www.anna-maja.fi")</f>
        <v>http://www.anna-maja.fi</v>
      </c>
      <c r="AR111" s="76" t="s">
        <v>2422</v>
      </c>
      <c r="AS111" s="76"/>
      <c r="AT111" s="76"/>
      <c r="AU111" s="76"/>
      <c r="AV111" s="76"/>
      <c r="AW111" s="82" t="str">
        <f>HYPERLINK("https://t.co/Tavk6jzn4C")</f>
        <v>https://t.co/Tavk6jzn4C</v>
      </c>
      <c r="AX111" s="76" t="b">
        <v>0</v>
      </c>
      <c r="AY111" s="76"/>
      <c r="AZ111" s="76"/>
      <c r="BA111" s="76" t="b">
        <v>0</v>
      </c>
      <c r="BB111" s="76" t="b">
        <v>1</v>
      </c>
      <c r="BC111" s="76" t="b">
        <v>1</v>
      </c>
      <c r="BD111" s="76" t="b">
        <v>0</v>
      </c>
      <c r="BE111" s="76" t="b">
        <v>1</v>
      </c>
      <c r="BF111" s="76" t="b">
        <v>0</v>
      </c>
      <c r="BG111" s="76" t="b">
        <v>0</v>
      </c>
      <c r="BH111" s="82" t="str">
        <f>HYPERLINK("https://pbs.twimg.com/profile_banners/114710545/1498193206")</f>
        <v>https://pbs.twimg.com/profile_banners/114710545/1498193206</v>
      </c>
      <c r="BI111" s="76"/>
      <c r="BJ111" s="76" t="s">
        <v>2656</v>
      </c>
      <c r="BK111" s="76" t="b">
        <v>0</v>
      </c>
      <c r="BL111" s="76"/>
      <c r="BM111" s="76" t="s">
        <v>65</v>
      </c>
      <c r="BN111" s="76" t="s">
        <v>2657</v>
      </c>
      <c r="BO111" s="82" t="str">
        <f>HYPERLINK("https://twitter.com/anna_maja")</f>
        <v>https://twitter.com/anna_maja</v>
      </c>
      <c r="BP111" s="76" t="str">
        <f>REPLACE(INDEX(GroupVertices[Group],MATCH(Vertices[[#This Row],[Vertex]],GroupVertices[Vertex],0)),1,1,"")</f>
        <v>1</v>
      </c>
      <c r="BQ111" s="45"/>
      <c r="BR111" s="46"/>
      <c r="BS111" s="45"/>
      <c r="BT111" s="46"/>
      <c r="BU111" s="45"/>
      <c r="BV111" s="46"/>
      <c r="BW111" s="45"/>
      <c r="BX111" s="46"/>
      <c r="BY111" s="45"/>
      <c r="BZ111" s="45"/>
      <c r="CA111" s="45"/>
      <c r="CB111" s="45"/>
      <c r="CC111" s="45"/>
      <c r="CD111" s="45"/>
      <c r="CE111" s="45"/>
      <c r="CF111" s="45"/>
      <c r="CG111" s="45"/>
      <c r="CH111" s="45"/>
      <c r="CI111" s="45"/>
      <c r="CJ111" s="2"/>
    </row>
    <row r="112" spans="1:88" ht="15">
      <c r="A112" s="61" t="s">
        <v>363</v>
      </c>
      <c r="B112" s="62"/>
      <c r="C112" s="62"/>
      <c r="D112" s="63">
        <v>535</v>
      </c>
      <c r="E112" s="65"/>
      <c r="F112" s="100" t="str">
        <f>HYPERLINK("https://pbs.twimg.com/profile_images/1071894620676767745/dIWmodJ-_normal.jpg")</f>
        <v>https://pbs.twimg.com/profile_images/1071894620676767745/dIWmodJ-_normal.jpg</v>
      </c>
      <c r="G112" s="62"/>
      <c r="H112" s="66" t="s">
        <v>363</v>
      </c>
      <c r="I112" s="67"/>
      <c r="J112" s="67" t="s">
        <v>159</v>
      </c>
      <c r="K112" s="66" t="s">
        <v>2766</v>
      </c>
      <c r="L112" s="70">
        <v>477.0952380952381</v>
      </c>
      <c r="M112" s="71">
        <v>145.2154998779297</v>
      </c>
      <c r="N112" s="71">
        <v>6493.52587890625</v>
      </c>
      <c r="O112" s="72"/>
      <c r="P112" s="73"/>
      <c r="Q112" s="73"/>
      <c r="R112" s="86"/>
      <c r="S112" s="45">
        <v>1</v>
      </c>
      <c r="T112" s="45">
        <v>0</v>
      </c>
      <c r="U112" s="46">
        <v>0</v>
      </c>
      <c r="V112" s="46">
        <v>0.30765</v>
      </c>
      <c r="W112" s="46">
        <v>0.05663</v>
      </c>
      <c r="X112" s="46">
        <v>0.00275</v>
      </c>
      <c r="Y112" s="46">
        <v>0</v>
      </c>
      <c r="Z112" s="46">
        <v>0</v>
      </c>
      <c r="AA112" s="68">
        <v>112</v>
      </c>
      <c r="AB112" s="68"/>
      <c r="AC112" s="69"/>
      <c r="AD112" s="76" t="s">
        <v>1357</v>
      </c>
      <c r="AE112" s="80" t="s">
        <v>1666</v>
      </c>
      <c r="AF112" s="76">
        <v>13612</v>
      </c>
      <c r="AG112" s="76">
        <v>779</v>
      </c>
      <c r="AH112" s="76">
        <v>1055</v>
      </c>
      <c r="AI112" s="76">
        <v>47</v>
      </c>
      <c r="AJ112" s="76">
        <v>4118</v>
      </c>
      <c r="AK112" s="76">
        <v>73</v>
      </c>
      <c r="AL112" s="76" t="b">
        <v>0</v>
      </c>
      <c r="AM112" s="78">
        <v>42416.85395833333</v>
      </c>
      <c r="AN112" s="76" t="s">
        <v>1918</v>
      </c>
      <c r="AO112" s="76" t="s">
        <v>2145</v>
      </c>
      <c r="AP112" s="82" t="str">
        <f>HYPERLINK("https://t.co/MG3dWRY5z2")</f>
        <v>https://t.co/MG3dWRY5z2</v>
      </c>
      <c r="AQ112" s="82" t="str">
        <f>HYPERLINK("https://www.facebook.com/mpeltokangas")</f>
        <v>https://www.facebook.com/mpeltokangas</v>
      </c>
      <c r="AR112" s="76" t="s">
        <v>2423</v>
      </c>
      <c r="AS112" s="76"/>
      <c r="AT112" s="76"/>
      <c r="AU112" s="76"/>
      <c r="AV112" s="76"/>
      <c r="AW112" s="82" t="str">
        <f>HYPERLINK("https://t.co/MG3dWRY5z2")</f>
        <v>https://t.co/MG3dWRY5z2</v>
      </c>
      <c r="AX112" s="76" t="b">
        <v>0</v>
      </c>
      <c r="AY112" s="76"/>
      <c r="AZ112" s="76"/>
      <c r="BA112" s="76" t="b">
        <v>1</v>
      </c>
      <c r="BB112" s="76" t="b">
        <v>0</v>
      </c>
      <c r="BC112" s="76" t="b">
        <v>0</v>
      </c>
      <c r="BD112" s="76" t="b">
        <v>0</v>
      </c>
      <c r="BE112" s="76" t="b">
        <v>0</v>
      </c>
      <c r="BF112" s="76" t="b">
        <v>0</v>
      </c>
      <c r="BG112" s="76" t="b">
        <v>0</v>
      </c>
      <c r="BH112" s="82" t="str">
        <f>HYPERLINK("https://pbs.twimg.com/profile_banners/4920858935/1566927119")</f>
        <v>https://pbs.twimg.com/profile_banners/4920858935/1566927119</v>
      </c>
      <c r="BI112" s="76"/>
      <c r="BJ112" s="76" t="s">
        <v>2656</v>
      </c>
      <c r="BK112" s="76" t="b">
        <v>0</v>
      </c>
      <c r="BL112" s="76"/>
      <c r="BM112" s="76" t="s">
        <v>65</v>
      </c>
      <c r="BN112" s="76" t="s">
        <v>2657</v>
      </c>
      <c r="BO112" s="82" t="str">
        <f>HYPERLINK("https://twitter.com/mauripeltokang2")</f>
        <v>https://twitter.com/mauripeltokang2</v>
      </c>
      <c r="BP112" s="76" t="str">
        <f>REPLACE(INDEX(GroupVertices[Group],MATCH(Vertices[[#This Row],[Vertex]],GroupVertices[Vertex],0)),1,1,"")</f>
        <v>1</v>
      </c>
      <c r="BQ112" s="45"/>
      <c r="BR112" s="46"/>
      <c r="BS112" s="45"/>
      <c r="BT112" s="46"/>
      <c r="BU112" s="45"/>
      <c r="BV112" s="46"/>
      <c r="BW112" s="45"/>
      <c r="BX112" s="46"/>
      <c r="BY112" s="45"/>
      <c r="BZ112" s="45"/>
      <c r="CA112" s="45"/>
      <c r="CB112" s="45"/>
      <c r="CC112" s="45"/>
      <c r="CD112" s="45"/>
      <c r="CE112" s="45"/>
      <c r="CF112" s="45"/>
      <c r="CG112" s="45"/>
      <c r="CH112" s="45"/>
      <c r="CI112" s="45"/>
      <c r="CJ112" s="2"/>
    </row>
    <row r="113" spans="1:88" ht="15">
      <c r="A113" s="61" t="s">
        <v>364</v>
      </c>
      <c r="B113" s="62"/>
      <c r="C113" s="62"/>
      <c r="D113" s="63">
        <v>535</v>
      </c>
      <c r="E113" s="65"/>
      <c r="F113" s="100" t="str">
        <f>HYPERLINK("https://pbs.twimg.com/profile_images/1675766025592119298/nAnS_zwq_normal.jpg")</f>
        <v>https://pbs.twimg.com/profile_images/1675766025592119298/nAnS_zwq_normal.jpg</v>
      </c>
      <c r="G113" s="62"/>
      <c r="H113" s="66" t="s">
        <v>364</v>
      </c>
      <c r="I113" s="67"/>
      <c r="J113" s="67" t="s">
        <v>159</v>
      </c>
      <c r="K113" s="66" t="s">
        <v>2767</v>
      </c>
      <c r="L113" s="70">
        <v>477.0952380952381</v>
      </c>
      <c r="M113" s="71">
        <v>2226.3916015625</v>
      </c>
      <c r="N113" s="71">
        <v>9840.927734375</v>
      </c>
      <c r="O113" s="72"/>
      <c r="P113" s="73"/>
      <c r="Q113" s="73"/>
      <c r="R113" s="86"/>
      <c r="S113" s="45">
        <v>1</v>
      </c>
      <c r="T113" s="45">
        <v>0</v>
      </c>
      <c r="U113" s="46">
        <v>0</v>
      </c>
      <c r="V113" s="46">
        <v>0.30765</v>
      </c>
      <c r="W113" s="46">
        <v>0.05663</v>
      </c>
      <c r="X113" s="46">
        <v>0.00275</v>
      </c>
      <c r="Y113" s="46">
        <v>0</v>
      </c>
      <c r="Z113" s="46">
        <v>0</v>
      </c>
      <c r="AA113" s="68">
        <v>113</v>
      </c>
      <c r="AB113" s="68"/>
      <c r="AC113" s="69"/>
      <c r="AD113" s="76" t="s">
        <v>1358</v>
      </c>
      <c r="AE113" s="80" t="s">
        <v>1667</v>
      </c>
      <c r="AF113" s="76">
        <v>50196</v>
      </c>
      <c r="AG113" s="76">
        <v>1879</v>
      </c>
      <c r="AH113" s="76">
        <v>22760</v>
      </c>
      <c r="AI113" s="76">
        <v>280</v>
      </c>
      <c r="AJ113" s="76">
        <v>27697</v>
      </c>
      <c r="AK113" s="76">
        <v>2120</v>
      </c>
      <c r="AL113" s="76" t="b">
        <v>0</v>
      </c>
      <c r="AM113" s="78">
        <v>39873.54599537037</v>
      </c>
      <c r="AN113" s="76" t="s">
        <v>1903</v>
      </c>
      <c r="AO113" s="76" t="s">
        <v>2146</v>
      </c>
      <c r="AP113" s="82" t="str">
        <f>HYPERLINK("https://t.co/i6S3xJWTZA")</f>
        <v>https://t.co/i6S3xJWTZA</v>
      </c>
      <c r="AQ113" s="82" t="str">
        <f>HYPERLINK("https://www.kokoomus.fi/")</f>
        <v>https://www.kokoomus.fi/</v>
      </c>
      <c r="AR113" s="76" t="s">
        <v>2424</v>
      </c>
      <c r="AS113" s="76"/>
      <c r="AT113" s="76"/>
      <c r="AU113" s="76"/>
      <c r="AV113" s="76"/>
      <c r="AW113" s="82" t="str">
        <f>HYPERLINK("https://t.co/i6S3xJWTZA")</f>
        <v>https://t.co/i6S3xJWTZA</v>
      </c>
      <c r="AX113" s="76" t="b">
        <v>1</v>
      </c>
      <c r="AY113" s="76"/>
      <c r="AZ113" s="76"/>
      <c r="BA113" s="76" t="b">
        <v>1</v>
      </c>
      <c r="BB113" s="76" t="b">
        <v>1</v>
      </c>
      <c r="BC113" s="76" t="b">
        <v>0</v>
      </c>
      <c r="BD113" s="76" t="b">
        <v>0</v>
      </c>
      <c r="BE113" s="76" t="b">
        <v>1</v>
      </c>
      <c r="BF113" s="76" t="b">
        <v>0</v>
      </c>
      <c r="BG113" s="76" t="b">
        <v>0</v>
      </c>
      <c r="BH113" s="82" t="str">
        <f>HYPERLINK("https://pbs.twimg.com/profile_banners/22360764/1674919340")</f>
        <v>https://pbs.twimg.com/profile_banners/22360764/1674919340</v>
      </c>
      <c r="BI113" s="76"/>
      <c r="BJ113" s="76" t="s">
        <v>2656</v>
      </c>
      <c r="BK113" s="76" t="b">
        <v>0</v>
      </c>
      <c r="BL113" s="76"/>
      <c r="BM113" s="76" t="s">
        <v>65</v>
      </c>
      <c r="BN113" s="76" t="s">
        <v>2657</v>
      </c>
      <c r="BO113" s="82" t="str">
        <f>HYPERLINK("https://twitter.com/kokoomus")</f>
        <v>https://twitter.com/kokoomus</v>
      </c>
      <c r="BP113" s="76" t="str">
        <f>REPLACE(INDEX(GroupVertices[Group],MATCH(Vertices[[#This Row],[Vertex]],GroupVertices[Vertex],0)),1,1,"")</f>
        <v>1</v>
      </c>
      <c r="BQ113" s="45"/>
      <c r="BR113" s="46"/>
      <c r="BS113" s="45"/>
      <c r="BT113" s="46"/>
      <c r="BU113" s="45"/>
      <c r="BV113" s="46"/>
      <c r="BW113" s="45"/>
      <c r="BX113" s="46"/>
      <c r="BY113" s="45"/>
      <c r="BZ113" s="45"/>
      <c r="CA113" s="45"/>
      <c r="CB113" s="45"/>
      <c r="CC113" s="45"/>
      <c r="CD113" s="45"/>
      <c r="CE113" s="45"/>
      <c r="CF113" s="45"/>
      <c r="CG113" s="45"/>
      <c r="CH113" s="45"/>
      <c r="CI113" s="45"/>
      <c r="CJ113" s="2"/>
    </row>
    <row r="114" spans="1:88" ht="15">
      <c r="A114" s="61" t="s">
        <v>365</v>
      </c>
      <c r="B114" s="62"/>
      <c r="C114" s="62"/>
      <c r="D114" s="63">
        <v>535</v>
      </c>
      <c r="E114" s="65"/>
      <c r="F114" s="100" t="str">
        <f>HYPERLINK("https://pbs.twimg.com/profile_images/1612392117640241152/z0C5RES0_normal.jpg")</f>
        <v>https://pbs.twimg.com/profile_images/1612392117640241152/z0C5RES0_normal.jpg</v>
      </c>
      <c r="G114" s="62"/>
      <c r="H114" s="66" t="s">
        <v>365</v>
      </c>
      <c r="I114" s="67"/>
      <c r="J114" s="67" t="s">
        <v>159</v>
      </c>
      <c r="K114" s="66" t="s">
        <v>2768</v>
      </c>
      <c r="L114" s="70">
        <v>477.0952380952381</v>
      </c>
      <c r="M114" s="71">
        <v>291.3787536621094</v>
      </c>
      <c r="N114" s="71">
        <v>7846.220703125</v>
      </c>
      <c r="O114" s="72"/>
      <c r="P114" s="73"/>
      <c r="Q114" s="73"/>
      <c r="R114" s="86"/>
      <c r="S114" s="45">
        <v>1</v>
      </c>
      <c r="T114" s="45">
        <v>0</v>
      </c>
      <c r="U114" s="46">
        <v>0</v>
      </c>
      <c r="V114" s="46">
        <v>0.30765</v>
      </c>
      <c r="W114" s="46">
        <v>0.05663</v>
      </c>
      <c r="X114" s="46">
        <v>0.00275</v>
      </c>
      <c r="Y114" s="46">
        <v>0</v>
      </c>
      <c r="Z114" s="46">
        <v>0</v>
      </c>
      <c r="AA114" s="68">
        <v>114</v>
      </c>
      <c r="AB114" s="68"/>
      <c r="AC114" s="69"/>
      <c r="AD114" s="76" t="s">
        <v>1359</v>
      </c>
      <c r="AE114" s="80" t="s">
        <v>1668</v>
      </c>
      <c r="AF114" s="76">
        <v>71992</v>
      </c>
      <c r="AG114" s="76">
        <v>433</v>
      </c>
      <c r="AH114" s="76">
        <v>10900</v>
      </c>
      <c r="AI114" s="76">
        <v>117</v>
      </c>
      <c r="AJ114" s="76">
        <v>18117</v>
      </c>
      <c r="AK114" s="76">
        <v>1639</v>
      </c>
      <c r="AL114" s="76" t="b">
        <v>0</v>
      </c>
      <c r="AM114" s="78">
        <v>41143.36221064815</v>
      </c>
      <c r="AN114" s="76" t="s">
        <v>1919</v>
      </c>
      <c r="AO114" s="76" t="s">
        <v>2147</v>
      </c>
      <c r="AP114" s="82" t="str">
        <f>HYPERLINK("https://t.co/SsU8dXdMEO")</f>
        <v>https://t.co/SsU8dXdMEO</v>
      </c>
      <c r="AQ114" s="82" t="str">
        <f>HYPERLINK("https://riikkapurra.net/")</f>
        <v>https://riikkapurra.net/</v>
      </c>
      <c r="AR114" s="76" t="s">
        <v>2425</v>
      </c>
      <c r="AS114" s="76"/>
      <c r="AT114" s="76"/>
      <c r="AU114" s="76"/>
      <c r="AV114" s="76">
        <v>1.68448083804866E+18</v>
      </c>
      <c r="AW114" s="82" t="str">
        <f>HYPERLINK("https://t.co/SsU8dXdMEO")</f>
        <v>https://t.co/SsU8dXdMEO</v>
      </c>
      <c r="AX114" s="76" t="b">
        <v>0</v>
      </c>
      <c r="AY114" s="76"/>
      <c r="AZ114" s="76"/>
      <c r="BA114" s="76" t="b">
        <v>0</v>
      </c>
      <c r="BB114" s="76" t="b">
        <v>1</v>
      </c>
      <c r="BC114" s="76" t="b">
        <v>0</v>
      </c>
      <c r="BD114" s="76" t="b">
        <v>0</v>
      </c>
      <c r="BE114" s="76" t="b">
        <v>0</v>
      </c>
      <c r="BF114" s="76" t="b">
        <v>0</v>
      </c>
      <c r="BG114" s="76" t="b">
        <v>0</v>
      </c>
      <c r="BH114" s="82" t="str">
        <f>HYPERLINK("https://pbs.twimg.com/profile_banners/773198941/1689454871")</f>
        <v>https://pbs.twimg.com/profile_banners/773198941/1689454871</v>
      </c>
      <c r="BI114" s="76"/>
      <c r="BJ114" s="76" t="s">
        <v>2656</v>
      </c>
      <c r="BK114" s="76" t="b">
        <v>0</v>
      </c>
      <c r="BL114" s="76"/>
      <c r="BM114" s="76" t="s">
        <v>65</v>
      </c>
      <c r="BN114" s="76" t="s">
        <v>2657</v>
      </c>
      <c r="BO114" s="82" t="str">
        <f>HYPERLINK("https://twitter.com/ir_rkp")</f>
        <v>https://twitter.com/ir_rkp</v>
      </c>
      <c r="BP114" s="76" t="str">
        <f>REPLACE(INDEX(GroupVertices[Group],MATCH(Vertices[[#This Row],[Vertex]],GroupVertices[Vertex],0)),1,1,"")</f>
        <v>1</v>
      </c>
      <c r="BQ114" s="45"/>
      <c r="BR114" s="46"/>
      <c r="BS114" s="45"/>
      <c r="BT114" s="46"/>
      <c r="BU114" s="45"/>
      <c r="BV114" s="46"/>
      <c r="BW114" s="45"/>
      <c r="BX114" s="46"/>
      <c r="BY114" s="45"/>
      <c r="BZ114" s="45"/>
      <c r="CA114" s="45"/>
      <c r="CB114" s="45"/>
      <c r="CC114" s="45"/>
      <c r="CD114" s="45"/>
      <c r="CE114" s="45"/>
      <c r="CF114" s="45"/>
      <c r="CG114" s="45"/>
      <c r="CH114" s="45"/>
      <c r="CI114" s="45"/>
      <c r="CJ114" s="2"/>
    </row>
    <row r="115" spans="1:88" ht="15">
      <c r="A115" s="61" t="s">
        <v>366</v>
      </c>
      <c r="B115" s="62"/>
      <c r="C115" s="62"/>
      <c r="D115" s="63">
        <v>535</v>
      </c>
      <c r="E115" s="65"/>
      <c r="F115" s="100" t="str">
        <f>HYPERLINK("https://pbs.twimg.com/profile_images/1666059531258830848/zOyasViO_normal.jpg")</f>
        <v>https://pbs.twimg.com/profile_images/1666059531258830848/zOyasViO_normal.jpg</v>
      </c>
      <c r="G115" s="62"/>
      <c r="H115" s="66" t="s">
        <v>366</v>
      </c>
      <c r="I115" s="67"/>
      <c r="J115" s="67" t="s">
        <v>159</v>
      </c>
      <c r="K115" s="66" t="s">
        <v>2769</v>
      </c>
      <c r="L115" s="70">
        <v>477.0952380952381</v>
      </c>
      <c r="M115" s="71">
        <v>2307.525390625</v>
      </c>
      <c r="N115" s="71">
        <v>4255.3330078125</v>
      </c>
      <c r="O115" s="72"/>
      <c r="P115" s="73"/>
      <c r="Q115" s="73"/>
      <c r="R115" s="86"/>
      <c r="S115" s="45">
        <v>1</v>
      </c>
      <c r="T115" s="45">
        <v>0</v>
      </c>
      <c r="U115" s="46">
        <v>0</v>
      </c>
      <c r="V115" s="46">
        <v>0.30765</v>
      </c>
      <c r="W115" s="46">
        <v>0.05663</v>
      </c>
      <c r="X115" s="46">
        <v>0.00275</v>
      </c>
      <c r="Y115" s="46">
        <v>0</v>
      </c>
      <c r="Z115" s="46">
        <v>0</v>
      </c>
      <c r="AA115" s="68">
        <v>115</v>
      </c>
      <c r="AB115" s="68"/>
      <c r="AC115" s="69"/>
      <c r="AD115" s="76" t="s">
        <v>1360</v>
      </c>
      <c r="AE115" s="80" t="s">
        <v>1669</v>
      </c>
      <c r="AF115" s="76">
        <v>8430</v>
      </c>
      <c r="AG115" s="76">
        <v>2380</v>
      </c>
      <c r="AH115" s="76">
        <v>7540</v>
      </c>
      <c r="AI115" s="76">
        <v>84</v>
      </c>
      <c r="AJ115" s="76">
        <v>2373</v>
      </c>
      <c r="AK115" s="76">
        <v>1546</v>
      </c>
      <c r="AL115" s="76" t="b">
        <v>0</v>
      </c>
      <c r="AM115" s="78">
        <v>40434.80810185185</v>
      </c>
      <c r="AN115" s="76"/>
      <c r="AO115" s="76" t="s">
        <v>2148</v>
      </c>
      <c r="AP115" s="82" t="str">
        <f>HYPERLINK("http://t.co/nu533BJIMP")</f>
        <v>http://t.co/nu533BJIMP</v>
      </c>
      <c r="AQ115" s="82" t="str">
        <f>HYPERLINK("http://www.sfp.fi")</f>
        <v>http://www.sfp.fi</v>
      </c>
      <c r="AR115" s="76" t="s">
        <v>2426</v>
      </c>
      <c r="AS115" s="76"/>
      <c r="AT115" s="76"/>
      <c r="AU115" s="76"/>
      <c r="AV115" s="76"/>
      <c r="AW115" s="82" t="str">
        <f>HYPERLINK("http://t.co/nu533BJIMP")</f>
        <v>http://t.co/nu533BJIMP</v>
      </c>
      <c r="AX115" s="76" t="b">
        <v>0</v>
      </c>
      <c r="AY115" s="76"/>
      <c r="AZ115" s="76"/>
      <c r="BA115" s="76" t="b">
        <v>0</v>
      </c>
      <c r="BB115" s="76" t="b">
        <v>1</v>
      </c>
      <c r="BC115" s="76" t="b">
        <v>0</v>
      </c>
      <c r="BD115" s="76" t="b">
        <v>0</v>
      </c>
      <c r="BE115" s="76" t="b">
        <v>1</v>
      </c>
      <c r="BF115" s="76" t="b">
        <v>0</v>
      </c>
      <c r="BG115" s="76" t="b">
        <v>0</v>
      </c>
      <c r="BH115" s="82" t="str">
        <f>HYPERLINK("https://pbs.twimg.com/profile_banners/190362598/1616846213")</f>
        <v>https://pbs.twimg.com/profile_banners/190362598/1616846213</v>
      </c>
      <c r="BI115" s="76"/>
      <c r="BJ115" s="76" t="s">
        <v>2656</v>
      </c>
      <c r="BK115" s="76" t="b">
        <v>0</v>
      </c>
      <c r="BL115" s="76"/>
      <c r="BM115" s="76" t="s">
        <v>65</v>
      </c>
      <c r="BN115" s="76" t="s">
        <v>2657</v>
      </c>
      <c r="BO115" s="82" t="str">
        <f>HYPERLINK("https://twitter.com/sfprkp")</f>
        <v>https://twitter.com/sfprkp</v>
      </c>
      <c r="BP115" s="76" t="str">
        <f>REPLACE(INDEX(GroupVertices[Group],MATCH(Vertices[[#This Row],[Vertex]],GroupVertices[Vertex],0)),1,1,"")</f>
        <v>1</v>
      </c>
      <c r="BQ115" s="45"/>
      <c r="BR115" s="46"/>
      <c r="BS115" s="45"/>
      <c r="BT115" s="46"/>
      <c r="BU115" s="45"/>
      <c r="BV115" s="46"/>
      <c r="BW115" s="45"/>
      <c r="BX115" s="46"/>
      <c r="BY115" s="45"/>
      <c r="BZ115" s="45"/>
      <c r="CA115" s="45"/>
      <c r="CB115" s="45"/>
      <c r="CC115" s="45"/>
      <c r="CD115" s="45"/>
      <c r="CE115" s="45"/>
      <c r="CF115" s="45"/>
      <c r="CG115" s="45"/>
      <c r="CH115" s="45"/>
      <c r="CI115" s="45"/>
      <c r="CJ115" s="2"/>
    </row>
    <row r="116" spans="1:88" ht="15">
      <c r="A116" s="61" t="s">
        <v>367</v>
      </c>
      <c r="B116" s="62"/>
      <c r="C116" s="62"/>
      <c r="D116" s="63">
        <v>535</v>
      </c>
      <c r="E116" s="65"/>
      <c r="F116" s="100" t="str">
        <f>HYPERLINK("https://pbs.twimg.com/profile_images/961268949131374592/AUX1Nqfb_normal.jpg")</f>
        <v>https://pbs.twimg.com/profile_images/961268949131374592/AUX1Nqfb_normal.jpg</v>
      </c>
      <c r="G116" s="62"/>
      <c r="H116" s="66" t="s">
        <v>367</v>
      </c>
      <c r="I116" s="67"/>
      <c r="J116" s="67" t="s">
        <v>159</v>
      </c>
      <c r="K116" s="66" t="s">
        <v>2770</v>
      </c>
      <c r="L116" s="70">
        <v>477.0952380952381</v>
      </c>
      <c r="M116" s="71">
        <v>1851.599609375</v>
      </c>
      <c r="N116" s="71">
        <v>3021.40380859375</v>
      </c>
      <c r="O116" s="72"/>
      <c r="P116" s="73"/>
      <c r="Q116" s="73"/>
      <c r="R116" s="86"/>
      <c r="S116" s="45">
        <v>1</v>
      </c>
      <c r="T116" s="45">
        <v>0</v>
      </c>
      <c r="U116" s="46">
        <v>0</v>
      </c>
      <c r="V116" s="46">
        <v>0.30765</v>
      </c>
      <c r="W116" s="46">
        <v>0.05663</v>
      </c>
      <c r="X116" s="46">
        <v>0.00275</v>
      </c>
      <c r="Y116" s="46">
        <v>0</v>
      </c>
      <c r="Z116" s="46">
        <v>0</v>
      </c>
      <c r="AA116" s="68">
        <v>116</v>
      </c>
      <c r="AB116" s="68"/>
      <c r="AC116" s="69"/>
      <c r="AD116" s="76" t="s">
        <v>1361</v>
      </c>
      <c r="AE116" s="80" t="s">
        <v>1670</v>
      </c>
      <c r="AF116" s="76">
        <v>124360</v>
      </c>
      <c r="AG116" s="76">
        <v>40</v>
      </c>
      <c r="AH116" s="76">
        <v>4622</v>
      </c>
      <c r="AI116" s="76">
        <v>303</v>
      </c>
      <c r="AJ116" s="76">
        <v>664</v>
      </c>
      <c r="AK116" s="76">
        <v>174</v>
      </c>
      <c r="AL116" s="76" t="b">
        <v>0</v>
      </c>
      <c r="AM116" s="78">
        <v>40461.70586805556</v>
      </c>
      <c r="AN116" s="76" t="s">
        <v>1898</v>
      </c>
      <c r="AO116" s="76" t="s">
        <v>2149</v>
      </c>
      <c r="AP116" s="82" t="str">
        <f>HYPERLINK("https://t.co/K70UIMfBuE")</f>
        <v>https://t.co/K70UIMfBuE</v>
      </c>
      <c r="AQ116" s="82" t="str">
        <f>HYPERLINK("http://www.halla-aho.com/scripta/")</f>
        <v>http://www.halla-aho.com/scripta/</v>
      </c>
      <c r="AR116" s="76" t="s">
        <v>2427</v>
      </c>
      <c r="AS116" s="76"/>
      <c r="AT116" s="76"/>
      <c r="AU116" s="76"/>
      <c r="AV116" s="76"/>
      <c r="AW116" s="82" t="str">
        <f>HYPERLINK("https://t.co/K70UIMfBuE")</f>
        <v>https://t.co/K70UIMfBuE</v>
      </c>
      <c r="AX116" s="76" t="b">
        <v>0</v>
      </c>
      <c r="AY116" s="76"/>
      <c r="AZ116" s="76"/>
      <c r="BA116" s="76" t="b">
        <v>0</v>
      </c>
      <c r="BB116" s="76" t="b">
        <v>1</v>
      </c>
      <c r="BC116" s="76" t="b">
        <v>0</v>
      </c>
      <c r="BD116" s="76" t="b">
        <v>0</v>
      </c>
      <c r="BE116" s="76" t="b">
        <v>0</v>
      </c>
      <c r="BF116" s="76" t="b">
        <v>0</v>
      </c>
      <c r="BG116" s="76" t="b">
        <v>0</v>
      </c>
      <c r="BH116" s="76"/>
      <c r="BI116" s="76"/>
      <c r="BJ116" s="76" t="s">
        <v>2656</v>
      </c>
      <c r="BK116" s="76" t="b">
        <v>0</v>
      </c>
      <c r="BL116" s="76"/>
      <c r="BM116" s="76" t="s">
        <v>65</v>
      </c>
      <c r="BN116" s="76" t="s">
        <v>2657</v>
      </c>
      <c r="BO116" s="82" t="str">
        <f>HYPERLINK("https://twitter.com/halla_aho")</f>
        <v>https://twitter.com/halla_aho</v>
      </c>
      <c r="BP116" s="76" t="str">
        <f>REPLACE(INDEX(GroupVertices[Group],MATCH(Vertices[[#This Row],[Vertex]],GroupVertices[Vertex],0)),1,1,"")</f>
        <v>1</v>
      </c>
      <c r="BQ116" s="45"/>
      <c r="BR116" s="46"/>
      <c r="BS116" s="45"/>
      <c r="BT116" s="46"/>
      <c r="BU116" s="45"/>
      <c r="BV116" s="46"/>
      <c r="BW116" s="45"/>
      <c r="BX116" s="46"/>
      <c r="BY116" s="45"/>
      <c r="BZ116" s="45"/>
      <c r="CA116" s="45"/>
      <c r="CB116" s="45"/>
      <c r="CC116" s="45"/>
      <c r="CD116" s="45"/>
      <c r="CE116" s="45"/>
      <c r="CF116" s="45"/>
      <c r="CG116" s="45"/>
      <c r="CH116" s="45"/>
      <c r="CI116" s="45"/>
      <c r="CJ116" s="2"/>
    </row>
    <row r="117" spans="1:88" ht="15">
      <c r="A117" s="61" t="s">
        <v>368</v>
      </c>
      <c r="B117" s="62"/>
      <c r="C117" s="62"/>
      <c r="D117" s="63">
        <v>535</v>
      </c>
      <c r="E117" s="65"/>
      <c r="F117" s="100" t="str">
        <f>HYPERLINK("https://pbs.twimg.com/profile_images/1076145370521063424/foxnx3i0_normal.jpg")</f>
        <v>https://pbs.twimg.com/profile_images/1076145370521063424/foxnx3i0_normal.jpg</v>
      </c>
      <c r="G117" s="62"/>
      <c r="H117" s="66" t="s">
        <v>368</v>
      </c>
      <c r="I117" s="67"/>
      <c r="J117" s="67" t="s">
        <v>159</v>
      </c>
      <c r="K117" s="66" t="s">
        <v>2771</v>
      </c>
      <c r="L117" s="70">
        <v>477.0952380952381</v>
      </c>
      <c r="M117" s="71">
        <v>4192.04931640625</v>
      </c>
      <c r="N117" s="71">
        <v>6681.9140625</v>
      </c>
      <c r="O117" s="72"/>
      <c r="P117" s="73"/>
      <c r="Q117" s="73"/>
      <c r="R117" s="86"/>
      <c r="S117" s="45">
        <v>1</v>
      </c>
      <c r="T117" s="45">
        <v>0</v>
      </c>
      <c r="U117" s="46">
        <v>0</v>
      </c>
      <c r="V117" s="46">
        <v>0.30765</v>
      </c>
      <c r="W117" s="46">
        <v>0.05663</v>
      </c>
      <c r="X117" s="46">
        <v>0.00275</v>
      </c>
      <c r="Y117" s="46">
        <v>0</v>
      </c>
      <c r="Z117" s="46">
        <v>0</v>
      </c>
      <c r="AA117" s="68">
        <v>117</v>
      </c>
      <c r="AB117" s="68"/>
      <c r="AC117" s="69"/>
      <c r="AD117" s="76" t="s">
        <v>1362</v>
      </c>
      <c r="AE117" s="80" t="s">
        <v>1175</v>
      </c>
      <c r="AF117" s="76">
        <v>41242</v>
      </c>
      <c r="AG117" s="76">
        <v>103</v>
      </c>
      <c r="AH117" s="76">
        <v>11664</v>
      </c>
      <c r="AI117" s="76">
        <v>145</v>
      </c>
      <c r="AJ117" s="76">
        <v>6</v>
      </c>
      <c r="AK117" s="76">
        <v>1872</v>
      </c>
      <c r="AL117" s="76" t="b">
        <v>0</v>
      </c>
      <c r="AM117" s="78">
        <v>40835.413981481484</v>
      </c>
      <c r="AN117" s="76" t="s">
        <v>1903</v>
      </c>
      <c r="AO117" s="76" t="s">
        <v>2150</v>
      </c>
      <c r="AP117" s="82" t="str">
        <f>HYPERLINK("https://t.co/Oc9FeSQ0MY")</f>
        <v>https://t.co/Oc9FeSQ0MY</v>
      </c>
      <c r="AQ117" s="82" t="str">
        <f>HYPERLINK("http://perussuomalaiset.fi")</f>
        <v>http://perussuomalaiset.fi</v>
      </c>
      <c r="AR117" s="76" t="s">
        <v>2428</v>
      </c>
      <c r="AS117" s="76"/>
      <c r="AT117" s="76"/>
      <c r="AU117" s="76"/>
      <c r="AV117" s="76"/>
      <c r="AW117" s="82" t="str">
        <f>HYPERLINK("https://t.co/Oc9FeSQ0MY")</f>
        <v>https://t.co/Oc9FeSQ0MY</v>
      </c>
      <c r="AX117" s="76" t="b">
        <v>0</v>
      </c>
      <c r="AY117" s="76"/>
      <c r="AZ117" s="76"/>
      <c r="BA117" s="76" t="b">
        <v>0</v>
      </c>
      <c r="BB117" s="76" t="b">
        <v>1</v>
      </c>
      <c r="BC117" s="76" t="b">
        <v>0</v>
      </c>
      <c r="BD117" s="76" t="b">
        <v>0</v>
      </c>
      <c r="BE117" s="76" t="b">
        <v>0</v>
      </c>
      <c r="BF117" s="76" t="b">
        <v>0</v>
      </c>
      <c r="BG117" s="76" t="b">
        <v>0</v>
      </c>
      <c r="BH117" s="82" t="str">
        <f>HYPERLINK("https://pbs.twimg.com/profile_banners/393938517/1683034004")</f>
        <v>https://pbs.twimg.com/profile_banners/393938517/1683034004</v>
      </c>
      <c r="BI117" s="76"/>
      <c r="BJ117" s="76" t="s">
        <v>2656</v>
      </c>
      <c r="BK117" s="76" t="b">
        <v>0</v>
      </c>
      <c r="BL117" s="76"/>
      <c r="BM117" s="76" t="s">
        <v>65</v>
      </c>
      <c r="BN117" s="76" t="s">
        <v>2657</v>
      </c>
      <c r="BO117" s="82" t="str">
        <f>HYPERLINK("https://twitter.com/persut")</f>
        <v>https://twitter.com/persut</v>
      </c>
      <c r="BP117" s="76" t="str">
        <f>REPLACE(INDEX(GroupVertices[Group],MATCH(Vertices[[#This Row],[Vertex]],GroupVertices[Vertex],0)),1,1,"")</f>
        <v>1</v>
      </c>
      <c r="BQ117" s="45"/>
      <c r="BR117" s="46"/>
      <c r="BS117" s="45"/>
      <c r="BT117" s="46"/>
      <c r="BU117" s="45"/>
      <c r="BV117" s="46"/>
      <c r="BW117" s="45"/>
      <c r="BX117" s="46"/>
      <c r="BY117" s="45"/>
      <c r="BZ117" s="45"/>
      <c r="CA117" s="45"/>
      <c r="CB117" s="45"/>
      <c r="CC117" s="45"/>
      <c r="CD117" s="45"/>
      <c r="CE117" s="45"/>
      <c r="CF117" s="45"/>
      <c r="CG117" s="45"/>
      <c r="CH117" s="45"/>
      <c r="CI117" s="45"/>
      <c r="CJ117" s="2"/>
    </row>
    <row r="118" spans="1:88" ht="15">
      <c r="A118" s="61" t="s">
        <v>230</v>
      </c>
      <c r="B118" s="62"/>
      <c r="C118" s="62"/>
      <c r="D118" s="63">
        <v>535</v>
      </c>
      <c r="E118" s="65"/>
      <c r="F118" s="100" t="str">
        <f>HYPERLINK("https://pbs.twimg.com/profile_images/1700578472530161664/kLgR6CCn_normal.jpg")</f>
        <v>https://pbs.twimg.com/profile_images/1700578472530161664/kLgR6CCn_normal.jpg</v>
      </c>
      <c r="G118" s="62"/>
      <c r="H118" s="66" t="s">
        <v>230</v>
      </c>
      <c r="I118" s="67"/>
      <c r="J118" s="67" t="s">
        <v>159</v>
      </c>
      <c r="K118" s="66" t="s">
        <v>2772</v>
      </c>
      <c r="L118" s="70">
        <v>477.0952380952381</v>
      </c>
      <c r="M118" s="71">
        <v>1649.005859375</v>
      </c>
      <c r="N118" s="71">
        <v>6347.31689453125</v>
      </c>
      <c r="O118" s="72"/>
      <c r="P118" s="73"/>
      <c r="Q118" s="73"/>
      <c r="R118" s="86"/>
      <c r="S118" s="45">
        <v>1</v>
      </c>
      <c r="T118" s="45">
        <v>11</v>
      </c>
      <c r="U118" s="46">
        <v>1546.464935</v>
      </c>
      <c r="V118" s="46">
        <v>0.377418</v>
      </c>
      <c r="W118" s="46">
        <v>0.134077</v>
      </c>
      <c r="X118" s="46">
        <v>0.004471</v>
      </c>
      <c r="Y118" s="46">
        <v>0.08181818181818182</v>
      </c>
      <c r="Z118" s="46">
        <v>0.09090909090909091</v>
      </c>
      <c r="AA118" s="68">
        <v>118</v>
      </c>
      <c r="AB118" s="68"/>
      <c r="AC118" s="69"/>
      <c r="AD118" s="76" t="s">
        <v>1363</v>
      </c>
      <c r="AE118" s="80" t="s">
        <v>1176</v>
      </c>
      <c r="AF118" s="76">
        <v>15351</v>
      </c>
      <c r="AG118" s="76">
        <v>1114</v>
      </c>
      <c r="AH118" s="76">
        <v>4888</v>
      </c>
      <c r="AI118" s="76">
        <v>19</v>
      </c>
      <c r="AJ118" s="76">
        <v>3354</v>
      </c>
      <c r="AK118" s="76">
        <v>704</v>
      </c>
      <c r="AL118" s="76" t="b">
        <v>0</v>
      </c>
      <c r="AM118" s="78">
        <v>44106.81520833333</v>
      </c>
      <c r="AN118" s="76" t="s">
        <v>1920</v>
      </c>
      <c r="AO118" s="76" t="s">
        <v>2151</v>
      </c>
      <c r="AP118" s="82" t="str">
        <f>HYPERLINK("https://t.co/EwBiUW4rpu")</f>
        <v>https://t.co/EwBiUW4rpu</v>
      </c>
      <c r="AQ118" s="82" t="str">
        <f>HYPERLINK("http://projectmerge.org")</f>
        <v>http://projectmerge.org</v>
      </c>
      <c r="AR118" s="76" t="s">
        <v>2429</v>
      </c>
      <c r="AS118" s="82" t="str">
        <f>HYPERLINK("https://t.co/HPeBUSUfN9")</f>
        <v>https://t.co/HPeBUSUfN9</v>
      </c>
      <c r="AT118" s="82" t="str">
        <f>HYPERLINK("http://MergeBCDG.com")</f>
        <v>http://MergeBCDG.com</v>
      </c>
      <c r="AU118" s="76" t="s">
        <v>2625</v>
      </c>
      <c r="AV118" s="76">
        <v>1.69913547989391E+18</v>
      </c>
      <c r="AW118" s="82" t="str">
        <f>HYPERLINK("https://t.co/EwBiUW4rpu")</f>
        <v>https://t.co/EwBiUW4rpu</v>
      </c>
      <c r="AX118" s="76" t="b">
        <v>0</v>
      </c>
      <c r="AY118" s="76"/>
      <c r="AZ118" s="76"/>
      <c r="BA118" s="76" t="b">
        <v>1</v>
      </c>
      <c r="BB118" s="76" t="b">
        <v>1</v>
      </c>
      <c r="BC118" s="76" t="b">
        <v>1</v>
      </c>
      <c r="BD118" s="76" t="b">
        <v>0</v>
      </c>
      <c r="BE118" s="76" t="b">
        <v>0</v>
      </c>
      <c r="BF118" s="76" t="b">
        <v>0</v>
      </c>
      <c r="BG118" s="76" t="b">
        <v>0</v>
      </c>
      <c r="BH118" s="82" t="str">
        <f>HYPERLINK("https://pbs.twimg.com/profile_banners/1312113502346186754/1661203001")</f>
        <v>https://pbs.twimg.com/profile_banners/1312113502346186754/1661203001</v>
      </c>
      <c r="BI118" s="76"/>
      <c r="BJ118" s="76" t="s">
        <v>2656</v>
      </c>
      <c r="BK118" s="76" t="b">
        <v>0</v>
      </c>
      <c r="BL118" s="76"/>
      <c r="BM118" s="76" t="s">
        <v>66</v>
      </c>
      <c r="BN118" s="76" t="s">
        <v>2657</v>
      </c>
      <c r="BO118" s="82" t="str">
        <f>HYPERLINK("https://twitter.com/dfwplay")</f>
        <v>https://twitter.com/dfwplay</v>
      </c>
      <c r="BP118" s="76" t="str">
        <f>REPLACE(INDEX(GroupVertices[Group],MATCH(Vertices[[#This Row],[Vertex]],GroupVertices[Vertex],0)),1,1,"")</f>
        <v>1</v>
      </c>
      <c r="BQ118" s="45">
        <v>2</v>
      </c>
      <c r="BR118" s="46">
        <v>3.4482758620689653</v>
      </c>
      <c r="BS118" s="45">
        <v>1</v>
      </c>
      <c r="BT118" s="46">
        <v>1.7241379310344827</v>
      </c>
      <c r="BU118" s="45">
        <v>0</v>
      </c>
      <c r="BV118" s="46">
        <v>0</v>
      </c>
      <c r="BW118" s="45">
        <v>41</v>
      </c>
      <c r="BX118" s="46">
        <v>70.6896551724138</v>
      </c>
      <c r="BY118" s="45">
        <v>58</v>
      </c>
      <c r="BZ118" s="45" t="s">
        <v>11541</v>
      </c>
      <c r="CA118" s="45" t="s">
        <v>11541</v>
      </c>
      <c r="CB118" s="45" t="s">
        <v>741</v>
      </c>
      <c r="CC118" s="45" t="s">
        <v>741</v>
      </c>
      <c r="CD118" s="45"/>
      <c r="CE118" s="45"/>
      <c r="CF118" s="112" t="s">
        <v>11595</v>
      </c>
      <c r="CG118" s="112" t="s">
        <v>11631</v>
      </c>
      <c r="CH118" s="112" t="s">
        <v>11650</v>
      </c>
      <c r="CI118" s="112" t="s">
        <v>11685</v>
      </c>
      <c r="CJ118" s="2"/>
    </row>
    <row r="119" spans="1:88" ht="15">
      <c r="A119" s="61" t="s">
        <v>369</v>
      </c>
      <c r="B119" s="62"/>
      <c r="C119" s="62"/>
      <c r="D119" s="63">
        <v>1000</v>
      </c>
      <c r="E119" s="65"/>
      <c r="F119" s="100" t="str">
        <f>HYPERLINK("https://pbs.twimg.com/profile_images/1563831099234680833/3i5rsyvM_normal.jpg")</f>
        <v>https://pbs.twimg.com/profile_images/1563831099234680833/3i5rsyvM_normal.jpg</v>
      </c>
      <c r="G119" s="62"/>
      <c r="H119" s="66" t="s">
        <v>369</v>
      </c>
      <c r="I119" s="67"/>
      <c r="J119" s="67" t="s">
        <v>159</v>
      </c>
      <c r="K119" s="66" t="s">
        <v>2773</v>
      </c>
      <c r="L119" s="70">
        <v>953.1904761904761</v>
      </c>
      <c r="M119" s="71">
        <v>1109.3614501953125</v>
      </c>
      <c r="N119" s="71">
        <v>6241.1728515625</v>
      </c>
      <c r="O119" s="72"/>
      <c r="P119" s="73"/>
      <c r="Q119" s="73"/>
      <c r="R119" s="86"/>
      <c r="S119" s="45">
        <v>2</v>
      </c>
      <c r="T119" s="45">
        <v>0</v>
      </c>
      <c r="U119" s="46">
        <v>0</v>
      </c>
      <c r="V119" s="46">
        <v>0.308337</v>
      </c>
      <c r="W119" s="46">
        <v>0.068674</v>
      </c>
      <c r="X119" s="46">
        <v>0.002811</v>
      </c>
      <c r="Y119" s="46">
        <v>1</v>
      </c>
      <c r="Z119" s="46">
        <v>0</v>
      </c>
      <c r="AA119" s="68">
        <v>119</v>
      </c>
      <c r="AB119" s="68"/>
      <c r="AC119" s="69"/>
      <c r="AD119" s="76" t="s">
        <v>1364</v>
      </c>
      <c r="AE119" s="80" t="s">
        <v>1671</v>
      </c>
      <c r="AF119" s="76">
        <v>9044</v>
      </c>
      <c r="AG119" s="76">
        <v>745</v>
      </c>
      <c r="AH119" s="76">
        <v>1766</v>
      </c>
      <c r="AI119" s="76">
        <v>47</v>
      </c>
      <c r="AJ119" s="76">
        <v>1871</v>
      </c>
      <c r="AK119" s="76">
        <v>551</v>
      </c>
      <c r="AL119" s="76" t="b">
        <v>0</v>
      </c>
      <c r="AM119" s="78">
        <v>41091.74115740741</v>
      </c>
      <c r="AN119" s="76" t="s">
        <v>1921</v>
      </c>
      <c r="AO119" s="76" t="s">
        <v>2152</v>
      </c>
      <c r="AP119" s="82" t="str">
        <f>HYPERLINK("https://t.co/jpeld1U8j8")</f>
        <v>https://t.co/jpeld1U8j8</v>
      </c>
      <c r="AQ119" s="82" t="str">
        <f>HYPERLINK("https://www.twitch.tv/datalgo")</f>
        <v>https://www.twitch.tv/datalgo</v>
      </c>
      <c r="AR119" s="76" t="s">
        <v>2430</v>
      </c>
      <c r="AS119" s="76"/>
      <c r="AT119" s="76"/>
      <c r="AU119" s="76"/>
      <c r="AV119" s="76">
        <v>1.40042695419351E+18</v>
      </c>
      <c r="AW119" s="82" t="str">
        <f>HYPERLINK("https://t.co/jpeld1U8j8")</f>
        <v>https://t.co/jpeld1U8j8</v>
      </c>
      <c r="AX119" s="76" t="b">
        <v>0</v>
      </c>
      <c r="AY119" s="76"/>
      <c r="AZ119" s="76"/>
      <c r="BA119" s="76" t="b">
        <v>1</v>
      </c>
      <c r="BB119" s="76" t="b">
        <v>1</v>
      </c>
      <c r="BC119" s="76" t="b">
        <v>0</v>
      </c>
      <c r="BD119" s="76" t="b">
        <v>0</v>
      </c>
      <c r="BE119" s="76" t="b">
        <v>1</v>
      </c>
      <c r="BF119" s="76" t="b">
        <v>0</v>
      </c>
      <c r="BG119" s="76" t="b">
        <v>0</v>
      </c>
      <c r="BH119" s="82" t="str">
        <f>HYPERLINK("https://pbs.twimg.com/profile_banners/623944853/1666791641")</f>
        <v>https://pbs.twimg.com/profile_banners/623944853/1666791641</v>
      </c>
      <c r="BI119" s="76"/>
      <c r="BJ119" s="76" t="s">
        <v>2656</v>
      </c>
      <c r="BK119" s="76" t="b">
        <v>0</v>
      </c>
      <c r="BL119" s="76"/>
      <c r="BM119" s="76" t="s">
        <v>65</v>
      </c>
      <c r="BN119" s="76" t="s">
        <v>2657</v>
      </c>
      <c r="BO119" s="82" t="str">
        <f>HYPERLINK("https://twitter.com/nicolasbchb")</f>
        <v>https://twitter.com/nicolasbchb</v>
      </c>
      <c r="BP119" s="76" t="str">
        <f>REPLACE(INDEX(GroupVertices[Group],MATCH(Vertices[[#This Row],[Vertex]],GroupVertices[Vertex],0)),1,1,"")</f>
        <v>1</v>
      </c>
      <c r="BQ119" s="45"/>
      <c r="BR119" s="46"/>
      <c r="BS119" s="45"/>
      <c r="BT119" s="46"/>
      <c r="BU119" s="45"/>
      <c r="BV119" s="46"/>
      <c r="BW119" s="45"/>
      <c r="BX119" s="46"/>
      <c r="BY119" s="45"/>
      <c r="BZ119" s="45"/>
      <c r="CA119" s="45"/>
      <c r="CB119" s="45"/>
      <c r="CC119" s="45"/>
      <c r="CD119" s="45"/>
      <c r="CE119" s="45"/>
      <c r="CF119" s="45"/>
      <c r="CG119" s="45"/>
      <c r="CH119" s="45"/>
      <c r="CI119" s="45"/>
      <c r="CJ119" s="2"/>
    </row>
    <row r="120" spans="1:88" ht="15">
      <c r="A120" s="61" t="s">
        <v>370</v>
      </c>
      <c r="B120" s="62"/>
      <c r="C120" s="62"/>
      <c r="D120" s="63">
        <v>1000</v>
      </c>
      <c r="E120" s="65"/>
      <c r="F120" s="100" t="str">
        <f>HYPERLINK("https://pbs.twimg.com/profile_images/1007337290874720256/h-PpvuSh_normal.jpg")</f>
        <v>https://pbs.twimg.com/profile_images/1007337290874720256/h-PpvuSh_normal.jpg</v>
      </c>
      <c r="G120" s="62"/>
      <c r="H120" s="66" t="s">
        <v>370</v>
      </c>
      <c r="I120" s="67"/>
      <c r="J120" s="67" t="s">
        <v>159</v>
      </c>
      <c r="K120" s="66" t="s">
        <v>2774</v>
      </c>
      <c r="L120" s="70">
        <v>953.1904761904761</v>
      </c>
      <c r="M120" s="71">
        <v>2224.414794921875</v>
      </c>
      <c r="N120" s="71">
        <v>7117.17626953125</v>
      </c>
      <c r="O120" s="72"/>
      <c r="P120" s="73"/>
      <c r="Q120" s="73"/>
      <c r="R120" s="86"/>
      <c r="S120" s="45">
        <v>2</v>
      </c>
      <c r="T120" s="45">
        <v>0</v>
      </c>
      <c r="U120" s="46">
        <v>0</v>
      </c>
      <c r="V120" s="46">
        <v>0.308337</v>
      </c>
      <c r="W120" s="46">
        <v>0.068674</v>
      </c>
      <c r="X120" s="46">
        <v>0.002811</v>
      </c>
      <c r="Y120" s="46">
        <v>1</v>
      </c>
      <c r="Z120" s="46">
        <v>0</v>
      </c>
      <c r="AA120" s="68">
        <v>120</v>
      </c>
      <c r="AB120" s="68"/>
      <c r="AC120" s="69"/>
      <c r="AD120" s="76" t="s">
        <v>1365</v>
      </c>
      <c r="AE120" s="80" t="s">
        <v>1672</v>
      </c>
      <c r="AF120" s="76">
        <v>55661</v>
      </c>
      <c r="AG120" s="76">
        <v>1732</v>
      </c>
      <c r="AH120" s="76">
        <v>7067</v>
      </c>
      <c r="AI120" s="76">
        <v>1421</v>
      </c>
      <c r="AJ120" s="76">
        <v>23034</v>
      </c>
      <c r="AK120" s="76">
        <v>3058</v>
      </c>
      <c r="AL120" s="76" t="b">
        <v>0</v>
      </c>
      <c r="AM120" s="78">
        <v>43013.46111111111</v>
      </c>
      <c r="AN120" s="76" t="s">
        <v>1922</v>
      </c>
      <c r="AO120" s="76" t="s">
        <v>2153</v>
      </c>
      <c r="AP120" s="82" t="str">
        <f>HYPERLINK("https://t.co/6KFlXpqmrz")</f>
        <v>https://t.co/6KFlXpqmrz</v>
      </c>
      <c r="AQ120" s="82" t="str">
        <f>HYPERLINK("https://benjaminstrick.com/")</f>
        <v>https://benjaminstrick.com/</v>
      </c>
      <c r="AR120" s="76" t="s">
        <v>2431</v>
      </c>
      <c r="AS120" s="82" t="str">
        <f>HYPERLINK("https://t.co/jwll4Af0ax")</f>
        <v>https://t.co/jwll4Af0ax</v>
      </c>
      <c r="AT120" s="82" t="str">
        <f>HYPERLINK("http://youtube.com/Bendobrown")</f>
        <v>http://youtube.com/Bendobrown</v>
      </c>
      <c r="AU120" s="76" t="s">
        <v>2626</v>
      </c>
      <c r="AV120" s="76">
        <v>1.35616797442036E+18</v>
      </c>
      <c r="AW120" s="82" t="str">
        <f>HYPERLINK("https://t.co/6KFlXpqmrz")</f>
        <v>https://t.co/6KFlXpqmrz</v>
      </c>
      <c r="AX120" s="76" t="b">
        <v>0</v>
      </c>
      <c r="AY120" s="76"/>
      <c r="AZ120" s="76"/>
      <c r="BA120" s="76" t="b">
        <v>1</v>
      </c>
      <c r="BB120" s="76" t="b">
        <v>1</v>
      </c>
      <c r="BC120" s="76" t="b">
        <v>0</v>
      </c>
      <c r="BD120" s="76" t="b">
        <v>0</v>
      </c>
      <c r="BE120" s="76" t="b">
        <v>1</v>
      </c>
      <c r="BF120" s="76" t="b">
        <v>0</v>
      </c>
      <c r="BG120" s="76" t="b">
        <v>0</v>
      </c>
      <c r="BH120" s="82" t="str">
        <f>HYPERLINK("https://pbs.twimg.com/profile_banners/915895342532583424/1615466179")</f>
        <v>https://pbs.twimg.com/profile_banners/915895342532583424/1615466179</v>
      </c>
      <c r="BI120" s="76"/>
      <c r="BJ120" s="76" t="s">
        <v>2656</v>
      </c>
      <c r="BK120" s="76" t="b">
        <v>0</v>
      </c>
      <c r="BL120" s="76"/>
      <c r="BM120" s="76" t="s">
        <v>65</v>
      </c>
      <c r="BN120" s="76" t="s">
        <v>2657</v>
      </c>
      <c r="BO120" s="82" t="str">
        <f>HYPERLINK("https://twitter.com/bendobrown")</f>
        <v>https://twitter.com/bendobrown</v>
      </c>
      <c r="BP120" s="76" t="str">
        <f>REPLACE(INDEX(GroupVertices[Group],MATCH(Vertices[[#This Row],[Vertex]],GroupVertices[Vertex],0)),1,1,"")</f>
        <v>1</v>
      </c>
      <c r="BQ120" s="45"/>
      <c r="BR120" s="46"/>
      <c r="BS120" s="45"/>
      <c r="BT120" s="46"/>
      <c r="BU120" s="45"/>
      <c r="BV120" s="46"/>
      <c r="BW120" s="45"/>
      <c r="BX120" s="46"/>
      <c r="BY120" s="45"/>
      <c r="BZ120" s="45"/>
      <c r="CA120" s="45"/>
      <c r="CB120" s="45"/>
      <c r="CC120" s="45"/>
      <c r="CD120" s="45"/>
      <c r="CE120" s="45"/>
      <c r="CF120" s="45"/>
      <c r="CG120" s="45"/>
      <c r="CH120" s="45"/>
      <c r="CI120" s="45"/>
      <c r="CJ120" s="2"/>
    </row>
    <row r="121" spans="1:88" ht="15">
      <c r="A121" s="61" t="s">
        <v>371</v>
      </c>
      <c r="B121" s="62"/>
      <c r="C121" s="62"/>
      <c r="D121" s="63">
        <v>1000</v>
      </c>
      <c r="E121" s="65"/>
      <c r="F121" s="100" t="str">
        <f>HYPERLINK("https://pbs.twimg.com/profile_images/1642247934174543872/wqdRR4Ir_normal.jpg")</f>
        <v>https://pbs.twimg.com/profile_images/1642247934174543872/wqdRR4Ir_normal.jpg</v>
      </c>
      <c r="G121" s="62"/>
      <c r="H121" s="66" t="s">
        <v>371</v>
      </c>
      <c r="I121" s="67"/>
      <c r="J121" s="67" t="s">
        <v>159</v>
      </c>
      <c r="K121" s="66" t="s">
        <v>2775</v>
      </c>
      <c r="L121" s="70">
        <v>953.1904761904761</v>
      </c>
      <c r="M121" s="71">
        <v>1363.3572998046875</v>
      </c>
      <c r="N121" s="71">
        <v>7028.482421875</v>
      </c>
      <c r="O121" s="72"/>
      <c r="P121" s="73"/>
      <c r="Q121" s="73"/>
      <c r="R121" s="86"/>
      <c r="S121" s="45">
        <v>2</v>
      </c>
      <c r="T121" s="45">
        <v>0</v>
      </c>
      <c r="U121" s="46">
        <v>0</v>
      </c>
      <c r="V121" s="46">
        <v>0.308337</v>
      </c>
      <c r="W121" s="46">
        <v>0.068674</v>
      </c>
      <c r="X121" s="46">
        <v>0.002811</v>
      </c>
      <c r="Y121" s="46">
        <v>1</v>
      </c>
      <c r="Z121" s="46">
        <v>0</v>
      </c>
      <c r="AA121" s="68">
        <v>121</v>
      </c>
      <c r="AB121" s="68"/>
      <c r="AC121" s="69"/>
      <c r="AD121" s="76" t="s">
        <v>1366</v>
      </c>
      <c r="AE121" s="80" t="s">
        <v>1673</v>
      </c>
      <c r="AF121" s="76">
        <v>3495</v>
      </c>
      <c r="AG121" s="76">
        <v>2509</v>
      </c>
      <c r="AH121" s="76">
        <v>22067</v>
      </c>
      <c r="AI121" s="76">
        <v>395</v>
      </c>
      <c r="AJ121" s="76">
        <v>10404</v>
      </c>
      <c r="AK121" s="76">
        <v>1059</v>
      </c>
      <c r="AL121" s="76" t="b">
        <v>0</v>
      </c>
      <c r="AM121" s="78">
        <v>39919.5809375</v>
      </c>
      <c r="AN121" s="76" t="s">
        <v>1852</v>
      </c>
      <c r="AO121" s="76" t="s">
        <v>2154</v>
      </c>
      <c r="AP121" s="82" t="str">
        <f>HYPERLINK("https://t.co/A06OqOkAJv")</f>
        <v>https://t.co/A06OqOkAJv</v>
      </c>
      <c r="AQ121" s="82" t="str">
        <f>HYPERLINK("https://clementlevallois.net")</f>
        <v>https://clementlevallois.net</v>
      </c>
      <c r="AR121" s="76" t="s">
        <v>2432</v>
      </c>
      <c r="AS121" s="82" t="str">
        <f>HYPERLINK("https://t.co/lJVOhWyp81")</f>
        <v>https://t.co/lJVOhWyp81</v>
      </c>
      <c r="AT121" s="82" t="str">
        <f>HYPERLINK("http://nocodefunctions.com")</f>
        <v>http://nocodefunctions.com</v>
      </c>
      <c r="AU121" s="76" t="s">
        <v>2627</v>
      </c>
      <c r="AV121" s="76">
        <v>1.41719623508211E+18</v>
      </c>
      <c r="AW121" s="82" t="str">
        <f>HYPERLINK("https://t.co/A06OqOkAJv")</f>
        <v>https://t.co/A06OqOkAJv</v>
      </c>
      <c r="AX121" s="76" t="b">
        <v>0</v>
      </c>
      <c r="AY121" s="76"/>
      <c r="AZ121" s="76" t="b">
        <v>1</v>
      </c>
      <c r="BA121" s="76" t="b">
        <v>0</v>
      </c>
      <c r="BB121" s="76" t="b">
        <v>1</v>
      </c>
      <c r="BC121" s="76" t="b">
        <v>0</v>
      </c>
      <c r="BD121" s="76" t="b">
        <v>0</v>
      </c>
      <c r="BE121" s="76" t="b">
        <v>1</v>
      </c>
      <c r="BF121" s="76" t="b">
        <v>0</v>
      </c>
      <c r="BG121" s="76" t="b">
        <v>0</v>
      </c>
      <c r="BH121" s="82" t="str">
        <f>HYPERLINK("https://pbs.twimg.com/profile_banners/31805620/1398282522")</f>
        <v>https://pbs.twimg.com/profile_banners/31805620/1398282522</v>
      </c>
      <c r="BI121" s="76"/>
      <c r="BJ121" s="76" t="s">
        <v>2656</v>
      </c>
      <c r="BK121" s="76" t="b">
        <v>1</v>
      </c>
      <c r="BL121" s="76"/>
      <c r="BM121" s="76" t="s">
        <v>65</v>
      </c>
      <c r="BN121" s="76" t="s">
        <v>2657</v>
      </c>
      <c r="BO121" s="82" t="str">
        <f>HYPERLINK("https://twitter.com/seinecle")</f>
        <v>https://twitter.com/seinecle</v>
      </c>
      <c r="BP121" s="76" t="str">
        <f>REPLACE(INDEX(GroupVertices[Group],MATCH(Vertices[[#This Row],[Vertex]],GroupVertices[Vertex],0)),1,1,"")</f>
        <v>1</v>
      </c>
      <c r="BQ121" s="45"/>
      <c r="BR121" s="46"/>
      <c r="BS121" s="45"/>
      <c r="BT121" s="46"/>
      <c r="BU121" s="45"/>
      <c r="BV121" s="46"/>
      <c r="BW121" s="45"/>
      <c r="BX121" s="46"/>
      <c r="BY121" s="45"/>
      <c r="BZ121" s="45"/>
      <c r="CA121" s="45"/>
      <c r="CB121" s="45"/>
      <c r="CC121" s="45"/>
      <c r="CD121" s="45"/>
      <c r="CE121" s="45"/>
      <c r="CF121" s="45"/>
      <c r="CG121" s="45"/>
      <c r="CH121" s="45"/>
      <c r="CI121" s="45"/>
      <c r="CJ121" s="2"/>
    </row>
    <row r="122" spans="1:88" ht="15">
      <c r="A122" s="61" t="s">
        <v>372</v>
      </c>
      <c r="B122" s="62"/>
      <c r="C122" s="62"/>
      <c r="D122" s="63">
        <v>1000</v>
      </c>
      <c r="E122" s="65"/>
      <c r="F122" s="100" t="str">
        <f>HYPERLINK("https://pbs.twimg.com/profile_images/1276414449302323206/rMprFUIw_normal.jpg")</f>
        <v>https://pbs.twimg.com/profile_images/1276414449302323206/rMprFUIw_normal.jpg</v>
      </c>
      <c r="G122" s="62"/>
      <c r="H122" s="66" t="s">
        <v>372</v>
      </c>
      <c r="I122" s="67"/>
      <c r="J122" s="67" t="s">
        <v>159</v>
      </c>
      <c r="K122" s="66" t="s">
        <v>2776</v>
      </c>
      <c r="L122" s="70">
        <v>953.1904761904761</v>
      </c>
      <c r="M122" s="71">
        <v>1394.8099365234375</v>
      </c>
      <c r="N122" s="71">
        <v>5091.2099609375</v>
      </c>
      <c r="O122" s="72"/>
      <c r="P122" s="73"/>
      <c r="Q122" s="73"/>
      <c r="R122" s="86"/>
      <c r="S122" s="45">
        <v>2</v>
      </c>
      <c r="T122" s="45">
        <v>0</v>
      </c>
      <c r="U122" s="46">
        <v>0</v>
      </c>
      <c r="V122" s="46">
        <v>0.308337</v>
      </c>
      <c r="W122" s="46">
        <v>0.068674</v>
      </c>
      <c r="X122" s="46">
        <v>0.002811</v>
      </c>
      <c r="Y122" s="46">
        <v>1</v>
      </c>
      <c r="Z122" s="46">
        <v>0</v>
      </c>
      <c r="AA122" s="68">
        <v>122</v>
      </c>
      <c r="AB122" s="68"/>
      <c r="AC122" s="69"/>
      <c r="AD122" s="76" t="s">
        <v>1367</v>
      </c>
      <c r="AE122" s="80" t="s">
        <v>1674</v>
      </c>
      <c r="AF122" s="76">
        <v>3192</v>
      </c>
      <c r="AG122" s="76">
        <v>546</v>
      </c>
      <c r="AH122" s="76">
        <v>2109</v>
      </c>
      <c r="AI122" s="76">
        <v>105</v>
      </c>
      <c r="AJ122" s="76">
        <v>3625</v>
      </c>
      <c r="AK122" s="76">
        <v>300</v>
      </c>
      <c r="AL122" s="76" t="b">
        <v>0</v>
      </c>
      <c r="AM122" s="78">
        <v>41451.93685185185</v>
      </c>
      <c r="AN122" s="76" t="s">
        <v>1923</v>
      </c>
      <c r="AO122" s="76" t="s">
        <v>2155</v>
      </c>
      <c r="AP122" s="82" t="str">
        <f>HYPERLINK("https://t.co/IAGwZQtYm1")</f>
        <v>https://t.co/IAGwZQtYm1</v>
      </c>
      <c r="AQ122" s="82" t="str">
        <f>HYPERLINK("http://reticular.hypotheses.org")</f>
        <v>http://reticular.hypotheses.org</v>
      </c>
      <c r="AR122" s="76" t="s">
        <v>2433</v>
      </c>
      <c r="AS122" s="76" t="s">
        <v>2587</v>
      </c>
      <c r="AT122" s="76" t="s">
        <v>2599</v>
      </c>
      <c r="AU122" s="76" t="s">
        <v>2628</v>
      </c>
      <c r="AV122" s="76"/>
      <c r="AW122" s="82" t="str">
        <f>HYPERLINK("https://t.co/IAGwZQtYm1")</f>
        <v>https://t.co/IAGwZQtYm1</v>
      </c>
      <c r="AX122" s="76" t="b">
        <v>0</v>
      </c>
      <c r="AY122" s="76"/>
      <c r="AZ122" s="76" t="b">
        <v>1</v>
      </c>
      <c r="BA122" s="76" t="b">
        <v>0</v>
      </c>
      <c r="BB122" s="76" t="b">
        <v>1</v>
      </c>
      <c r="BC122" s="76" t="b">
        <v>0</v>
      </c>
      <c r="BD122" s="76" t="b">
        <v>0</v>
      </c>
      <c r="BE122" s="76" t="b">
        <v>1</v>
      </c>
      <c r="BF122" s="76" t="b">
        <v>0</v>
      </c>
      <c r="BG122" s="76" t="b">
        <v>0</v>
      </c>
      <c r="BH122" s="82" t="str">
        <f>HYPERLINK("https://pbs.twimg.com/profile_banners/1549209552/1654418912")</f>
        <v>https://pbs.twimg.com/profile_banners/1549209552/1654418912</v>
      </c>
      <c r="BI122" s="76"/>
      <c r="BJ122" s="76" t="s">
        <v>2656</v>
      </c>
      <c r="BK122" s="76" t="b">
        <v>1</v>
      </c>
      <c r="BL122" s="76"/>
      <c r="BM122" s="76" t="s">
        <v>65</v>
      </c>
      <c r="BN122" s="76" t="s">
        <v>2657</v>
      </c>
      <c r="BO122" s="82" t="str">
        <f>HYPERLINK("https://twitter.com/jacomyma")</f>
        <v>https://twitter.com/jacomyma</v>
      </c>
      <c r="BP122" s="76" t="str">
        <f>REPLACE(INDEX(GroupVertices[Group],MATCH(Vertices[[#This Row],[Vertex]],GroupVertices[Vertex],0)),1,1,"")</f>
        <v>1</v>
      </c>
      <c r="BQ122" s="45"/>
      <c r="BR122" s="46"/>
      <c r="BS122" s="45"/>
      <c r="BT122" s="46"/>
      <c r="BU122" s="45"/>
      <c r="BV122" s="46"/>
      <c r="BW122" s="45"/>
      <c r="BX122" s="46"/>
      <c r="BY122" s="45"/>
      <c r="BZ122" s="45"/>
      <c r="CA122" s="45"/>
      <c r="CB122" s="45"/>
      <c r="CC122" s="45"/>
      <c r="CD122" s="45"/>
      <c r="CE122" s="45"/>
      <c r="CF122" s="45"/>
      <c r="CG122" s="45"/>
      <c r="CH122" s="45"/>
      <c r="CI122" s="45"/>
      <c r="CJ122" s="2"/>
    </row>
    <row r="123" spans="1:88" ht="15">
      <c r="A123" s="61" t="s">
        <v>373</v>
      </c>
      <c r="B123" s="62"/>
      <c r="C123" s="62"/>
      <c r="D123" s="63">
        <v>1000</v>
      </c>
      <c r="E123" s="65"/>
      <c r="F123" s="100" t="str">
        <f>HYPERLINK("https://pbs.twimg.com/profile_images/1144342126546903040/ueqWgqGr_normal.png")</f>
        <v>https://pbs.twimg.com/profile_images/1144342126546903040/ueqWgqGr_normal.png</v>
      </c>
      <c r="G123" s="62"/>
      <c r="H123" s="66" t="s">
        <v>373</v>
      </c>
      <c r="I123" s="67"/>
      <c r="J123" s="67" t="s">
        <v>159</v>
      </c>
      <c r="K123" s="66" t="s">
        <v>2777</v>
      </c>
      <c r="L123" s="70">
        <v>953.1904761904761</v>
      </c>
      <c r="M123" s="71">
        <v>2116.875732421875</v>
      </c>
      <c r="N123" s="71">
        <v>5441.583984375</v>
      </c>
      <c r="O123" s="72"/>
      <c r="P123" s="73"/>
      <c r="Q123" s="73"/>
      <c r="R123" s="86"/>
      <c r="S123" s="45">
        <v>2</v>
      </c>
      <c r="T123" s="45">
        <v>0</v>
      </c>
      <c r="U123" s="46">
        <v>0</v>
      </c>
      <c r="V123" s="46">
        <v>0.308337</v>
      </c>
      <c r="W123" s="46">
        <v>0.068674</v>
      </c>
      <c r="X123" s="46">
        <v>0.002811</v>
      </c>
      <c r="Y123" s="46">
        <v>1</v>
      </c>
      <c r="Z123" s="46">
        <v>0</v>
      </c>
      <c r="AA123" s="68">
        <v>123</v>
      </c>
      <c r="AB123" s="68"/>
      <c r="AC123" s="69"/>
      <c r="AD123" s="76" t="s">
        <v>1368</v>
      </c>
      <c r="AE123" s="80" t="s">
        <v>1675</v>
      </c>
      <c r="AF123" s="76">
        <v>1396</v>
      </c>
      <c r="AG123" s="76">
        <v>276</v>
      </c>
      <c r="AH123" s="76">
        <v>473</v>
      </c>
      <c r="AI123" s="76">
        <v>5</v>
      </c>
      <c r="AJ123" s="76">
        <v>577</v>
      </c>
      <c r="AK123" s="76">
        <v>52</v>
      </c>
      <c r="AL123" s="76" t="b">
        <v>0</v>
      </c>
      <c r="AM123" s="78">
        <v>43643.85359953704</v>
      </c>
      <c r="AN123" s="76" t="s">
        <v>1924</v>
      </c>
      <c r="AO123" s="76" t="s">
        <v>2156</v>
      </c>
      <c r="AP123" s="82" t="str">
        <f>HYPERLINK("https://t.co/Ki4ZFU0wuc")</f>
        <v>https://t.co/Ki4ZFU0wuc</v>
      </c>
      <c r="AQ123" s="82" t="str">
        <f>HYPERLINK("http://mergebcdg.com")</f>
        <v>http://mergebcdg.com</v>
      </c>
      <c r="AR123" s="76" t="s">
        <v>2434</v>
      </c>
      <c r="AS123" s="76"/>
      <c r="AT123" s="76"/>
      <c r="AU123" s="76"/>
      <c r="AV123" s="76">
        <v>1.6129544210126E+18</v>
      </c>
      <c r="AW123" s="82" t="str">
        <f>HYPERLINK("https://t.co/Ki4ZFU0wuc")</f>
        <v>https://t.co/Ki4ZFU0wuc</v>
      </c>
      <c r="AX123" s="76" t="b">
        <v>0</v>
      </c>
      <c r="AY123" s="76"/>
      <c r="AZ123" s="76"/>
      <c r="BA123" s="76" t="b">
        <v>1</v>
      </c>
      <c r="BB123" s="76" t="b">
        <v>0</v>
      </c>
      <c r="BC123" s="76" t="b">
        <v>0</v>
      </c>
      <c r="BD123" s="76" t="b">
        <v>0</v>
      </c>
      <c r="BE123" s="76" t="b">
        <v>0</v>
      </c>
      <c r="BF123" s="76" t="b">
        <v>0</v>
      </c>
      <c r="BG123" s="76" t="b">
        <v>0</v>
      </c>
      <c r="BH123" s="82" t="str">
        <f>HYPERLINK("https://pbs.twimg.com/profile_banners/1144341927053189121/1561667885")</f>
        <v>https://pbs.twimg.com/profile_banners/1144341927053189121/1561667885</v>
      </c>
      <c r="BI123" s="76"/>
      <c r="BJ123" s="76" t="s">
        <v>2656</v>
      </c>
      <c r="BK123" s="76" t="b">
        <v>0</v>
      </c>
      <c r="BL123" s="76"/>
      <c r="BM123" s="76" t="s">
        <v>65</v>
      </c>
      <c r="BN123" s="76" t="s">
        <v>2657</v>
      </c>
      <c r="BO123" s="82" t="str">
        <f>HYPERLINK("https://twitter.com/mergebcdg")</f>
        <v>https://twitter.com/mergebcdg</v>
      </c>
      <c r="BP123" s="76" t="str">
        <f>REPLACE(INDEX(GroupVertices[Group],MATCH(Vertices[[#This Row],[Vertex]],GroupVertices[Vertex],0)),1,1,"")</f>
        <v>1</v>
      </c>
      <c r="BQ123" s="45"/>
      <c r="BR123" s="46"/>
      <c r="BS123" s="45"/>
      <c r="BT123" s="46"/>
      <c r="BU123" s="45"/>
      <c r="BV123" s="46"/>
      <c r="BW123" s="45"/>
      <c r="BX123" s="46"/>
      <c r="BY123" s="45"/>
      <c r="BZ123" s="45"/>
      <c r="CA123" s="45"/>
      <c r="CB123" s="45"/>
      <c r="CC123" s="45"/>
      <c r="CD123" s="45"/>
      <c r="CE123" s="45"/>
      <c r="CF123" s="45"/>
      <c r="CG123" s="45"/>
      <c r="CH123" s="45"/>
      <c r="CI123" s="45"/>
      <c r="CJ123" s="2"/>
    </row>
    <row r="124" spans="1:88" ht="15">
      <c r="A124" s="61" t="s">
        <v>374</v>
      </c>
      <c r="B124" s="62"/>
      <c r="C124" s="62"/>
      <c r="D124" s="63">
        <v>1000</v>
      </c>
      <c r="E124" s="65"/>
      <c r="F124" s="100" t="str">
        <f>HYPERLINK("https://pbs.twimg.com/profile_images/1325856470911561728/hTePYC8D_normal.jpg")</f>
        <v>https://pbs.twimg.com/profile_images/1325856470911561728/hTePYC8D_normal.jpg</v>
      </c>
      <c r="G124" s="62"/>
      <c r="H124" s="66" t="s">
        <v>374</v>
      </c>
      <c r="I124" s="67"/>
      <c r="J124" s="67" t="s">
        <v>159</v>
      </c>
      <c r="K124" s="66" t="s">
        <v>2778</v>
      </c>
      <c r="L124" s="70">
        <v>953.1904761904761</v>
      </c>
      <c r="M124" s="71">
        <v>1638.404296875</v>
      </c>
      <c r="N124" s="71">
        <v>5612.28369140625</v>
      </c>
      <c r="O124" s="72"/>
      <c r="P124" s="73"/>
      <c r="Q124" s="73"/>
      <c r="R124" s="86"/>
      <c r="S124" s="45">
        <v>2</v>
      </c>
      <c r="T124" s="45">
        <v>0</v>
      </c>
      <c r="U124" s="46">
        <v>0</v>
      </c>
      <c r="V124" s="46">
        <v>0.308337</v>
      </c>
      <c r="W124" s="46">
        <v>0.068674</v>
      </c>
      <c r="X124" s="46">
        <v>0.002811</v>
      </c>
      <c r="Y124" s="46">
        <v>1</v>
      </c>
      <c r="Z124" s="46">
        <v>0</v>
      </c>
      <c r="AA124" s="68">
        <v>124</v>
      </c>
      <c r="AB124" s="68"/>
      <c r="AC124" s="69"/>
      <c r="AD124" s="76" t="s">
        <v>1369</v>
      </c>
      <c r="AE124" s="80" t="s">
        <v>1676</v>
      </c>
      <c r="AF124" s="76">
        <v>34278</v>
      </c>
      <c r="AG124" s="76">
        <v>206</v>
      </c>
      <c r="AH124" s="76">
        <v>84197</v>
      </c>
      <c r="AI124" s="76">
        <v>47</v>
      </c>
      <c r="AJ124" s="76">
        <v>1450</v>
      </c>
      <c r="AK124" s="76">
        <v>157</v>
      </c>
      <c r="AL124" s="76" t="b">
        <v>0</v>
      </c>
      <c r="AM124" s="78">
        <v>44000.40241898148</v>
      </c>
      <c r="AN124" s="76" t="s">
        <v>1368</v>
      </c>
      <c r="AO124" s="76" t="s">
        <v>2157</v>
      </c>
      <c r="AP124" s="82" t="str">
        <f>HYPERLINK("https://t.co/Ce8PCbDYVF")</f>
        <v>https://t.co/Ce8PCbDYVF</v>
      </c>
      <c r="AQ124" s="82" t="str">
        <f>HYPERLINK("https://app.rocketbot.pro")</f>
        <v>https://app.rocketbot.pro</v>
      </c>
      <c r="AR124" s="76" t="s">
        <v>2435</v>
      </c>
      <c r="AS124" s="76"/>
      <c r="AT124" s="76"/>
      <c r="AU124" s="76"/>
      <c r="AV124" s="76">
        <v>1.69917413350096E+18</v>
      </c>
      <c r="AW124" s="82" t="str">
        <f>HYPERLINK("https://t.co/Ce8PCbDYVF")</f>
        <v>https://t.co/Ce8PCbDYVF</v>
      </c>
      <c r="AX124" s="76" t="b">
        <v>1</v>
      </c>
      <c r="AY124" s="76"/>
      <c r="AZ124" s="76"/>
      <c r="BA124" s="76" t="b">
        <v>1</v>
      </c>
      <c r="BB124" s="76" t="b">
        <v>1</v>
      </c>
      <c r="BC124" s="76" t="b">
        <v>1</v>
      </c>
      <c r="BD124" s="76" t="b">
        <v>0</v>
      </c>
      <c r="BE124" s="76" t="b">
        <v>0</v>
      </c>
      <c r="BF124" s="76" t="b">
        <v>0</v>
      </c>
      <c r="BG124" s="76" t="b">
        <v>0</v>
      </c>
      <c r="BH124" s="82" t="str">
        <f>HYPERLINK("https://pbs.twimg.com/profile_banners/1273550785989804032/1651252237")</f>
        <v>https://pbs.twimg.com/profile_banners/1273550785989804032/1651252237</v>
      </c>
      <c r="BI124" s="76"/>
      <c r="BJ124" s="76" t="s">
        <v>2656</v>
      </c>
      <c r="BK124" s="76" t="b">
        <v>0</v>
      </c>
      <c r="BL124" s="76"/>
      <c r="BM124" s="76" t="s">
        <v>65</v>
      </c>
      <c r="BN124" s="76" t="s">
        <v>2657</v>
      </c>
      <c r="BO124" s="82" t="str">
        <f>HYPERLINK("https://twitter.com/rocketbotpro")</f>
        <v>https://twitter.com/rocketbotpro</v>
      </c>
      <c r="BP124" s="76" t="str">
        <f>REPLACE(INDEX(GroupVertices[Group],MATCH(Vertices[[#This Row],[Vertex]],GroupVertices[Vertex],0)),1,1,"")</f>
        <v>1</v>
      </c>
      <c r="BQ124" s="45"/>
      <c r="BR124" s="46"/>
      <c r="BS124" s="45"/>
      <c r="BT124" s="46"/>
      <c r="BU124" s="45"/>
      <c r="BV124" s="46"/>
      <c r="BW124" s="45"/>
      <c r="BX124" s="46"/>
      <c r="BY124" s="45"/>
      <c r="BZ124" s="45"/>
      <c r="CA124" s="45"/>
      <c r="CB124" s="45"/>
      <c r="CC124" s="45"/>
      <c r="CD124" s="45"/>
      <c r="CE124" s="45"/>
      <c r="CF124" s="45"/>
      <c r="CG124" s="45"/>
      <c r="CH124" s="45"/>
      <c r="CI124" s="45"/>
      <c r="CJ124" s="2"/>
    </row>
    <row r="125" spans="1:88" ht="15">
      <c r="A125" s="61" t="s">
        <v>375</v>
      </c>
      <c r="B125" s="62"/>
      <c r="C125" s="62"/>
      <c r="D125" s="63">
        <v>1000</v>
      </c>
      <c r="E125" s="65"/>
      <c r="F125" s="100" t="str">
        <f>HYPERLINK("https://pbs.twimg.com/profile_images/1335647554881675281/r0XE-bIt_normal.jpg")</f>
        <v>https://pbs.twimg.com/profile_images/1335647554881675281/r0XE-bIt_normal.jpg</v>
      </c>
      <c r="G125" s="62"/>
      <c r="H125" s="66" t="s">
        <v>375</v>
      </c>
      <c r="I125" s="67"/>
      <c r="J125" s="67" t="s">
        <v>159</v>
      </c>
      <c r="K125" s="66" t="s">
        <v>2779</v>
      </c>
      <c r="L125" s="70">
        <v>953.1904761904761</v>
      </c>
      <c r="M125" s="71">
        <v>1786.84814453125</v>
      </c>
      <c r="N125" s="71">
        <v>7445.55126953125</v>
      </c>
      <c r="O125" s="72"/>
      <c r="P125" s="73"/>
      <c r="Q125" s="73"/>
      <c r="R125" s="86"/>
      <c r="S125" s="45">
        <v>2</v>
      </c>
      <c r="T125" s="45">
        <v>0</v>
      </c>
      <c r="U125" s="46">
        <v>0</v>
      </c>
      <c r="V125" s="46">
        <v>0.308337</v>
      </c>
      <c r="W125" s="46">
        <v>0.068674</v>
      </c>
      <c r="X125" s="46">
        <v>0.002811</v>
      </c>
      <c r="Y125" s="46">
        <v>1</v>
      </c>
      <c r="Z125" s="46">
        <v>0</v>
      </c>
      <c r="AA125" s="68">
        <v>125</v>
      </c>
      <c r="AB125" s="68"/>
      <c r="AC125" s="69"/>
      <c r="AD125" s="76" t="s">
        <v>1370</v>
      </c>
      <c r="AE125" s="80" t="s">
        <v>1677</v>
      </c>
      <c r="AF125" s="76">
        <v>9624</v>
      </c>
      <c r="AG125" s="76">
        <v>1941</v>
      </c>
      <c r="AH125" s="76">
        <v>1201</v>
      </c>
      <c r="AI125" s="76">
        <v>30</v>
      </c>
      <c r="AJ125" s="76">
        <v>1743</v>
      </c>
      <c r="AK125" s="76">
        <v>220</v>
      </c>
      <c r="AL125" s="76" t="b">
        <v>0</v>
      </c>
      <c r="AM125" s="78">
        <v>43289.268229166664</v>
      </c>
      <c r="AN125" s="76"/>
      <c r="AO125" s="76" t="s">
        <v>2158</v>
      </c>
      <c r="AP125" s="82" t="str">
        <f>HYPERLINK("https://t.co/NHurA420ho")</f>
        <v>https://t.co/NHurA420ho</v>
      </c>
      <c r="AQ125" s="82" t="str">
        <f>HYPERLINK("https://projectmerge.org")</f>
        <v>https://projectmerge.org</v>
      </c>
      <c r="AR125" s="76" t="s">
        <v>2429</v>
      </c>
      <c r="AS125" s="82" t="str">
        <f>HYPERLINK("https://t.co/Jh1STP720m")</f>
        <v>https://t.co/Jh1STP720m</v>
      </c>
      <c r="AT125" s="82" t="str">
        <f>HYPERLINK("http://rocket.art")</f>
        <v>http://rocket.art</v>
      </c>
      <c r="AU125" s="76" t="s">
        <v>2629</v>
      </c>
      <c r="AV125" s="76">
        <v>1.6987937084711E+18</v>
      </c>
      <c r="AW125" s="82" t="str">
        <f>HYPERLINK("https://t.co/NHurA420ho")</f>
        <v>https://t.co/NHurA420ho</v>
      </c>
      <c r="AX125" s="76" t="b">
        <v>0</v>
      </c>
      <c r="AY125" s="76"/>
      <c r="AZ125" s="76"/>
      <c r="BA125" s="76" t="b">
        <v>1</v>
      </c>
      <c r="BB125" s="76" t="b">
        <v>1</v>
      </c>
      <c r="BC125" s="76" t="b">
        <v>1</v>
      </c>
      <c r="BD125" s="76" t="b">
        <v>0</v>
      </c>
      <c r="BE125" s="76" t="b">
        <v>0</v>
      </c>
      <c r="BF125" s="76" t="b">
        <v>0</v>
      </c>
      <c r="BG125" s="76" t="b">
        <v>0</v>
      </c>
      <c r="BH125" s="82" t="str">
        <f>HYPERLINK("https://pbs.twimg.com/profile_banners/1015844493646442498/1613810636")</f>
        <v>https://pbs.twimg.com/profile_banners/1015844493646442498/1613810636</v>
      </c>
      <c r="BI125" s="76"/>
      <c r="BJ125" s="76" t="s">
        <v>2656</v>
      </c>
      <c r="BK125" s="76" t="b">
        <v>0</v>
      </c>
      <c r="BL125" s="76"/>
      <c r="BM125" s="76" t="s">
        <v>65</v>
      </c>
      <c r="BN125" s="76" t="s">
        <v>2657</v>
      </c>
      <c r="BO125" s="82" t="str">
        <f>HYPERLINK("https://twitter.com/theprojectmerge")</f>
        <v>https://twitter.com/theprojectmerge</v>
      </c>
      <c r="BP125" s="76" t="str">
        <f>REPLACE(INDEX(GroupVertices[Group],MATCH(Vertices[[#This Row],[Vertex]],GroupVertices[Vertex],0)),1,1,"")</f>
        <v>1</v>
      </c>
      <c r="BQ125" s="45"/>
      <c r="BR125" s="46"/>
      <c r="BS125" s="45"/>
      <c r="BT125" s="46"/>
      <c r="BU125" s="45"/>
      <c r="BV125" s="46"/>
      <c r="BW125" s="45"/>
      <c r="BX125" s="46"/>
      <c r="BY125" s="45"/>
      <c r="BZ125" s="45"/>
      <c r="CA125" s="45"/>
      <c r="CB125" s="45"/>
      <c r="CC125" s="45"/>
      <c r="CD125" s="45"/>
      <c r="CE125" s="45"/>
      <c r="CF125" s="45"/>
      <c r="CG125" s="45"/>
      <c r="CH125" s="45"/>
      <c r="CI125" s="45"/>
      <c r="CJ125" s="2"/>
    </row>
    <row r="126" spans="1:88" ht="15">
      <c r="A126" s="61" t="s">
        <v>376</v>
      </c>
      <c r="B126" s="62"/>
      <c r="C126" s="62"/>
      <c r="D126" s="63">
        <v>1000</v>
      </c>
      <c r="E126" s="65"/>
      <c r="F126" s="100" t="str">
        <f>HYPERLINK("https://pbs.twimg.com/profile_images/1824489934/128-2_normal.png")</f>
        <v>https://pbs.twimg.com/profile_images/1824489934/128-2_normal.png</v>
      </c>
      <c r="G126" s="62"/>
      <c r="H126" s="66" t="s">
        <v>376</v>
      </c>
      <c r="I126" s="67"/>
      <c r="J126" s="67" t="s">
        <v>159</v>
      </c>
      <c r="K126" s="66" t="s">
        <v>2780</v>
      </c>
      <c r="L126" s="70">
        <v>1905.3809523809523</v>
      </c>
      <c r="M126" s="71">
        <v>4320.16259765625</v>
      </c>
      <c r="N126" s="71">
        <v>1387.5888671875</v>
      </c>
      <c r="O126" s="72"/>
      <c r="P126" s="73"/>
      <c r="Q126" s="73"/>
      <c r="R126" s="86"/>
      <c r="S126" s="45">
        <v>4</v>
      </c>
      <c r="T126" s="45">
        <v>0</v>
      </c>
      <c r="U126" s="46">
        <v>1663.5</v>
      </c>
      <c r="V126" s="46">
        <v>0.319018</v>
      </c>
      <c r="W126" s="46">
        <v>0.075356</v>
      </c>
      <c r="X126" s="46">
        <v>0.002983</v>
      </c>
      <c r="Y126" s="46">
        <v>0.3333333333333333</v>
      </c>
      <c r="Z126" s="46">
        <v>0</v>
      </c>
      <c r="AA126" s="68">
        <v>126</v>
      </c>
      <c r="AB126" s="68"/>
      <c r="AC126" s="69"/>
      <c r="AD126" s="76" t="s">
        <v>1371</v>
      </c>
      <c r="AE126" s="80" t="s">
        <v>1678</v>
      </c>
      <c r="AF126" s="76">
        <v>14205</v>
      </c>
      <c r="AG126" s="76">
        <v>141</v>
      </c>
      <c r="AH126" s="76">
        <v>1802</v>
      </c>
      <c r="AI126" s="76">
        <v>717</v>
      </c>
      <c r="AJ126" s="76">
        <v>230</v>
      </c>
      <c r="AK126" s="76">
        <v>86</v>
      </c>
      <c r="AL126" s="76" t="b">
        <v>0</v>
      </c>
      <c r="AM126" s="78">
        <v>39876.3634375</v>
      </c>
      <c r="AN126" s="76"/>
      <c r="AO126" s="76" t="s">
        <v>2159</v>
      </c>
      <c r="AP126" s="82" t="str">
        <f>HYPERLINK("http://t.co/dJIioXGd0c")</f>
        <v>http://t.co/dJIioXGd0c</v>
      </c>
      <c r="AQ126" s="82" t="str">
        <f>HYPERLINK("http://gephi.org")</f>
        <v>http://gephi.org</v>
      </c>
      <c r="AR126" s="76" t="s">
        <v>2436</v>
      </c>
      <c r="AS126" s="76"/>
      <c r="AT126" s="76"/>
      <c r="AU126" s="76"/>
      <c r="AV126" s="76"/>
      <c r="AW126" s="82" t="str">
        <f>HYPERLINK("http://t.co/dJIioXGd0c")</f>
        <v>http://t.co/dJIioXGd0c</v>
      </c>
      <c r="AX126" s="76" t="b">
        <v>0</v>
      </c>
      <c r="AY126" s="76"/>
      <c r="AZ126" s="76" t="b">
        <v>1</v>
      </c>
      <c r="BA126" s="76" t="b">
        <v>0</v>
      </c>
      <c r="BB126" s="76" t="b">
        <v>1</v>
      </c>
      <c r="BC126" s="76" t="b">
        <v>0</v>
      </c>
      <c r="BD126" s="76" t="b">
        <v>0</v>
      </c>
      <c r="BE126" s="76" t="b">
        <v>0</v>
      </c>
      <c r="BF126" s="76" t="b">
        <v>0</v>
      </c>
      <c r="BG126" s="76" t="b">
        <v>0</v>
      </c>
      <c r="BH126" s="76"/>
      <c r="BI126" s="76"/>
      <c r="BJ126" s="76" t="s">
        <v>2656</v>
      </c>
      <c r="BK126" s="76" t="b">
        <v>1</v>
      </c>
      <c r="BL126" s="76"/>
      <c r="BM126" s="76" t="s">
        <v>65</v>
      </c>
      <c r="BN126" s="76" t="s">
        <v>2657</v>
      </c>
      <c r="BO126" s="82" t="str">
        <f>HYPERLINK("https://twitter.com/gephi")</f>
        <v>https://twitter.com/gephi</v>
      </c>
      <c r="BP126" s="76" t="str">
        <f>REPLACE(INDEX(GroupVertices[Group],MATCH(Vertices[[#This Row],[Vertex]],GroupVertices[Vertex],0)),1,1,"")</f>
        <v>6</v>
      </c>
      <c r="BQ126" s="45"/>
      <c r="BR126" s="46"/>
      <c r="BS126" s="45"/>
      <c r="BT126" s="46"/>
      <c r="BU126" s="45"/>
      <c r="BV126" s="46"/>
      <c r="BW126" s="45"/>
      <c r="BX126" s="46"/>
      <c r="BY126" s="45"/>
      <c r="BZ126" s="45"/>
      <c r="CA126" s="45"/>
      <c r="CB126" s="45"/>
      <c r="CC126" s="45"/>
      <c r="CD126" s="45"/>
      <c r="CE126" s="45"/>
      <c r="CF126" s="45"/>
      <c r="CG126" s="45"/>
      <c r="CH126" s="45"/>
      <c r="CI126" s="45"/>
      <c r="CJ126" s="2"/>
    </row>
    <row r="127" spans="1:88" ht="15">
      <c r="A127" s="61" t="s">
        <v>377</v>
      </c>
      <c r="B127" s="62"/>
      <c r="C127" s="62"/>
      <c r="D127" s="63">
        <v>535</v>
      </c>
      <c r="E127" s="65"/>
      <c r="F127" s="100" t="str">
        <f>HYPERLINK("https://pbs.twimg.com/profile_images/1657536975958671362/-pjVTAu7_normal.jpg")</f>
        <v>https://pbs.twimg.com/profile_images/1657536975958671362/-pjVTAu7_normal.jpg</v>
      </c>
      <c r="G127" s="62"/>
      <c r="H127" s="66" t="s">
        <v>377</v>
      </c>
      <c r="I127" s="67"/>
      <c r="J127" s="67" t="s">
        <v>159</v>
      </c>
      <c r="K127" s="66" t="s">
        <v>2781</v>
      </c>
      <c r="L127" s="70">
        <v>477.0952380952381</v>
      </c>
      <c r="M127" s="71">
        <v>920.8705444335938</v>
      </c>
      <c r="N127" s="71">
        <v>3635.132080078125</v>
      </c>
      <c r="O127" s="72"/>
      <c r="P127" s="73"/>
      <c r="Q127" s="73"/>
      <c r="R127" s="86"/>
      <c r="S127" s="45">
        <v>1</v>
      </c>
      <c r="T127" s="45">
        <v>0</v>
      </c>
      <c r="U127" s="46">
        <v>0</v>
      </c>
      <c r="V127" s="46">
        <v>0.30765</v>
      </c>
      <c r="W127" s="46">
        <v>0.05663</v>
      </c>
      <c r="X127" s="46">
        <v>0.00275</v>
      </c>
      <c r="Y127" s="46">
        <v>0</v>
      </c>
      <c r="Z127" s="46">
        <v>0</v>
      </c>
      <c r="AA127" s="68">
        <v>127</v>
      </c>
      <c r="AB127" s="68"/>
      <c r="AC127" s="69"/>
      <c r="AD127" s="76" t="s">
        <v>1372</v>
      </c>
      <c r="AE127" s="80" t="s">
        <v>1679</v>
      </c>
      <c r="AF127" s="76">
        <v>964</v>
      </c>
      <c r="AG127" s="76">
        <v>754</v>
      </c>
      <c r="AH127" s="76">
        <v>39206</v>
      </c>
      <c r="AI127" s="76">
        <v>3</v>
      </c>
      <c r="AJ127" s="76">
        <v>88147</v>
      </c>
      <c r="AK127" s="76">
        <v>5829</v>
      </c>
      <c r="AL127" s="76" t="b">
        <v>0</v>
      </c>
      <c r="AM127" s="78">
        <v>44509.446064814816</v>
      </c>
      <c r="AN127" s="76" t="s">
        <v>1925</v>
      </c>
      <c r="AO127" s="76" t="s">
        <v>2160</v>
      </c>
      <c r="AP127" s="76"/>
      <c r="AQ127" s="76"/>
      <c r="AR127" s="76"/>
      <c r="AS127" s="76"/>
      <c r="AT127" s="76"/>
      <c r="AU127" s="76"/>
      <c r="AV127" s="76">
        <v>1.45905135853181E+18</v>
      </c>
      <c r="AW127" s="76"/>
      <c r="AX127" s="76" t="b">
        <v>0</v>
      </c>
      <c r="AY127" s="76"/>
      <c r="AZ127" s="76"/>
      <c r="BA127" s="76" t="b">
        <v>1</v>
      </c>
      <c r="BB127" s="76" t="b">
        <v>1</v>
      </c>
      <c r="BC127" s="76" t="b">
        <v>1</v>
      </c>
      <c r="BD127" s="76" t="b">
        <v>0</v>
      </c>
      <c r="BE127" s="76" t="b">
        <v>1</v>
      </c>
      <c r="BF127" s="76" t="b">
        <v>0</v>
      </c>
      <c r="BG127" s="76" t="b">
        <v>0</v>
      </c>
      <c r="BH127" s="82" t="str">
        <f>HYPERLINK("https://pbs.twimg.com/profile_banners/1458021826492239874/1666197932")</f>
        <v>https://pbs.twimg.com/profile_banners/1458021826492239874/1666197932</v>
      </c>
      <c r="BI127" s="76"/>
      <c r="BJ127" s="76" t="s">
        <v>2656</v>
      </c>
      <c r="BK127" s="76" t="b">
        <v>0</v>
      </c>
      <c r="BL127" s="76"/>
      <c r="BM127" s="76" t="s">
        <v>65</v>
      </c>
      <c r="BN127" s="76" t="s">
        <v>2657</v>
      </c>
      <c r="BO127" s="82" t="str">
        <f>HYPERLINK("https://twitter.com/tuulimukka2")</f>
        <v>https://twitter.com/tuulimukka2</v>
      </c>
      <c r="BP127" s="76" t="str">
        <f>REPLACE(INDEX(GroupVertices[Group],MATCH(Vertices[[#This Row],[Vertex]],GroupVertices[Vertex],0)),1,1,"")</f>
        <v>1</v>
      </c>
      <c r="BQ127" s="45"/>
      <c r="BR127" s="46"/>
      <c r="BS127" s="45"/>
      <c r="BT127" s="46"/>
      <c r="BU127" s="45"/>
      <c r="BV127" s="46"/>
      <c r="BW127" s="45"/>
      <c r="BX127" s="46"/>
      <c r="BY127" s="45"/>
      <c r="BZ127" s="45"/>
      <c r="CA127" s="45"/>
      <c r="CB127" s="45"/>
      <c r="CC127" s="45"/>
      <c r="CD127" s="45"/>
      <c r="CE127" s="45"/>
      <c r="CF127" s="45"/>
      <c r="CG127" s="45"/>
      <c r="CH127" s="45"/>
      <c r="CI127" s="45"/>
      <c r="CJ127" s="2"/>
    </row>
    <row r="128" spans="1:88" ht="15">
      <c r="A128" s="61" t="s">
        <v>378</v>
      </c>
      <c r="B128" s="62"/>
      <c r="C128" s="62"/>
      <c r="D128" s="63">
        <v>535</v>
      </c>
      <c r="E128" s="65"/>
      <c r="F128" s="100" t="str">
        <f>HYPERLINK("https://pbs.twimg.com/profile_images/1239847940589576196/xpX7Ia_m_normal.jpg")</f>
        <v>https://pbs.twimg.com/profile_images/1239847940589576196/xpX7Ia_m_normal.jpg</v>
      </c>
      <c r="G128" s="62"/>
      <c r="H128" s="66" t="s">
        <v>378</v>
      </c>
      <c r="I128" s="67"/>
      <c r="J128" s="67" t="s">
        <v>159</v>
      </c>
      <c r="K128" s="66" t="s">
        <v>2782</v>
      </c>
      <c r="L128" s="70">
        <v>477.0952380952381</v>
      </c>
      <c r="M128" s="71">
        <v>3770.03466796875</v>
      </c>
      <c r="N128" s="71">
        <v>8514.587890625</v>
      </c>
      <c r="O128" s="72"/>
      <c r="P128" s="73"/>
      <c r="Q128" s="73"/>
      <c r="R128" s="86"/>
      <c r="S128" s="45">
        <v>1</v>
      </c>
      <c r="T128" s="45">
        <v>0</v>
      </c>
      <c r="U128" s="46">
        <v>0</v>
      </c>
      <c r="V128" s="46">
        <v>0.30765</v>
      </c>
      <c r="W128" s="46">
        <v>0.05663</v>
      </c>
      <c r="X128" s="46">
        <v>0.00275</v>
      </c>
      <c r="Y128" s="46">
        <v>0</v>
      </c>
      <c r="Z128" s="46">
        <v>0</v>
      </c>
      <c r="AA128" s="68">
        <v>128</v>
      </c>
      <c r="AB128" s="68"/>
      <c r="AC128" s="69"/>
      <c r="AD128" s="76" t="s">
        <v>1373</v>
      </c>
      <c r="AE128" s="80" t="s">
        <v>1680</v>
      </c>
      <c r="AF128" s="76">
        <v>118555</v>
      </c>
      <c r="AG128" s="76">
        <v>1418</v>
      </c>
      <c r="AH128" s="76">
        <v>3820</v>
      </c>
      <c r="AI128" s="76">
        <v>368</v>
      </c>
      <c r="AJ128" s="76">
        <v>5681</v>
      </c>
      <c r="AK128" s="76">
        <v>213</v>
      </c>
      <c r="AL128" s="76" t="b">
        <v>0</v>
      </c>
      <c r="AM128" s="78">
        <v>41373.585648148146</v>
      </c>
      <c r="AN128" s="76" t="s">
        <v>1926</v>
      </c>
      <c r="AO128" s="76" t="s">
        <v>2161</v>
      </c>
      <c r="AP128" s="82" t="str">
        <f>HYPERLINK("https://t.co/zy19dV6BoC")</f>
        <v>https://t.co/zy19dV6BoC</v>
      </c>
      <c r="AQ128" s="82" t="str">
        <f>HYPERLINK("http://www.orpo.fi")</f>
        <v>http://www.orpo.fi</v>
      </c>
      <c r="AR128" s="76" t="s">
        <v>2437</v>
      </c>
      <c r="AS128" s="76"/>
      <c r="AT128" s="76"/>
      <c r="AU128" s="76"/>
      <c r="AV128" s="76"/>
      <c r="AW128" s="82" t="str">
        <f>HYPERLINK("https://t.co/zy19dV6BoC")</f>
        <v>https://t.co/zy19dV6BoC</v>
      </c>
      <c r="AX128" s="76" t="b">
        <v>0</v>
      </c>
      <c r="AY128" s="76"/>
      <c r="AZ128" s="76"/>
      <c r="BA128" s="76" t="b">
        <v>0</v>
      </c>
      <c r="BB128" s="76" t="b">
        <v>0</v>
      </c>
      <c r="BC128" s="76" t="b">
        <v>1</v>
      </c>
      <c r="BD128" s="76" t="b">
        <v>0</v>
      </c>
      <c r="BE128" s="76" t="b">
        <v>0</v>
      </c>
      <c r="BF128" s="76" t="b">
        <v>0</v>
      </c>
      <c r="BG128" s="76" t="b">
        <v>0</v>
      </c>
      <c r="BH128" s="82" t="str">
        <f>HYPERLINK("https://pbs.twimg.com/profile_banners/1339265868/1681986831")</f>
        <v>https://pbs.twimg.com/profile_banners/1339265868/1681986831</v>
      </c>
      <c r="BI128" s="76"/>
      <c r="BJ128" s="76" t="s">
        <v>2656</v>
      </c>
      <c r="BK128" s="76" t="b">
        <v>0</v>
      </c>
      <c r="BL128" s="76"/>
      <c r="BM128" s="76" t="s">
        <v>65</v>
      </c>
      <c r="BN128" s="76" t="s">
        <v>2657</v>
      </c>
      <c r="BO128" s="82" t="str">
        <f>HYPERLINK("https://twitter.com/petteriorpo")</f>
        <v>https://twitter.com/petteriorpo</v>
      </c>
      <c r="BP128" s="76" t="str">
        <f>REPLACE(INDEX(GroupVertices[Group],MATCH(Vertices[[#This Row],[Vertex]],GroupVertices[Vertex],0)),1,1,"")</f>
        <v>1</v>
      </c>
      <c r="BQ128" s="45"/>
      <c r="BR128" s="46"/>
      <c r="BS128" s="45"/>
      <c r="BT128" s="46"/>
      <c r="BU128" s="45"/>
      <c r="BV128" s="46"/>
      <c r="BW128" s="45"/>
      <c r="BX128" s="46"/>
      <c r="BY128" s="45"/>
      <c r="BZ128" s="45"/>
      <c r="CA128" s="45"/>
      <c r="CB128" s="45"/>
      <c r="CC128" s="45"/>
      <c r="CD128" s="45"/>
      <c r="CE128" s="45"/>
      <c r="CF128" s="45"/>
      <c r="CG128" s="45"/>
      <c r="CH128" s="45"/>
      <c r="CI128" s="45"/>
      <c r="CJ128" s="2"/>
    </row>
    <row r="129" spans="1:88" ht="15">
      <c r="A129" s="61" t="s">
        <v>379</v>
      </c>
      <c r="B129" s="62"/>
      <c r="C129" s="62"/>
      <c r="D129" s="63">
        <v>535</v>
      </c>
      <c r="E129" s="65"/>
      <c r="F129" s="100" t="str">
        <f>HYPERLINK("https://pbs.twimg.com/profile_images/1687090237720121344/SXiqN3qd_normal.jpg")</f>
        <v>https://pbs.twimg.com/profile_images/1687090237720121344/SXiqN3qd_normal.jpg</v>
      </c>
      <c r="G129" s="62"/>
      <c r="H129" s="66" t="s">
        <v>379</v>
      </c>
      <c r="I129" s="67"/>
      <c r="J129" s="67" t="s">
        <v>159</v>
      </c>
      <c r="K129" s="66" t="s">
        <v>2783</v>
      </c>
      <c r="L129" s="70">
        <v>477.0952380952381</v>
      </c>
      <c r="M129" s="71">
        <v>572.4419555664062</v>
      </c>
      <c r="N129" s="71">
        <v>6540.38818359375</v>
      </c>
      <c r="O129" s="72"/>
      <c r="P129" s="73"/>
      <c r="Q129" s="73"/>
      <c r="R129" s="86"/>
      <c r="S129" s="45">
        <v>1</v>
      </c>
      <c r="T129" s="45">
        <v>0</v>
      </c>
      <c r="U129" s="46">
        <v>0</v>
      </c>
      <c r="V129" s="46">
        <v>0.30765</v>
      </c>
      <c r="W129" s="46">
        <v>0.05663</v>
      </c>
      <c r="X129" s="46">
        <v>0.00275</v>
      </c>
      <c r="Y129" s="46">
        <v>0</v>
      </c>
      <c r="Z129" s="46">
        <v>0</v>
      </c>
      <c r="AA129" s="68">
        <v>129</v>
      </c>
      <c r="AB129" s="68"/>
      <c r="AC129" s="69"/>
      <c r="AD129" s="76" t="s">
        <v>1374</v>
      </c>
      <c r="AE129" s="80" t="s">
        <v>1681</v>
      </c>
      <c r="AF129" s="76">
        <v>1583</v>
      </c>
      <c r="AG129" s="76">
        <v>49</v>
      </c>
      <c r="AH129" s="76">
        <v>452</v>
      </c>
      <c r="AI129" s="76">
        <v>3</v>
      </c>
      <c r="AJ129" s="76">
        <v>455</v>
      </c>
      <c r="AK129" s="76">
        <v>68</v>
      </c>
      <c r="AL129" s="76" t="b">
        <v>0</v>
      </c>
      <c r="AM129" s="78">
        <v>45124.49182870371</v>
      </c>
      <c r="AN129" s="76"/>
      <c r="AO129" s="76" t="s">
        <v>2162</v>
      </c>
      <c r="AP129" s="82" t="str">
        <f>HYPERLINK("https://t.co/d5JUVyekl2")</f>
        <v>https://t.co/d5JUVyekl2</v>
      </c>
      <c r="AQ129" s="82" t="str">
        <f>HYPERLINK("https://www.meemmevaikene.fi/")</f>
        <v>https://www.meemmevaikene.fi/</v>
      </c>
      <c r="AR129" s="76" t="s">
        <v>2438</v>
      </c>
      <c r="AS129" s="76"/>
      <c r="AT129" s="76"/>
      <c r="AU129" s="76"/>
      <c r="AV129" s="76"/>
      <c r="AW129" s="82" t="str">
        <f>HYPERLINK("https://t.co/d5JUVyekl2")</f>
        <v>https://t.co/d5JUVyekl2</v>
      </c>
      <c r="AX129" s="76" t="b">
        <v>0</v>
      </c>
      <c r="AY129" s="76"/>
      <c r="AZ129" s="76"/>
      <c r="BA129" s="76" t="b">
        <v>0</v>
      </c>
      <c r="BB129" s="76" t="b">
        <v>1</v>
      </c>
      <c r="BC129" s="76" t="b">
        <v>1</v>
      </c>
      <c r="BD129" s="76" t="b">
        <v>0</v>
      </c>
      <c r="BE129" s="76" t="b">
        <v>0</v>
      </c>
      <c r="BF129" s="76" t="b">
        <v>0</v>
      </c>
      <c r="BG129" s="76" t="b">
        <v>0</v>
      </c>
      <c r="BH129" s="82" t="str">
        <f>HYPERLINK("https://pbs.twimg.com/profile_banners/1680907205736906754/1692021621")</f>
        <v>https://pbs.twimg.com/profile_banners/1680907205736906754/1692021621</v>
      </c>
      <c r="BI129" s="76"/>
      <c r="BJ129" s="76" t="s">
        <v>2656</v>
      </c>
      <c r="BK129" s="76" t="b">
        <v>0</v>
      </c>
      <c r="BL129" s="76"/>
      <c r="BM129" s="76" t="s">
        <v>65</v>
      </c>
      <c r="BN129" s="76" t="s">
        <v>2657</v>
      </c>
      <c r="BO129" s="82" t="str">
        <f>HYPERLINK("https://twitter.com/meemmevaikene")</f>
        <v>https://twitter.com/meemmevaikene</v>
      </c>
      <c r="BP129" s="76" t="str">
        <f>REPLACE(INDEX(GroupVertices[Group],MATCH(Vertices[[#This Row],[Vertex]],GroupVertices[Vertex],0)),1,1,"")</f>
        <v>1</v>
      </c>
      <c r="BQ129" s="45"/>
      <c r="BR129" s="46"/>
      <c r="BS129" s="45"/>
      <c r="BT129" s="46"/>
      <c r="BU129" s="45"/>
      <c r="BV129" s="46"/>
      <c r="BW129" s="45"/>
      <c r="BX129" s="46"/>
      <c r="BY129" s="45"/>
      <c r="BZ129" s="45"/>
      <c r="CA129" s="45"/>
      <c r="CB129" s="45"/>
      <c r="CC129" s="45"/>
      <c r="CD129" s="45"/>
      <c r="CE129" s="45"/>
      <c r="CF129" s="45"/>
      <c r="CG129" s="45"/>
      <c r="CH129" s="45"/>
      <c r="CI129" s="45"/>
      <c r="CJ129" s="2"/>
    </row>
    <row r="130" spans="1:88" ht="15">
      <c r="A130" s="61" t="s">
        <v>380</v>
      </c>
      <c r="B130" s="62"/>
      <c r="C130" s="62"/>
      <c r="D130" s="63">
        <v>535</v>
      </c>
      <c r="E130" s="65"/>
      <c r="F130" s="100" t="str">
        <f>HYPERLINK("https://pbs.twimg.com/profile_images/1688447314812174336/8SBKXehp_normal.jpg")</f>
        <v>https://pbs.twimg.com/profile_images/1688447314812174336/8SBKXehp_normal.jpg</v>
      </c>
      <c r="G130" s="62"/>
      <c r="H130" s="66" t="s">
        <v>380</v>
      </c>
      <c r="I130" s="67"/>
      <c r="J130" s="67" t="s">
        <v>159</v>
      </c>
      <c r="K130" s="66" t="s">
        <v>2784</v>
      </c>
      <c r="L130" s="70">
        <v>477.0952380952381</v>
      </c>
      <c r="M130" s="71">
        <v>4120.00830078125</v>
      </c>
      <c r="N130" s="71">
        <v>5640.2685546875</v>
      </c>
      <c r="O130" s="72"/>
      <c r="P130" s="73"/>
      <c r="Q130" s="73"/>
      <c r="R130" s="86"/>
      <c r="S130" s="45">
        <v>1</v>
      </c>
      <c r="T130" s="45">
        <v>0</v>
      </c>
      <c r="U130" s="46">
        <v>0</v>
      </c>
      <c r="V130" s="46">
        <v>0.30765</v>
      </c>
      <c r="W130" s="46">
        <v>0.05663</v>
      </c>
      <c r="X130" s="46">
        <v>0.00275</v>
      </c>
      <c r="Y130" s="46">
        <v>0</v>
      </c>
      <c r="Z130" s="46">
        <v>0</v>
      </c>
      <c r="AA130" s="68">
        <v>130</v>
      </c>
      <c r="AB130" s="68"/>
      <c r="AC130" s="69"/>
      <c r="AD130" s="76" t="s">
        <v>1375</v>
      </c>
      <c r="AE130" s="80" t="s">
        <v>1682</v>
      </c>
      <c r="AF130" s="76">
        <v>7551</v>
      </c>
      <c r="AG130" s="76">
        <v>5607</v>
      </c>
      <c r="AH130" s="76">
        <v>23601</v>
      </c>
      <c r="AI130" s="76">
        <v>29</v>
      </c>
      <c r="AJ130" s="76">
        <v>38105</v>
      </c>
      <c r="AK130" s="76">
        <v>1263</v>
      </c>
      <c r="AL130" s="76" t="b">
        <v>0</v>
      </c>
      <c r="AM130" s="78">
        <v>40678.71334490741</v>
      </c>
      <c r="AN130" s="76"/>
      <c r="AO130" s="76" t="s">
        <v>2163</v>
      </c>
      <c r="AP130" s="82" t="str">
        <f>HYPERLINK("https://t.co/d7LMcLDljB")</f>
        <v>https://t.co/d7LMcLDljB</v>
      </c>
      <c r="AQ130" s="82" t="str">
        <f>HYPERLINK("http://ullakaukola.fi")</f>
        <v>http://ullakaukola.fi</v>
      </c>
      <c r="AR130" s="76" t="s">
        <v>2439</v>
      </c>
      <c r="AS130" s="76"/>
      <c r="AT130" s="76"/>
      <c r="AU130" s="76"/>
      <c r="AV130" s="76">
        <v>1.67186525944596E+18</v>
      </c>
      <c r="AW130" s="82" t="str">
        <f>HYPERLINK("https://t.co/d7LMcLDljB")</f>
        <v>https://t.co/d7LMcLDljB</v>
      </c>
      <c r="AX130" s="76" t="b">
        <v>0</v>
      </c>
      <c r="AY130" s="76"/>
      <c r="AZ130" s="76"/>
      <c r="BA130" s="76" t="b">
        <v>1</v>
      </c>
      <c r="BB130" s="76" t="b">
        <v>1</v>
      </c>
      <c r="BC130" s="76" t="b">
        <v>1</v>
      </c>
      <c r="BD130" s="76" t="b">
        <v>0</v>
      </c>
      <c r="BE130" s="76" t="b">
        <v>1</v>
      </c>
      <c r="BF130" s="76" t="b">
        <v>0</v>
      </c>
      <c r="BG130" s="76" t="b">
        <v>0</v>
      </c>
      <c r="BH130" s="82" t="str">
        <f>HYPERLINK("https://pbs.twimg.com/profile_banners/299185392/1690625542")</f>
        <v>https://pbs.twimg.com/profile_banners/299185392/1690625542</v>
      </c>
      <c r="BI130" s="76"/>
      <c r="BJ130" s="76" t="s">
        <v>2656</v>
      </c>
      <c r="BK130" s="76" t="b">
        <v>0</v>
      </c>
      <c r="BL130" s="76"/>
      <c r="BM130" s="76" t="s">
        <v>65</v>
      </c>
      <c r="BN130" s="76" t="s">
        <v>2657</v>
      </c>
      <c r="BO130" s="82" t="str">
        <f>HYPERLINK("https://twitter.com/ullakaukola")</f>
        <v>https://twitter.com/ullakaukola</v>
      </c>
      <c r="BP130" s="76" t="str">
        <f>REPLACE(INDEX(GroupVertices[Group],MATCH(Vertices[[#This Row],[Vertex]],GroupVertices[Vertex],0)),1,1,"")</f>
        <v>1</v>
      </c>
      <c r="BQ130" s="45"/>
      <c r="BR130" s="46"/>
      <c r="BS130" s="45"/>
      <c r="BT130" s="46"/>
      <c r="BU130" s="45"/>
      <c r="BV130" s="46"/>
      <c r="BW130" s="45"/>
      <c r="BX130" s="46"/>
      <c r="BY130" s="45"/>
      <c r="BZ130" s="45"/>
      <c r="CA130" s="45"/>
      <c r="CB130" s="45"/>
      <c r="CC130" s="45"/>
      <c r="CD130" s="45"/>
      <c r="CE130" s="45"/>
      <c r="CF130" s="45"/>
      <c r="CG130" s="45"/>
      <c r="CH130" s="45"/>
      <c r="CI130" s="45"/>
      <c r="CJ130" s="2"/>
    </row>
    <row r="131" spans="1:88" ht="15">
      <c r="A131" s="61" t="s">
        <v>381</v>
      </c>
      <c r="B131" s="62"/>
      <c r="C131" s="62"/>
      <c r="D131" s="63">
        <v>535</v>
      </c>
      <c r="E131" s="65"/>
      <c r="F131" s="100" t="str">
        <f>HYPERLINK("https://pbs.twimg.com/profile_images/1217916837377212416/c4sQjbiF_normal.jpg")</f>
        <v>https://pbs.twimg.com/profile_images/1217916837377212416/c4sQjbiF_normal.jpg</v>
      </c>
      <c r="G131" s="62"/>
      <c r="H131" s="66" t="s">
        <v>381</v>
      </c>
      <c r="I131" s="67"/>
      <c r="J131" s="67" t="s">
        <v>159</v>
      </c>
      <c r="K131" s="66" t="s">
        <v>2785</v>
      </c>
      <c r="L131" s="70">
        <v>477.0952380952381</v>
      </c>
      <c r="M131" s="71">
        <v>1605.538330078125</v>
      </c>
      <c r="N131" s="71">
        <v>9704.3720703125</v>
      </c>
      <c r="O131" s="72"/>
      <c r="P131" s="73"/>
      <c r="Q131" s="73"/>
      <c r="R131" s="86"/>
      <c r="S131" s="45">
        <v>1</v>
      </c>
      <c r="T131" s="45">
        <v>0</v>
      </c>
      <c r="U131" s="46">
        <v>0</v>
      </c>
      <c r="V131" s="46">
        <v>0.30765</v>
      </c>
      <c r="W131" s="46">
        <v>0.05663</v>
      </c>
      <c r="X131" s="46">
        <v>0.00275</v>
      </c>
      <c r="Y131" s="46">
        <v>0</v>
      </c>
      <c r="Z131" s="46">
        <v>0</v>
      </c>
      <c r="AA131" s="68">
        <v>131</v>
      </c>
      <c r="AB131" s="68"/>
      <c r="AC131" s="69"/>
      <c r="AD131" s="76" t="s">
        <v>1376</v>
      </c>
      <c r="AE131" s="80" t="s">
        <v>1683</v>
      </c>
      <c r="AF131" s="76">
        <v>12535</v>
      </c>
      <c r="AG131" s="76">
        <v>1867</v>
      </c>
      <c r="AH131" s="76">
        <v>75693</v>
      </c>
      <c r="AI131" s="76">
        <v>112</v>
      </c>
      <c r="AJ131" s="76">
        <v>42</v>
      </c>
      <c r="AK131" s="76">
        <v>3117</v>
      </c>
      <c r="AL131" s="76" t="b">
        <v>0</v>
      </c>
      <c r="AM131" s="78">
        <v>42267.406701388885</v>
      </c>
      <c r="AN131" s="76" t="s">
        <v>1927</v>
      </c>
      <c r="AO131" s="76" t="s">
        <v>2164</v>
      </c>
      <c r="AP131" s="82" t="str">
        <f>HYPERLINK("https://t.co/E0ul1CphEK")</f>
        <v>https://t.co/E0ul1CphEK</v>
      </c>
      <c r="AQ131" s="82" t="str">
        <f>HYPERLINK("https://tuomim.wordpress.com/")</f>
        <v>https://tuomim.wordpress.com/</v>
      </c>
      <c r="AR131" s="76" t="s">
        <v>2440</v>
      </c>
      <c r="AS131" s="76"/>
      <c r="AT131" s="76"/>
      <c r="AU131" s="76"/>
      <c r="AV131" s="76">
        <v>1.58697713275606E+18</v>
      </c>
      <c r="AW131" s="82" t="str">
        <f>HYPERLINK("https://t.co/E0ul1CphEK")</f>
        <v>https://t.co/E0ul1CphEK</v>
      </c>
      <c r="AX131" s="76" t="b">
        <v>0</v>
      </c>
      <c r="AY131" s="76"/>
      <c r="AZ131" s="76"/>
      <c r="BA131" s="76" t="b">
        <v>0</v>
      </c>
      <c r="BB131" s="76" t="b">
        <v>0</v>
      </c>
      <c r="BC131" s="76" t="b">
        <v>0</v>
      </c>
      <c r="BD131" s="76" t="b">
        <v>0</v>
      </c>
      <c r="BE131" s="76" t="b">
        <v>1</v>
      </c>
      <c r="BF131" s="76" t="b">
        <v>0</v>
      </c>
      <c r="BG131" s="76" t="b">
        <v>0</v>
      </c>
      <c r="BH131" s="82" t="str">
        <f>HYPERLINK("https://pbs.twimg.com/profile_banners/3716338821/1530617463")</f>
        <v>https://pbs.twimg.com/profile_banners/3716338821/1530617463</v>
      </c>
      <c r="BI131" s="76"/>
      <c r="BJ131" s="76" t="s">
        <v>2656</v>
      </c>
      <c r="BK131" s="76" t="b">
        <v>0</v>
      </c>
      <c r="BL131" s="76"/>
      <c r="BM131" s="76" t="s">
        <v>65</v>
      </c>
      <c r="BN131" s="76" t="s">
        <v>2657</v>
      </c>
      <c r="BO131" s="82" t="str">
        <f>HYPERLINK("https://twitter.com/mustapipa")</f>
        <v>https://twitter.com/mustapipa</v>
      </c>
      <c r="BP131" s="76" t="str">
        <f>REPLACE(INDEX(GroupVertices[Group],MATCH(Vertices[[#This Row],[Vertex]],GroupVertices[Vertex],0)),1,1,"")</f>
        <v>1</v>
      </c>
      <c r="BQ131" s="45"/>
      <c r="BR131" s="46"/>
      <c r="BS131" s="45"/>
      <c r="BT131" s="46"/>
      <c r="BU131" s="45"/>
      <c r="BV131" s="46"/>
      <c r="BW131" s="45"/>
      <c r="BX131" s="46"/>
      <c r="BY131" s="45"/>
      <c r="BZ131" s="45"/>
      <c r="CA131" s="45"/>
      <c r="CB131" s="45"/>
      <c r="CC131" s="45"/>
      <c r="CD131" s="45"/>
      <c r="CE131" s="45"/>
      <c r="CF131" s="45"/>
      <c r="CG131" s="45"/>
      <c r="CH131" s="45"/>
      <c r="CI131" s="45"/>
      <c r="CJ131" s="2"/>
    </row>
    <row r="132" spans="1:88" ht="15">
      <c r="A132" s="61" t="s">
        <v>382</v>
      </c>
      <c r="B132" s="62"/>
      <c r="C132" s="62"/>
      <c r="D132" s="63">
        <v>535</v>
      </c>
      <c r="E132" s="65"/>
      <c r="F132" s="100" t="str">
        <f>HYPERLINK("https://pbs.twimg.com/profile_images/1168442821419905025/rU67j75Z_normal.jpg")</f>
        <v>https://pbs.twimg.com/profile_images/1168442821419905025/rU67j75Z_normal.jpg</v>
      </c>
      <c r="G132" s="62"/>
      <c r="H132" s="66" t="s">
        <v>382</v>
      </c>
      <c r="I132" s="67"/>
      <c r="J132" s="67" t="s">
        <v>159</v>
      </c>
      <c r="K132" s="66" t="s">
        <v>2786</v>
      </c>
      <c r="L132" s="70">
        <v>477.0952380952381</v>
      </c>
      <c r="M132" s="71">
        <v>1209.9903564453125</v>
      </c>
      <c r="N132" s="71">
        <v>7906.19140625</v>
      </c>
      <c r="O132" s="72"/>
      <c r="P132" s="73"/>
      <c r="Q132" s="73"/>
      <c r="R132" s="86"/>
      <c r="S132" s="45">
        <v>1</v>
      </c>
      <c r="T132" s="45">
        <v>0</v>
      </c>
      <c r="U132" s="46">
        <v>0</v>
      </c>
      <c r="V132" s="46">
        <v>0.30765</v>
      </c>
      <c r="W132" s="46">
        <v>0.05663</v>
      </c>
      <c r="X132" s="46">
        <v>0.00275</v>
      </c>
      <c r="Y132" s="46">
        <v>0</v>
      </c>
      <c r="Z132" s="46">
        <v>0</v>
      </c>
      <c r="AA132" s="68">
        <v>132</v>
      </c>
      <c r="AB132" s="68"/>
      <c r="AC132" s="69"/>
      <c r="AD132" s="76" t="s">
        <v>1377</v>
      </c>
      <c r="AE132" s="80" t="s">
        <v>1684</v>
      </c>
      <c r="AF132" s="76">
        <v>658502</v>
      </c>
      <c r="AG132" s="76">
        <v>694</v>
      </c>
      <c r="AH132" s="76">
        <v>14137</v>
      </c>
      <c r="AI132" s="76">
        <v>1532</v>
      </c>
      <c r="AJ132" s="76">
        <v>7770</v>
      </c>
      <c r="AK132" s="76">
        <v>357</v>
      </c>
      <c r="AL132" s="76" t="b">
        <v>0</v>
      </c>
      <c r="AM132" s="78">
        <v>41287.638657407406</v>
      </c>
      <c r="AN132" s="76"/>
      <c r="AO132" s="76" t="s">
        <v>2165</v>
      </c>
      <c r="AP132" s="82" t="str">
        <f>HYPERLINK("https://t.co/q309FvDH6r")</f>
        <v>https://t.co/q309FvDH6r</v>
      </c>
      <c r="AQ132" s="82" t="str">
        <f>HYPERLINK("http://sannamarin.net")</f>
        <v>http://sannamarin.net</v>
      </c>
      <c r="AR132" s="76" t="s">
        <v>2441</v>
      </c>
      <c r="AS132" s="76"/>
      <c r="AT132" s="76"/>
      <c r="AU132" s="76"/>
      <c r="AV132" s="76"/>
      <c r="AW132" s="82" t="str">
        <f>HYPERLINK("https://t.co/q309FvDH6r")</f>
        <v>https://t.co/q309FvDH6r</v>
      </c>
      <c r="AX132" s="76" t="b">
        <v>0</v>
      </c>
      <c r="AY132" s="76"/>
      <c r="AZ132" s="76"/>
      <c r="BA132" s="76" t="b">
        <v>0</v>
      </c>
      <c r="BB132" s="76" t="b">
        <v>1</v>
      </c>
      <c r="BC132" s="76" t="b">
        <v>0</v>
      </c>
      <c r="BD132" s="76" t="b">
        <v>0</v>
      </c>
      <c r="BE132" s="76" t="b">
        <v>1</v>
      </c>
      <c r="BF132" s="76" t="b">
        <v>0</v>
      </c>
      <c r="BG132" s="76" t="b">
        <v>0</v>
      </c>
      <c r="BH132" s="82" t="str">
        <f>HYPERLINK("https://pbs.twimg.com/profile_banners/1086378912/1567413453")</f>
        <v>https://pbs.twimg.com/profile_banners/1086378912/1567413453</v>
      </c>
      <c r="BI132" s="76"/>
      <c r="BJ132" s="76" t="s">
        <v>2656</v>
      </c>
      <c r="BK132" s="76" t="b">
        <v>0</v>
      </c>
      <c r="BL132" s="76"/>
      <c r="BM132" s="76" t="s">
        <v>65</v>
      </c>
      <c r="BN132" s="76" t="s">
        <v>2657</v>
      </c>
      <c r="BO132" s="82" t="str">
        <f>HYPERLINK("https://twitter.com/marinsanna")</f>
        <v>https://twitter.com/marinsanna</v>
      </c>
      <c r="BP132" s="76" t="str">
        <f>REPLACE(INDEX(GroupVertices[Group],MATCH(Vertices[[#This Row],[Vertex]],GroupVertices[Vertex],0)),1,1,"")</f>
        <v>1</v>
      </c>
      <c r="BQ132" s="45"/>
      <c r="BR132" s="46"/>
      <c r="BS132" s="45"/>
      <c r="BT132" s="46"/>
      <c r="BU132" s="45"/>
      <c r="BV132" s="46"/>
      <c r="BW132" s="45"/>
      <c r="BX132" s="46"/>
      <c r="BY132" s="45"/>
      <c r="BZ132" s="45"/>
      <c r="CA132" s="45"/>
      <c r="CB132" s="45"/>
      <c r="CC132" s="45"/>
      <c r="CD132" s="45"/>
      <c r="CE132" s="45"/>
      <c r="CF132" s="45"/>
      <c r="CG132" s="45"/>
      <c r="CH132" s="45"/>
      <c r="CI132" s="45"/>
      <c r="CJ132" s="2"/>
    </row>
    <row r="133" spans="1:88" ht="15">
      <c r="A133" s="61" t="s">
        <v>383</v>
      </c>
      <c r="B133" s="62"/>
      <c r="C133" s="62"/>
      <c r="D133" s="63">
        <v>535</v>
      </c>
      <c r="E133" s="65"/>
      <c r="F133" s="100" t="str">
        <f>HYPERLINK("https://pbs.twimg.com/profile_images/1095342401881747458/Wy9U_LSM_normal.jpg")</f>
        <v>https://pbs.twimg.com/profile_images/1095342401881747458/Wy9U_LSM_normal.jpg</v>
      </c>
      <c r="G133" s="62"/>
      <c r="H133" s="66" t="s">
        <v>383</v>
      </c>
      <c r="I133" s="67"/>
      <c r="J133" s="67" t="s">
        <v>159</v>
      </c>
      <c r="K133" s="66" t="s">
        <v>2787</v>
      </c>
      <c r="L133" s="70">
        <v>477.0952380952381</v>
      </c>
      <c r="M133" s="71">
        <v>229.27354431152344</v>
      </c>
      <c r="N133" s="71">
        <v>5158.5302734375</v>
      </c>
      <c r="O133" s="72"/>
      <c r="P133" s="73"/>
      <c r="Q133" s="73"/>
      <c r="R133" s="86"/>
      <c r="S133" s="45">
        <v>1</v>
      </c>
      <c r="T133" s="45">
        <v>0</v>
      </c>
      <c r="U133" s="46">
        <v>0</v>
      </c>
      <c r="V133" s="46">
        <v>0.30765</v>
      </c>
      <c r="W133" s="46">
        <v>0.05663</v>
      </c>
      <c r="X133" s="46">
        <v>0.00275</v>
      </c>
      <c r="Y133" s="46">
        <v>0</v>
      </c>
      <c r="Z133" s="46">
        <v>0</v>
      </c>
      <c r="AA133" s="68">
        <v>133</v>
      </c>
      <c r="AB133" s="68"/>
      <c r="AC133" s="69"/>
      <c r="AD133" s="76" t="s">
        <v>1378</v>
      </c>
      <c r="AE133" s="80" t="s">
        <v>1685</v>
      </c>
      <c r="AF133" s="76">
        <v>162474</v>
      </c>
      <c r="AG133" s="76">
        <v>1637</v>
      </c>
      <c r="AH133" s="76">
        <v>16057</v>
      </c>
      <c r="AI133" s="76">
        <v>378</v>
      </c>
      <c r="AJ133" s="76">
        <v>13270</v>
      </c>
      <c r="AK133" s="76">
        <v>242</v>
      </c>
      <c r="AL133" s="76" t="b">
        <v>0</v>
      </c>
      <c r="AM133" s="78">
        <v>40063.84224537037</v>
      </c>
      <c r="AN133" s="76" t="s">
        <v>1904</v>
      </c>
      <c r="AO133" s="76" t="s">
        <v>2166</v>
      </c>
      <c r="AP133" s="82" t="str">
        <f>HYPERLINK("https://t.co/hLtG3T51Fe")</f>
        <v>https://t.co/hLtG3T51Fe</v>
      </c>
      <c r="AQ133" s="82" t="str">
        <f>HYPERLINK("http://liandersson.fi")</f>
        <v>http://liandersson.fi</v>
      </c>
      <c r="AR133" s="76" t="s">
        <v>2442</v>
      </c>
      <c r="AS133" s="76"/>
      <c r="AT133" s="76"/>
      <c r="AU133" s="76"/>
      <c r="AV133" s="76"/>
      <c r="AW133" s="82" t="str">
        <f>HYPERLINK("https://t.co/hLtG3T51Fe")</f>
        <v>https://t.co/hLtG3T51Fe</v>
      </c>
      <c r="AX133" s="76" t="b">
        <v>0</v>
      </c>
      <c r="AY133" s="76"/>
      <c r="AZ133" s="76"/>
      <c r="BA133" s="76" t="b">
        <v>0</v>
      </c>
      <c r="BB133" s="76" t="b">
        <v>1</v>
      </c>
      <c r="BC133" s="76" t="b">
        <v>0</v>
      </c>
      <c r="BD133" s="76" t="b">
        <v>0</v>
      </c>
      <c r="BE133" s="76" t="b">
        <v>0</v>
      </c>
      <c r="BF133" s="76" t="b">
        <v>0</v>
      </c>
      <c r="BG133" s="76" t="b">
        <v>0</v>
      </c>
      <c r="BH133" s="82" t="str">
        <f>HYPERLINK("https://pbs.twimg.com/profile_banners/72370342/1556287627")</f>
        <v>https://pbs.twimg.com/profile_banners/72370342/1556287627</v>
      </c>
      <c r="BI133" s="76"/>
      <c r="BJ133" s="76" t="s">
        <v>2656</v>
      </c>
      <c r="BK133" s="76" t="b">
        <v>0</v>
      </c>
      <c r="BL133" s="76"/>
      <c r="BM133" s="76" t="s">
        <v>65</v>
      </c>
      <c r="BN133" s="76" t="s">
        <v>2657</v>
      </c>
      <c r="BO133" s="82" t="str">
        <f>HYPERLINK("https://twitter.com/liandersson")</f>
        <v>https://twitter.com/liandersson</v>
      </c>
      <c r="BP133" s="76" t="str">
        <f>REPLACE(INDEX(GroupVertices[Group],MATCH(Vertices[[#This Row],[Vertex]],GroupVertices[Vertex],0)),1,1,"")</f>
        <v>1</v>
      </c>
      <c r="BQ133" s="45"/>
      <c r="BR133" s="46"/>
      <c r="BS133" s="45"/>
      <c r="BT133" s="46"/>
      <c r="BU133" s="45"/>
      <c r="BV133" s="46"/>
      <c r="BW133" s="45"/>
      <c r="BX133" s="46"/>
      <c r="BY133" s="45"/>
      <c r="BZ133" s="45"/>
      <c r="CA133" s="45"/>
      <c r="CB133" s="45"/>
      <c r="CC133" s="45"/>
      <c r="CD133" s="45"/>
      <c r="CE133" s="45"/>
      <c r="CF133" s="45"/>
      <c r="CG133" s="45"/>
      <c r="CH133" s="45"/>
      <c r="CI133" s="45"/>
      <c r="CJ133" s="2"/>
    </row>
    <row r="134" spans="1:88" ht="15">
      <c r="A134" s="61" t="s">
        <v>384</v>
      </c>
      <c r="B134" s="62"/>
      <c r="C134" s="62"/>
      <c r="D134" s="63">
        <v>535</v>
      </c>
      <c r="E134" s="65"/>
      <c r="F134" s="100" t="str">
        <f>HYPERLINK("https://pbs.twimg.com/profile_images/962059567176695810/ebudye9q_normal.jpg")</f>
        <v>https://pbs.twimg.com/profile_images/962059567176695810/ebudye9q_normal.jpg</v>
      </c>
      <c r="G134" s="62"/>
      <c r="H134" s="66" t="s">
        <v>384</v>
      </c>
      <c r="I134" s="67"/>
      <c r="J134" s="67" t="s">
        <v>159</v>
      </c>
      <c r="K134" s="66" t="s">
        <v>2788</v>
      </c>
      <c r="L134" s="70">
        <v>477.0952380952381</v>
      </c>
      <c r="M134" s="71">
        <v>2466.70947265625</v>
      </c>
      <c r="N134" s="71">
        <v>8968.5634765625</v>
      </c>
      <c r="O134" s="72"/>
      <c r="P134" s="73"/>
      <c r="Q134" s="73"/>
      <c r="R134" s="86"/>
      <c r="S134" s="45">
        <v>1</v>
      </c>
      <c r="T134" s="45">
        <v>0</v>
      </c>
      <c r="U134" s="46">
        <v>0</v>
      </c>
      <c r="V134" s="46">
        <v>0.30765</v>
      </c>
      <c r="W134" s="46">
        <v>0.05663</v>
      </c>
      <c r="X134" s="46">
        <v>0.00275</v>
      </c>
      <c r="Y134" s="46">
        <v>0</v>
      </c>
      <c r="Z134" s="46">
        <v>0</v>
      </c>
      <c r="AA134" s="68">
        <v>134</v>
      </c>
      <c r="AB134" s="68"/>
      <c r="AC134" s="69"/>
      <c r="AD134" s="76" t="s">
        <v>1379</v>
      </c>
      <c r="AE134" s="80" t="s">
        <v>1686</v>
      </c>
      <c r="AF134" s="76">
        <v>10391</v>
      </c>
      <c r="AG134" s="76">
        <v>2605</v>
      </c>
      <c r="AH134" s="76">
        <v>11934</v>
      </c>
      <c r="AI134" s="76">
        <v>65</v>
      </c>
      <c r="AJ134" s="76">
        <v>20559</v>
      </c>
      <c r="AK134" s="76">
        <v>240</v>
      </c>
      <c r="AL134" s="76" t="b">
        <v>0</v>
      </c>
      <c r="AM134" s="78">
        <v>40214.452060185184</v>
      </c>
      <c r="AN134" s="76" t="s">
        <v>1928</v>
      </c>
      <c r="AO134" s="76" t="s">
        <v>2167</v>
      </c>
      <c r="AP134" s="82" t="str">
        <f>HYPERLINK("https://t.co/MQKsW5l1Fx")</f>
        <v>https://t.co/MQKsW5l1Fx</v>
      </c>
      <c r="AQ134" s="82" t="str">
        <f>HYPERLINK("http://www.matiasmakynen.fi")</f>
        <v>http://www.matiasmakynen.fi</v>
      </c>
      <c r="AR134" s="76" t="s">
        <v>2443</v>
      </c>
      <c r="AS134" s="76"/>
      <c r="AT134" s="76"/>
      <c r="AU134" s="76"/>
      <c r="AV134" s="76">
        <v>1.13599817929035E+18</v>
      </c>
      <c r="AW134" s="82" t="str">
        <f>HYPERLINK("https://t.co/MQKsW5l1Fx")</f>
        <v>https://t.co/MQKsW5l1Fx</v>
      </c>
      <c r="AX134" s="76" t="b">
        <v>0</v>
      </c>
      <c r="AY134" s="76"/>
      <c r="AZ134" s="76"/>
      <c r="BA134" s="76" t="b">
        <v>0</v>
      </c>
      <c r="BB134" s="76" t="b">
        <v>1</v>
      </c>
      <c r="BC134" s="76" t="b">
        <v>0</v>
      </c>
      <c r="BD134" s="76" t="b">
        <v>0</v>
      </c>
      <c r="BE134" s="76" t="b">
        <v>1</v>
      </c>
      <c r="BF134" s="76" t="b">
        <v>0</v>
      </c>
      <c r="BG134" s="76" t="b">
        <v>0</v>
      </c>
      <c r="BH134" s="82" t="str">
        <f>HYPERLINK("https://pbs.twimg.com/profile_banners/111561793/1518207477")</f>
        <v>https://pbs.twimg.com/profile_banners/111561793/1518207477</v>
      </c>
      <c r="BI134" s="76"/>
      <c r="BJ134" s="76" t="s">
        <v>2656</v>
      </c>
      <c r="BK134" s="76" t="b">
        <v>0</v>
      </c>
      <c r="BL134" s="76"/>
      <c r="BM134" s="76" t="s">
        <v>65</v>
      </c>
      <c r="BN134" s="76" t="s">
        <v>2657</v>
      </c>
      <c r="BO134" s="82" t="str">
        <f>HYPERLINK("https://twitter.com/matiasmakynen")</f>
        <v>https://twitter.com/matiasmakynen</v>
      </c>
      <c r="BP134" s="76" t="str">
        <f>REPLACE(INDEX(GroupVertices[Group],MATCH(Vertices[[#This Row],[Vertex]],GroupVertices[Vertex],0)),1,1,"")</f>
        <v>1</v>
      </c>
      <c r="BQ134" s="45"/>
      <c r="BR134" s="46"/>
      <c r="BS134" s="45"/>
      <c r="BT134" s="46"/>
      <c r="BU134" s="45"/>
      <c r="BV134" s="46"/>
      <c r="BW134" s="45"/>
      <c r="BX134" s="46"/>
      <c r="BY134" s="45"/>
      <c r="BZ134" s="45"/>
      <c r="CA134" s="45"/>
      <c r="CB134" s="45"/>
      <c r="CC134" s="45"/>
      <c r="CD134" s="45"/>
      <c r="CE134" s="45"/>
      <c r="CF134" s="45"/>
      <c r="CG134" s="45"/>
      <c r="CH134" s="45"/>
      <c r="CI134" s="45"/>
      <c r="CJ134" s="2"/>
    </row>
    <row r="135" spans="1:88" ht="15">
      <c r="A135" s="61" t="s">
        <v>385</v>
      </c>
      <c r="B135" s="62"/>
      <c r="C135" s="62"/>
      <c r="D135" s="63">
        <v>535</v>
      </c>
      <c r="E135" s="65"/>
      <c r="F135" s="100" t="str">
        <f>HYPERLINK("https://pbs.twimg.com/profile_images/1647614318496686082/yHTsX-Ju_normal.jpg")</f>
        <v>https://pbs.twimg.com/profile_images/1647614318496686082/yHTsX-Ju_normal.jpg</v>
      </c>
      <c r="G135" s="62"/>
      <c r="H135" s="66" t="s">
        <v>385</v>
      </c>
      <c r="I135" s="67"/>
      <c r="J135" s="67" t="s">
        <v>159</v>
      </c>
      <c r="K135" s="66" t="s">
        <v>2789</v>
      </c>
      <c r="L135" s="70">
        <v>477.0952380952381</v>
      </c>
      <c r="M135" s="71">
        <v>3557.612548828125</v>
      </c>
      <c r="N135" s="71">
        <v>8847.73046875</v>
      </c>
      <c r="O135" s="72"/>
      <c r="P135" s="73"/>
      <c r="Q135" s="73"/>
      <c r="R135" s="86"/>
      <c r="S135" s="45">
        <v>1</v>
      </c>
      <c r="T135" s="45">
        <v>0</v>
      </c>
      <c r="U135" s="46">
        <v>0</v>
      </c>
      <c r="V135" s="46">
        <v>0.30765</v>
      </c>
      <c r="W135" s="46">
        <v>0.05663</v>
      </c>
      <c r="X135" s="46">
        <v>0.00275</v>
      </c>
      <c r="Y135" s="46">
        <v>0</v>
      </c>
      <c r="Z135" s="46">
        <v>0</v>
      </c>
      <c r="AA135" s="68">
        <v>135</v>
      </c>
      <c r="AB135" s="68"/>
      <c r="AC135" s="69"/>
      <c r="AD135" s="76" t="s">
        <v>1380</v>
      </c>
      <c r="AE135" s="80" t="s">
        <v>1687</v>
      </c>
      <c r="AF135" s="76">
        <v>7878</v>
      </c>
      <c r="AG135" s="76">
        <v>8865</v>
      </c>
      <c r="AH135" s="76">
        <v>8498</v>
      </c>
      <c r="AI135" s="76">
        <v>65</v>
      </c>
      <c r="AJ135" s="76">
        <v>13489</v>
      </c>
      <c r="AK135" s="76">
        <v>642</v>
      </c>
      <c r="AL135" s="76" t="b">
        <v>0</v>
      </c>
      <c r="AM135" s="78">
        <v>40774.38211805555</v>
      </c>
      <c r="AN135" s="76" t="s">
        <v>1901</v>
      </c>
      <c r="AO135" s="76" t="s">
        <v>2168</v>
      </c>
      <c r="AP135" s="82" t="str">
        <f>HYPERLINK("https://t.co/UOKR5yIAzA")</f>
        <v>https://t.co/UOKR5yIAzA</v>
      </c>
      <c r="AQ135" s="82" t="str">
        <f>HYPERLINK("http://www.mariholopainen.fi")</f>
        <v>http://www.mariholopainen.fi</v>
      </c>
      <c r="AR135" s="76" t="s">
        <v>2444</v>
      </c>
      <c r="AS135" s="76"/>
      <c r="AT135" s="76"/>
      <c r="AU135" s="76"/>
      <c r="AV135" s="76"/>
      <c r="AW135" s="82" t="str">
        <f>HYPERLINK("https://t.co/UOKR5yIAzA")</f>
        <v>https://t.co/UOKR5yIAzA</v>
      </c>
      <c r="AX135" s="76" t="b">
        <v>0</v>
      </c>
      <c r="AY135" s="76"/>
      <c r="AZ135" s="76"/>
      <c r="BA135" s="76" t="b">
        <v>0</v>
      </c>
      <c r="BB135" s="76" t="b">
        <v>1</v>
      </c>
      <c r="BC135" s="76" t="b">
        <v>0</v>
      </c>
      <c r="BD135" s="76" t="b">
        <v>0</v>
      </c>
      <c r="BE135" s="76" t="b">
        <v>1</v>
      </c>
      <c r="BF135" s="76" t="b">
        <v>0</v>
      </c>
      <c r="BG135" s="76" t="b">
        <v>0</v>
      </c>
      <c r="BH135" s="82" t="str">
        <f>HYPERLINK("https://pbs.twimg.com/profile_banners/358054105/1681656906")</f>
        <v>https://pbs.twimg.com/profile_banners/358054105/1681656906</v>
      </c>
      <c r="BI135" s="76"/>
      <c r="BJ135" s="76" t="s">
        <v>2656</v>
      </c>
      <c r="BK135" s="76" t="b">
        <v>0</v>
      </c>
      <c r="BL135" s="76"/>
      <c r="BM135" s="76" t="s">
        <v>65</v>
      </c>
      <c r="BN135" s="76" t="s">
        <v>2657</v>
      </c>
      <c r="BO135" s="82" t="str">
        <f>HYPERLINK("https://twitter.com/mariholopainen")</f>
        <v>https://twitter.com/mariholopainen</v>
      </c>
      <c r="BP135" s="76" t="str">
        <f>REPLACE(INDEX(GroupVertices[Group],MATCH(Vertices[[#This Row],[Vertex]],GroupVertices[Vertex],0)),1,1,"")</f>
        <v>1</v>
      </c>
      <c r="BQ135" s="45"/>
      <c r="BR135" s="46"/>
      <c r="BS135" s="45"/>
      <c r="BT135" s="46"/>
      <c r="BU135" s="45"/>
      <c r="BV135" s="46"/>
      <c r="BW135" s="45"/>
      <c r="BX135" s="46"/>
      <c r="BY135" s="45"/>
      <c r="BZ135" s="45"/>
      <c r="CA135" s="45"/>
      <c r="CB135" s="45"/>
      <c r="CC135" s="45"/>
      <c r="CD135" s="45"/>
      <c r="CE135" s="45"/>
      <c r="CF135" s="45"/>
      <c r="CG135" s="45"/>
      <c r="CH135" s="45"/>
      <c r="CI135" s="45"/>
      <c r="CJ135" s="2"/>
    </row>
    <row r="136" spans="1:88" ht="15">
      <c r="A136" s="61" t="s">
        <v>386</v>
      </c>
      <c r="B136" s="62"/>
      <c r="C136" s="62"/>
      <c r="D136" s="63">
        <v>535</v>
      </c>
      <c r="E136" s="65"/>
      <c r="F136" s="100" t="str">
        <f>HYPERLINK("https://pbs.twimg.com/profile_images/1305370820982845440/t8-FT9ui_normal.png")</f>
        <v>https://pbs.twimg.com/profile_images/1305370820982845440/t8-FT9ui_normal.png</v>
      </c>
      <c r="G136" s="62"/>
      <c r="H136" s="66" t="s">
        <v>386</v>
      </c>
      <c r="I136" s="67"/>
      <c r="J136" s="67" t="s">
        <v>159</v>
      </c>
      <c r="K136" s="66" t="s">
        <v>2790</v>
      </c>
      <c r="L136" s="70">
        <v>477.0952380952381</v>
      </c>
      <c r="M136" s="71">
        <v>3134.349609375</v>
      </c>
      <c r="N136" s="71">
        <v>5089.42724609375</v>
      </c>
      <c r="O136" s="72"/>
      <c r="P136" s="73"/>
      <c r="Q136" s="73"/>
      <c r="R136" s="86"/>
      <c r="S136" s="45">
        <v>1</v>
      </c>
      <c r="T136" s="45">
        <v>0</v>
      </c>
      <c r="U136" s="46">
        <v>0</v>
      </c>
      <c r="V136" s="46">
        <v>0.30765</v>
      </c>
      <c r="W136" s="46">
        <v>0.05663</v>
      </c>
      <c r="X136" s="46">
        <v>0.00275</v>
      </c>
      <c r="Y136" s="46">
        <v>0</v>
      </c>
      <c r="Z136" s="46">
        <v>0</v>
      </c>
      <c r="AA136" s="68">
        <v>136</v>
      </c>
      <c r="AB136" s="68"/>
      <c r="AC136" s="69"/>
      <c r="AD136" s="76" t="s">
        <v>1381</v>
      </c>
      <c r="AE136" s="80" t="s">
        <v>1688</v>
      </c>
      <c r="AF136" s="76">
        <v>42043</v>
      </c>
      <c r="AG136" s="76">
        <v>894</v>
      </c>
      <c r="AH136" s="76">
        <v>23580</v>
      </c>
      <c r="AI136" s="76">
        <v>281</v>
      </c>
      <c r="AJ136" s="76">
        <v>9342</v>
      </c>
      <c r="AK136" s="76">
        <v>6067</v>
      </c>
      <c r="AL136" s="76" t="b">
        <v>0</v>
      </c>
      <c r="AM136" s="78">
        <v>40889.39019675926</v>
      </c>
      <c r="AN136" s="76" t="s">
        <v>1903</v>
      </c>
      <c r="AO136" s="76" t="s">
        <v>2169</v>
      </c>
      <c r="AP136" s="82" t="str">
        <f>HYPERLINK("https://t.co/hKk1V0wa4r")</f>
        <v>https://t.co/hKk1V0wa4r</v>
      </c>
      <c r="AQ136" s="82" t="str">
        <f>HYPERLINK("http://tem.fi")</f>
        <v>http://tem.fi</v>
      </c>
      <c r="AR136" s="76" t="s">
        <v>2445</v>
      </c>
      <c r="AS136" s="76"/>
      <c r="AT136" s="76"/>
      <c r="AU136" s="76"/>
      <c r="AV136" s="76"/>
      <c r="AW136" s="82" t="str">
        <f>HYPERLINK("https://t.co/hKk1V0wa4r")</f>
        <v>https://t.co/hKk1V0wa4r</v>
      </c>
      <c r="AX136" s="76" t="b">
        <v>0</v>
      </c>
      <c r="AY136" s="76"/>
      <c r="AZ136" s="76"/>
      <c r="BA136" s="76" t="b">
        <v>0</v>
      </c>
      <c r="BB136" s="76" t="b">
        <v>1</v>
      </c>
      <c r="BC136" s="76" t="b">
        <v>0</v>
      </c>
      <c r="BD136" s="76" t="b">
        <v>0</v>
      </c>
      <c r="BE136" s="76" t="b">
        <v>1</v>
      </c>
      <c r="BF136" s="76" t="b">
        <v>0</v>
      </c>
      <c r="BG136" s="76" t="b">
        <v>0</v>
      </c>
      <c r="BH136" s="82" t="str">
        <f>HYPERLINK("https://pbs.twimg.com/profile_banners/434782047/1688969180")</f>
        <v>https://pbs.twimg.com/profile_banners/434782047/1688969180</v>
      </c>
      <c r="BI136" s="76"/>
      <c r="BJ136" s="76" t="s">
        <v>2656</v>
      </c>
      <c r="BK136" s="76" t="b">
        <v>0</v>
      </c>
      <c r="BL136" s="76"/>
      <c r="BM136" s="76" t="s">
        <v>65</v>
      </c>
      <c r="BN136" s="76" t="s">
        <v>2657</v>
      </c>
      <c r="BO136" s="82" t="str">
        <f>HYPERLINK("https://twitter.com/tem_uutiset")</f>
        <v>https://twitter.com/tem_uutiset</v>
      </c>
      <c r="BP136" s="76" t="str">
        <f>REPLACE(INDEX(GroupVertices[Group],MATCH(Vertices[[#This Row],[Vertex]],GroupVertices[Vertex],0)),1,1,"")</f>
        <v>1</v>
      </c>
      <c r="BQ136" s="45"/>
      <c r="BR136" s="46"/>
      <c r="BS136" s="45"/>
      <c r="BT136" s="46"/>
      <c r="BU136" s="45"/>
      <c r="BV136" s="46"/>
      <c r="BW136" s="45"/>
      <c r="BX136" s="46"/>
      <c r="BY136" s="45"/>
      <c r="BZ136" s="45"/>
      <c r="CA136" s="45"/>
      <c r="CB136" s="45"/>
      <c r="CC136" s="45"/>
      <c r="CD136" s="45"/>
      <c r="CE136" s="45"/>
      <c r="CF136" s="45"/>
      <c r="CG136" s="45"/>
      <c r="CH136" s="45"/>
      <c r="CI136" s="45"/>
      <c r="CJ136" s="2"/>
    </row>
    <row r="137" spans="1:88" ht="15">
      <c r="A137" s="61" t="s">
        <v>387</v>
      </c>
      <c r="B137" s="62"/>
      <c r="C137" s="62"/>
      <c r="D137" s="63">
        <v>535</v>
      </c>
      <c r="E137" s="65"/>
      <c r="F137" s="100" t="str">
        <f>HYPERLINK("https://pbs.twimg.com/profile_images/1166313442107711488/pvV98_lO_normal.png")</f>
        <v>https://pbs.twimg.com/profile_images/1166313442107711488/pvV98_lO_normal.png</v>
      </c>
      <c r="G137" s="62"/>
      <c r="H137" s="66" t="s">
        <v>387</v>
      </c>
      <c r="I137" s="67"/>
      <c r="J137" s="67" t="s">
        <v>159</v>
      </c>
      <c r="K137" s="66" t="s">
        <v>2791</v>
      </c>
      <c r="L137" s="70">
        <v>477.0952380952381</v>
      </c>
      <c r="M137" s="71">
        <v>3482.663818359375</v>
      </c>
      <c r="N137" s="71">
        <v>6306.0927734375</v>
      </c>
      <c r="O137" s="72"/>
      <c r="P137" s="73"/>
      <c r="Q137" s="73"/>
      <c r="R137" s="86"/>
      <c r="S137" s="45">
        <v>1</v>
      </c>
      <c r="T137" s="45">
        <v>0</v>
      </c>
      <c r="U137" s="46">
        <v>0</v>
      </c>
      <c r="V137" s="46">
        <v>0.30765</v>
      </c>
      <c r="W137" s="46">
        <v>0.05663</v>
      </c>
      <c r="X137" s="46">
        <v>0.00275</v>
      </c>
      <c r="Y137" s="46">
        <v>0</v>
      </c>
      <c r="Z137" s="46">
        <v>0</v>
      </c>
      <c r="AA137" s="68">
        <v>137</v>
      </c>
      <c r="AB137" s="68"/>
      <c r="AC137" s="69"/>
      <c r="AD137" s="76" t="s">
        <v>1382</v>
      </c>
      <c r="AE137" s="80" t="s">
        <v>1689</v>
      </c>
      <c r="AF137" s="76">
        <v>2727</v>
      </c>
      <c r="AG137" s="76">
        <v>1174</v>
      </c>
      <c r="AH137" s="76">
        <v>3192</v>
      </c>
      <c r="AI137" s="76">
        <v>44</v>
      </c>
      <c r="AJ137" s="76">
        <v>6162</v>
      </c>
      <c r="AK137" s="76">
        <v>639</v>
      </c>
      <c r="AL137" s="76" t="b">
        <v>0</v>
      </c>
      <c r="AM137" s="78">
        <v>41554.2171875</v>
      </c>
      <c r="AN137" s="76"/>
      <c r="AO137" s="76" t="s">
        <v>2170</v>
      </c>
      <c r="AP137" s="82" t="str">
        <f>HYPERLINK("https://t.co/2e63vMoqj3")</f>
        <v>https://t.co/2e63vMoqj3</v>
      </c>
      <c r="AQ137" s="82" t="str">
        <f>HYPERLINK("http://www.gtk.fi/")</f>
        <v>http://www.gtk.fi/</v>
      </c>
      <c r="AR137" s="76" t="s">
        <v>2446</v>
      </c>
      <c r="AS137" s="76"/>
      <c r="AT137" s="76"/>
      <c r="AU137" s="76"/>
      <c r="AV137" s="76"/>
      <c r="AW137" s="82" t="str">
        <f>HYPERLINK("https://t.co/2e63vMoqj3")</f>
        <v>https://t.co/2e63vMoqj3</v>
      </c>
      <c r="AX137" s="76" t="b">
        <v>0</v>
      </c>
      <c r="AY137" s="76"/>
      <c r="AZ137" s="76"/>
      <c r="BA137" s="76" t="b">
        <v>1</v>
      </c>
      <c r="BB137" s="76" t="b">
        <v>1</v>
      </c>
      <c r="BC137" s="76" t="b">
        <v>0</v>
      </c>
      <c r="BD137" s="76" t="b">
        <v>0</v>
      </c>
      <c r="BE137" s="76" t="b">
        <v>1</v>
      </c>
      <c r="BF137" s="76" t="b">
        <v>0</v>
      </c>
      <c r="BG137" s="76" t="b">
        <v>0</v>
      </c>
      <c r="BH137" s="82" t="str">
        <f>HYPERLINK("https://pbs.twimg.com/profile_banners/1943022752/1599663097")</f>
        <v>https://pbs.twimg.com/profile_banners/1943022752/1599663097</v>
      </c>
      <c r="BI137" s="76"/>
      <c r="BJ137" s="76" t="s">
        <v>2656</v>
      </c>
      <c r="BK137" s="76" t="b">
        <v>0</v>
      </c>
      <c r="BL137" s="76"/>
      <c r="BM137" s="76" t="s">
        <v>65</v>
      </c>
      <c r="BN137" s="76" t="s">
        <v>2657</v>
      </c>
      <c r="BO137" s="82" t="str">
        <f>HYPERLINK("https://twitter.com/gtk_fi")</f>
        <v>https://twitter.com/gtk_fi</v>
      </c>
      <c r="BP137" s="76" t="str">
        <f>REPLACE(INDEX(GroupVertices[Group],MATCH(Vertices[[#This Row],[Vertex]],GroupVertices[Vertex],0)),1,1,"")</f>
        <v>1</v>
      </c>
      <c r="BQ137" s="45"/>
      <c r="BR137" s="46"/>
      <c r="BS137" s="45"/>
      <c r="BT137" s="46"/>
      <c r="BU137" s="45"/>
      <c r="BV137" s="46"/>
      <c r="BW137" s="45"/>
      <c r="BX137" s="46"/>
      <c r="BY137" s="45"/>
      <c r="BZ137" s="45"/>
      <c r="CA137" s="45"/>
      <c r="CB137" s="45"/>
      <c r="CC137" s="45"/>
      <c r="CD137" s="45"/>
      <c r="CE137" s="45"/>
      <c r="CF137" s="45"/>
      <c r="CG137" s="45"/>
      <c r="CH137" s="45"/>
      <c r="CI137" s="45"/>
      <c r="CJ137" s="2"/>
    </row>
    <row r="138" spans="1:88" ht="15">
      <c r="A138" s="61" t="s">
        <v>388</v>
      </c>
      <c r="B138" s="62"/>
      <c r="C138" s="62"/>
      <c r="D138" s="63">
        <v>535</v>
      </c>
      <c r="E138" s="65"/>
      <c r="F138" s="100" t="str">
        <f>HYPERLINK("https://pbs.twimg.com/profile_images/1445838080544583681/8quISWwm_normal.jpg")</f>
        <v>https://pbs.twimg.com/profile_images/1445838080544583681/8quISWwm_normal.jpg</v>
      </c>
      <c r="G138" s="62"/>
      <c r="H138" s="66" t="s">
        <v>388</v>
      </c>
      <c r="I138" s="67"/>
      <c r="J138" s="67" t="s">
        <v>159</v>
      </c>
      <c r="K138" s="66" t="s">
        <v>2792</v>
      </c>
      <c r="L138" s="70">
        <v>477.0952380952381</v>
      </c>
      <c r="M138" s="71">
        <v>706.5986328125</v>
      </c>
      <c r="N138" s="71">
        <v>3969.9326171875</v>
      </c>
      <c r="O138" s="72"/>
      <c r="P138" s="73"/>
      <c r="Q138" s="73"/>
      <c r="R138" s="86"/>
      <c r="S138" s="45">
        <v>1</v>
      </c>
      <c r="T138" s="45">
        <v>0</v>
      </c>
      <c r="U138" s="46">
        <v>0</v>
      </c>
      <c r="V138" s="46">
        <v>0.30765</v>
      </c>
      <c r="W138" s="46">
        <v>0.05663</v>
      </c>
      <c r="X138" s="46">
        <v>0.00275</v>
      </c>
      <c r="Y138" s="46">
        <v>0</v>
      </c>
      <c r="Z138" s="46">
        <v>0</v>
      </c>
      <c r="AA138" s="68">
        <v>138</v>
      </c>
      <c r="AB138" s="68"/>
      <c r="AC138" s="69"/>
      <c r="AD138" s="76" t="s">
        <v>1383</v>
      </c>
      <c r="AE138" s="80" t="s">
        <v>1690</v>
      </c>
      <c r="AF138" s="76">
        <v>668</v>
      </c>
      <c r="AG138" s="76">
        <v>302</v>
      </c>
      <c r="AH138" s="76">
        <v>671</v>
      </c>
      <c r="AI138" s="76">
        <v>5</v>
      </c>
      <c r="AJ138" s="76">
        <v>1862</v>
      </c>
      <c r="AK138" s="76">
        <v>26</v>
      </c>
      <c r="AL138" s="76" t="b">
        <v>0</v>
      </c>
      <c r="AM138" s="78">
        <v>41485.42230324074</v>
      </c>
      <c r="AN138" s="76" t="s">
        <v>1929</v>
      </c>
      <c r="AO138" s="76" t="s">
        <v>2171</v>
      </c>
      <c r="AP138" s="76"/>
      <c r="AQ138" s="76"/>
      <c r="AR138" s="76"/>
      <c r="AS138" s="76"/>
      <c r="AT138" s="76"/>
      <c r="AU138" s="76"/>
      <c r="AV138" s="76"/>
      <c r="AW138" s="76"/>
      <c r="AX138" s="76" t="b">
        <v>0</v>
      </c>
      <c r="AY138" s="76"/>
      <c r="AZ138" s="76"/>
      <c r="BA138" s="76" t="b">
        <v>1</v>
      </c>
      <c r="BB138" s="76" t="b">
        <v>1</v>
      </c>
      <c r="BC138" s="76" t="b">
        <v>1</v>
      </c>
      <c r="BD138" s="76" t="b">
        <v>0</v>
      </c>
      <c r="BE138" s="76" t="b">
        <v>0</v>
      </c>
      <c r="BF138" s="76" t="b">
        <v>0</v>
      </c>
      <c r="BG138" s="76" t="b">
        <v>0</v>
      </c>
      <c r="BH138" s="82" t="str">
        <f>HYPERLINK("https://pbs.twimg.com/profile_banners/1632529992/1692638508")</f>
        <v>https://pbs.twimg.com/profile_banners/1632529992/1692638508</v>
      </c>
      <c r="BI138" s="76"/>
      <c r="BJ138" s="76" t="s">
        <v>2656</v>
      </c>
      <c r="BK138" s="76" t="b">
        <v>0</v>
      </c>
      <c r="BL138" s="76"/>
      <c r="BM138" s="76" t="s">
        <v>65</v>
      </c>
      <c r="BN138" s="76" t="s">
        <v>2657</v>
      </c>
      <c r="BO138" s="82" t="str">
        <f>HYPERLINK("https://twitter.com/sipimikko")</f>
        <v>https://twitter.com/sipimikko</v>
      </c>
      <c r="BP138" s="76" t="str">
        <f>REPLACE(INDEX(GroupVertices[Group],MATCH(Vertices[[#This Row],[Vertex]],GroupVertices[Vertex],0)),1,1,"")</f>
        <v>1</v>
      </c>
      <c r="BQ138" s="45"/>
      <c r="BR138" s="46"/>
      <c r="BS138" s="45"/>
      <c r="BT138" s="46"/>
      <c r="BU138" s="45"/>
      <c r="BV138" s="46"/>
      <c r="BW138" s="45"/>
      <c r="BX138" s="46"/>
      <c r="BY138" s="45"/>
      <c r="BZ138" s="45"/>
      <c r="CA138" s="45"/>
      <c r="CB138" s="45"/>
      <c r="CC138" s="45"/>
      <c r="CD138" s="45"/>
      <c r="CE138" s="45"/>
      <c r="CF138" s="45"/>
      <c r="CG138" s="45"/>
      <c r="CH138" s="45"/>
      <c r="CI138" s="45"/>
      <c r="CJ138" s="2"/>
    </row>
    <row r="139" spans="1:88" ht="15">
      <c r="A139" s="61" t="s">
        <v>389</v>
      </c>
      <c r="B139" s="62"/>
      <c r="C139" s="62"/>
      <c r="D139" s="63">
        <v>535</v>
      </c>
      <c r="E139" s="65"/>
      <c r="F139" s="100" t="str">
        <f>HYPERLINK("https://pbs.twimg.com/profile_images/1677696739707371521/Kz7cfphY_normal.jpg")</f>
        <v>https://pbs.twimg.com/profile_images/1677696739707371521/Kz7cfphY_normal.jpg</v>
      </c>
      <c r="G139" s="62"/>
      <c r="H139" s="66" t="s">
        <v>389</v>
      </c>
      <c r="I139" s="67"/>
      <c r="J139" s="67" t="s">
        <v>159</v>
      </c>
      <c r="K139" s="66" t="s">
        <v>2793</v>
      </c>
      <c r="L139" s="70">
        <v>477.0952380952381</v>
      </c>
      <c r="M139" s="71">
        <v>3510.644287109375</v>
      </c>
      <c r="N139" s="71">
        <v>8151.7060546875</v>
      </c>
      <c r="O139" s="72"/>
      <c r="P139" s="73"/>
      <c r="Q139" s="73"/>
      <c r="R139" s="86"/>
      <c r="S139" s="45">
        <v>1</v>
      </c>
      <c r="T139" s="45">
        <v>0</v>
      </c>
      <c r="U139" s="46">
        <v>0</v>
      </c>
      <c r="V139" s="46">
        <v>0.30765</v>
      </c>
      <c r="W139" s="46">
        <v>0.05663</v>
      </c>
      <c r="X139" s="46">
        <v>0.00275</v>
      </c>
      <c r="Y139" s="46">
        <v>0</v>
      </c>
      <c r="Z139" s="46">
        <v>0</v>
      </c>
      <c r="AA139" s="68">
        <v>139</v>
      </c>
      <c r="AB139" s="68"/>
      <c r="AC139" s="69"/>
      <c r="AD139" s="76" t="s">
        <v>1384</v>
      </c>
      <c r="AE139" s="80" t="s">
        <v>1691</v>
      </c>
      <c r="AF139" s="76">
        <v>3309</v>
      </c>
      <c r="AG139" s="76">
        <v>1580</v>
      </c>
      <c r="AH139" s="76">
        <v>11258</v>
      </c>
      <c r="AI139" s="76">
        <v>18</v>
      </c>
      <c r="AJ139" s="76">
        <v>37214</v>
      </c>
      <c r="AK139" s="76">
        <v>929</v>
      </c>
      <c r="AL139" s="76" t="b">
        <v>0</v>
      </c>
      <c r="AM139" s="78">
        <v>41773.352951388886</v>
      </c>
      <c r="AN139" s="76" t="s">
        <v>1898</v>
      </c>
      <c r="AO139" s="76" t="s">
        <v>2172</v>
      </c>
      <c r="AP139" s="82" t="str">
        <f>HYPERLINK("https://t.co/e8ravCGNta")</f>
        <v>https://t.co/e8ravCGNta</v>
      </c>
      <c r="AQ139" s="82" t="str">
        <f>HYPERLINK("http://www.sll.fi")</f>
        <v>http://www.sll.fi</v>
      </c>
      <c r="AR139" s="76" t="s">
        <v>2447</v>
      </c>
      <c r="AS139" s="76"/>
      <c r="AT139" s="76"/>
      <c r="AU139" s="76"/>
      <c r="AV139" s="76"/>
      <c r="AW139" s="82" t="str">
        <f>HYPERLINK("https://t.co/e8ravCGNta")</f>
        <v>https://t.co/e8ravCGNta</v>
      </c>
      <c r="AX139" s="76" t="b">
        <v>1</v>
      </c>
      <c r="AY139" s="76"/>
      <c r="AZ139" s="76"/>
      <c r="BA139" s="76" t="b">
        <v>0</v>
      </c>
      <c r="BB139" s="76" t="b">
        <v>1</v>
      </c>
      <c r="BC139" s="76" t="b">
        <v>1</v>
      </c>
      <c r="BD139" s="76" t="b">
        <v>0</v>
      </c>
      <c r="BE139" s="76" t="b">
        <v>0</v>
      </c>
      <c r="BF139" s="76" t="b">
        <v>0</v>
      </c>
      <c r="BG139" s="76" t="b">
        <v>0</v>
      </c>
      <c r="BH139" s="82" t="str">
        <f>HYPERLINK("https://pbs.twimg.com/profile_banners/2493877790/1400058861")</f>
        <v>https://pbs.twimg.com/profile_banners/2493877790/1400058861</v>
      </c>
      <c r="BI139" s="76"/>
      <c r="BJ139" s="76" t="s">
        <v>2656</v>
      </c>
      <c r="BK139" s="76" t="b">
        <v>0</v>
      </c>
      <c r="BL139" s="76"/>
      <c r="BM139" s="76" t="s">
        <v>65</v>
      </c>
      <c r="BN139" s="76" t="s">
        <v>2657</v>
      </c>
      <c r="BO139" s="82" t="str">
        <f>HYPERLINK("https://twitter.com/tapaniveistola")</f>
        <v>https://twitter.com/tapaniveistola</v>
      </c>
      <c r="BP139" s="76" t="str">
        <f>REPLACE(INDEX(GroupVertices[Group],MATCH(Vertices[[#This Row],[Vertex]],GroupVertices[Vertex],0)),1,1,"")</f>
        <v>1</v>
      </c>
      <c r="BQ139" s="45"/>
      <c r="BR139" s="46"/>
      <c r="BS139" s="45"/>
      <c r="BT139" s="46"/>
      <c r="BU139" s="45"/>
      <c r="BV139" s="46"/>
      <c r="BW139" s="45"/>
      <c r="BX139" s="46"/>
      <c r="BY139" s="45"/>
      <c r="BZ139" s="45"/>
      <c r="CA139" s="45"/>
      <c r="CB139" s="45"/>
      <c r="CC139" s="45"/>
      <c r="CD139" s="45"/>
      <c r="CE139" s="45"/>
      <c r="CF139" s="45"/>
      <c r="CG139" s="45"/>
      <c r="CH139" s="45"/>
      <c r="CI139" s="45"/>
      <c r="CJ139" s="2"/>
    </row>
    <row r="140" spans="1:88" ht="15">
      <c r="A140" s="61" t="s">
        <v>390</v>
      </c>
      <c r="B140" s="62"/>
      <c r="C140" s="62"/>
      <c r="D140" s="63">
        <v>535</v>
      </c>
      <c r="E140" s="65"/>
      <c r="F140" s="100" t="str">
        <f>HYPERLINK("https://pbs.twimg.com/profile_images/1480901173389447176/4VbCCpCp_normal.jpg")</f>
        <v>https://pbs.twimg.com/profile_images/1480901173389447176/4VbCCpCp_normal.jpg</v>
      </c>
      <c r="G140" s="62"/>
      <c r="H140" s="66" t="s">
        <v>390</v>
      </c>
      <c r="I140" s="67"/>
      <c r="J140" s="67" t="s">
        <v>159</v>
      </c>
      <c r="K140" s="66" t="s">
        <v>2794</v>
      </c>
      <c r="L140" s="70">
        <v>477.0952380952381</v>
      </c>
      <c r="M140" s="71">
        <v>1630.7349853515625</v>
      </c>
      <c r="N140" s="71">
        <v>8318.0166015625</v>
      </c>
      <c r="O140" s="72"/>
      <c r="P140" s="73"/>
      <c r="Q140" s="73"/>
      <c r="R140" s="86"/>
      <c r="S140" s="45">
        <v>1</v>
      </c>
      <c r="T140" s="45">
        <v>0</v>
      </c>
      <c r="U140" s="46">
        <v>0</v>
      </c>
      <c r="V140" s="46">
        <v>0.30765</v>
      </c>
      <c r="W140" s="46">
        <v>0.05663</v>
      </c>
      <c r="X140" s="46">
        <v>0.00275</v>
      </c>
      <c r="Y140" s="46">
        <v>0</v>
      </c>
      <c r="Z140" s="46">
        <v>0</v>
      </c>
      <c r="AA140" s="68">
        <v>140</v>
      </c>
      <c r="AB140" s="68"/>
      <c r="AC140" s="69"/>
      <c r="AD140" s="76" t="s">
        <v>1385</v>
      </c>
      <c r="AE140" s="80" t="s">
        <v>1692</v>
      </c>
      <c r="AF140" s="76">
        <v>3007</v>
      </c>
      <c r="AG140" s="76">
        <v>1063</v>
      </c>
      <c r="AH140" s="76">
        <v>711</v>
      </c>
      <c r="AI140" s="76">
        <v>16</v>
      </c>
      <c r="AJ140" s="76">
        <v>3034</v>
      </c>
      <c r="AK140" s="76">
        <v>58</v>
      </c>
      <c r="AL140" s="76" t="b">
        <v>0</v>
      </c>
      <c r="AM140" s="78">
        <v>41280.83020833333</v>
      </c>
      <c r="AN140" s="76" t="s">
        <v>1930</v>
      </c>
      <c r="AO140" s="76" t="s">
        <v>2173</v>
      </c>
      <c r="AP140" s="82" t="str">
        <f>HYPERLINK("https://t.co/UgnPl14CL5")</f>
        <v>https://t.co/UgnPl14CL5</v>
      </c>
      <c r="AQ140" s="82" t="str">
        <f>HYPERLINK("https://www.suomalainen.com/products/sodankylan-jeanne-darc")</f>
        <v>https://www.suomalainen.com/products/sodankylan-jeanne-darc</v>
      </c>
      <c r="AR140" s="76" t="s">
        <v>2448</v>
      </c>
      <c r="AS140" s="76"/>
      <c r="AT140" s="76"/>
      <c r="AU140" s="76"/>
      <c r="AV140" s="76"/>
      <c r="AW140" s="82" t="str">
        <f>HYPERLINK("https://t.co/UgnPl14CL5")</f>
        <v>https://t.co/UgnPl14CL5</v>
      </c>
      <c r="AX140" s="76" t="b">
        <v>0</v>
      </c>
      <c r="AY140" s="76"/>
      <c r="AZ140" s="76"/>
      <c r="BA140" s="76" t="b">
        <v>0</v>
      </c>
      <c r="BB140" s="76" t="b">
        <v>1</v>
      </c>
      <c r="BC140" s="76" t="b">
        <v>0</v>
      </c>
      <c r="BD140" s="76" t="b">
        <v>0</v>
      </c>
      <c r="BE140" s="76" t="b">
        <v>0</v>
      </c>
      <c r="BF140" s="76" t="b">
        <v>0</v>
      </c>
      <c r="BG140" s="76" t="b">
        <v>0</v>
      </c>
      <c r="BH140" s="82" t="str">
        <f>HYPERLINK("https://pbs.twimg.com/profile_banners/1066564285/1492974277")</f>
        <v>https://pbs.twimg.com/profile_banners/1066564285/1492974277</v>
      </c>
      <c r="BI140" s="76"/>
      <c r="BJ140" s="76" t="s">
        <v>2656</v>
      </c>
      <c r="BK140" s="76" t="b">
        <v>0</v>
      </c>
      <c r="BL140" s="76"/>
      <c r="BM140" s="76" t="s">
        <v>65</v>
      </c>
      <c r="BN140" s="76" t="s">
        <v>2657</v>
      </c>
      <c r="BO140" s="82" t="str">
        <f>HYPERLINK("https://twitter.com/riikkarppinen")</f>
        <v>https://twitter.com/riikkarppinen</v>
      </c>
      <c r="BP140" s="76" t="str">
        <f>REPLACE(INDEX(GroupVertices[Group],MATCH(Vertices[[#This Row],[Vertex]],GroupVertices[Vertex],0)),1,1,"")</f>
        <v>1</v>
      </c>
      <c r="BQ140" s="45"/>
      <c r="BR140" s="46"/>
      <c r="BS140" s="45"/>
      <c r="BT140" s="46"/>
      <c r="BU140" s="45"/>
      <c r="BV140" s="46"/>
      <c r="BW140" s="45"/>
      <c r="BX140" s="46"/>
      <c r="BY140" s="45"/>
      <c r="BZ140" s="45"/>
      <c r="CA140" s="45"/>
      <c r="CB140" s="45"/>
      <c r="CC140" s="45"/>
      <c r="CD140" s="45"/>
      <c r="CE140" s="45"/>
      <c r="CF140" s="45"/>
      <c r="CG140" s="45"/>
      <c r="CH140" s="45"/>
      <c r="CI140" s="45"/>
      <c r="CJ140" s="2"/>
    </row>
    <row r="141" spans="1:88" ht="15">
      <c r="A141" s="61" t="s">
        <v>391</v>
      </c>
      <c r="B141" s="62"/>
      <c r="C141" s="62"/>
      <c r="D141" s="63">
        <v>535</v>
      </c>
      <c r="E141" s="65"/>
      <c r="F141" s="100" t="str">
        <f>HYPERLINK("https://pbs.twimg.com/profile_images/1019092918143942657/twheId8l_normal.jpg")</f>
        <v>https://pbs.twimg.com/profile_images/1019092918143942657/twheId8l_normal.jpg</v>
      </c>
      <c r="G141" s="62"/>
      <c r="H141" s="66" t="s">
        <v>391</v>
      </c>
      <c r="I141" s="67"/>
      <c r="J141" s="67" t="s">
        <v>159</v>
      </c>
      <c r="K141" s="66" t="s">
        <v>2795</v>
      </c>
      <c r="L141" s="70">
        <v>477.0952380952381</v>
      </c>
      <c r="M141" s="71">
        <v>3956.62548828125</v>
      </c>
      <c r="N141" s="71">
        <v>4721.828125</v>
      </c>
      <c r="O141" s="72"/>
      <c r="P141" s="73"/>
      <c r="Q141" s="73"/>
      <c r="R141" s="86"/>
      <c r="S141" s="45">
        <v>1</v>
      </c>
      <c r="T141" s="45">
        <v>0</v>
      </c>
      <c r="U141" s="46">
        <v>0</v>
      </c>
      <c r="V141" s="46">
        <v>0.30765</v>
      </c>
      <c r="W141" s="46">
        <v>0.05663</v>
      </c>
      <c r="X141" s="46">
        <v>0.00275</v>
      </c>
      <c r="Y141" s="46">
        <v>0</v>
      </c>
      <c r="Z141" s="46">
        <v>0</v>
      </c>
      <c r="AA141" s="68">
        <v>141</v>
      </c>
      <c r="AB141" s="68"/>
      <c r="AC141" s="69"/>
      <c r="AD141" s="76" t="s">
        <v>1386</v>
      </c>
      <c r="AE141" s="80" t="s">
        <v>1693</v>
      </c>
      <c r="AF141" s="76">
        <v>1709</v>
      </c>
      <c r="AG141" s="76">
        <v>3067</v>
      </c>
      <c r="AH141" s="76">
        <v>8490</v>
      </c>
      <c r="AI141" s="76">
        <v>6</v>
      </c>
      <c r="AJ141" s="76">
        <v>7727</v>
      </c>
      <c r="AK141" s="76">
        <v>372</v>
      </c>
      <c r="AL141" s="76" t="b">
        <v>0</v>
      </c>
      <c r="AM141" s="78">
        <v>43298.14871527778</v>
      </c>
      <c r="AN141" s="76" t="s">
        <v>1931</v>
      </c>
      <c r="AO141" s="76" t="s">
        <v>2174</v>
      </c>
      <c r="AP141" s="82" t="str">
        <f>HYPERLINK("https://t.co/d6mtmxHtRy")</f>
        <v>https://t.co/d6mtmxHtRy</v>
      </c>
      <c r="AQ141" s="82" t="str">
        <f>HYPERLINK("https://www.facebook.com/heinavesipro/")</f>
        <v>https://www.facebook.com/heinavesipro/</v>
      </c>
      <c r="AR141" s="76" t="s">
        <v>2449</v>
      </c>
      <c r="AS141" s="76"/>
      <c r="AT141" s="76"/>
      <c r="AU141" s="76"/>
      <c r="AV141" s="76">
        <v>1.28188132656039E+18</v>
      </c>
      <c r="AW141" s="82" t="str">
        <f>HYPERLINK("https://t.co/d6mtmxHtRy")</f>
        <v>https://t.co/d6mtmxHtRy</v>
      </c>
      <c r="AX141" s="76" t="b">
        <v>0</v>
      </c>
      <c r="AY141" s="76"/>
      <c r="AZ141" s="76"/>
      <c r="BA141" s="76" t="b">
        <v>1</v>
      </c>
      <c r="BB141" s="76" t="b">
        <v>1</v>
      </c>
      <c r="BC141" s="76" t="b">
        <v>1</v>
      </c>
      <c r="BD141" s="76" t="b">
        <v>0</v>
      </c>
      <c r="BE141" s="76" t="b">
        <v>1</v>
      </c>
      <c r="BF141" s="76" t="b">
        <v>0</v>
      </c>
      <c r="BG141" s="76" t="b">
        <v>0</v>
      </c>
      <c r="BH141" s="82" t="str">
        <f>HYPERLINK("https://pbs.twimg.com/profile_banners/1019062672493568000/1544214108")</f>
        <v>https://pbs.twimg.com/profile_banners/1019062672493568000/1544214108</v>
      </c>
      <c r="BI141" s="76"/>
      <c r="BJ141" s="76" t="s">
        <v>2656</v>
      </c>
      <c r="BK141" s="76" t="b">
        <v>0</v>
      </c>
      <c r="BL141" s="76"/>
      <c r="BM141" s="76" t="s">
        <v>65</v>
      </c>
      <c r="BN141" s="76" t="s">
        <v>2657</v>
      </c>
      <c r="BO141" s="82" t="str">
        <f>HYPERLINK("https://twitter.com/pro_heinavesi")</f>
        <v>https://twitter.com/pro_heinavesi</v>
      </c>
      <c r="BP141" s="76" t="str">
        <f>REPLACE(INDEX(GroupVertices[Group],MATCH(Vertices[[#This Row],[Vertex]],GroupVertices[Vertex],0)),1,1,"")</f>
        <v>1</v>
      </c>
      <c r="BQ141" s="45"/>
      <c r="BR141" s="46"/>
      <c r="BS141" s="45"/>
      <c r="BT141" s="46"/>
      <c r="BU141" s="45"/>
      <c r="BV141" s="46"/>
      <c r="BW141" s="45"/>
      <c r="BX141" s="46"/>
      <c r="BY141" s="45"/>
      <c r="BZ141" s="45"/>
      <c r="CA141" s="45"/>
      <c r="CB141" s="45"/>
      <c r="CC141" s="45"/>
      <c r="CD141" s="45"/>
      <c r="CE141" s="45"/>
      <c r="CF141" s="45"/>
      <c r="CG141" s="45"/>
      <c r="CH141" s="45"/>
      <c r="CI141" s="45"/>
      <c r="CJ141" s="2"/>
    </row>
    <row r="142" spans="1:88" ht="15">
      <c r="A142" s="61" t="s">
        <v>392</v>
      </c>
      <c r="B142" s="62"/>
      <c r="C142" s="62"/>
      <c r="D142" s="63">
        <v>535</v>
      </c>
      <c r="E142" s="65"/>
      <c r="F142" s="100" t="str">
        <f>HYPERLINK("https://pbs.twimg.com/profile_images/1389502994752937984/NKkPnJrf_normal.jpg")</f>
        <v>https://pbs.twimg.com/profile_images/1389502994752937984/NKkPnJrf_normal.jpg</v>
      </c>
      <c r="G142" s="62"/>
      <c r="H142" s="66" t="s">
        <v>392</v>
      </c>
      <c r="I142" s="67"/>
      <c r="J142" s="67" t="s">
        <v>159</v>
      </c>
      <c r="K142" s="66" t="s">
        <v>2796</v>
      </c>
      <c r="L142" s="70">
        <v>477.0952380952381</v>
      </c>
      <c r="M142" s="71">
        <v>3140.10107421875</v>
      </c>
      <c r="N142" s="71">
        <v>7727.26611328125</v>
      </c>
      <c r="O142" s="72"/>
      <c r="P142" s="73"/>
      <c r="Q142" s="73"/>
      <c r="R142" s="86"/>
      <c r="S142" s="45">
        <v>1</v>
      </c>
      <c r="T142" s="45">
        <v>0</v>
      </c>
      <c r="U142" s="46">
        <v>0</v>
      </c>
      <c r="V142" s="46">
        <v>0.30765</v>
      </c>
      <c r="W142" s="46">
        <v>0.05663</v>
      </c>
      <c r="X142" s="46">
        <v>0.00275</v>
      </c>
      <c r="Y142" s="46">
        <v>0</v>
      </c>
      <c r="Z142" s="46">
        <v>0</v>
      </c>
      <c r="AA142" s="68">
        <v>142</v>
      </c>
      <c r="AB142" s="68"/>
      <c r="AC142" s="69"/>
      <c r="AD142" s="76" t="s">
        <v>1387</v>
      </c>
      <c r="AE142" s="80" t="s">
        <v>1694</v>
      </c>
      <c r="AF142" s="76">
        <v>3550</v>
      </c>
      <c r="AG142" s="76">
        <v>1041</v>
      </c>
      <c r="AH142" s="76">
        <v>6835</v>
      </c>
      <c r="AI142" s="76">
        <v>35</v>
      </c>
      <c r="AJ142" s="76">
        <v>11040</v>
      </c>
      <c r="AK142" s="76">
        <v>54</v>
      </c>
      <c r="AL142" s="76" t="b">
        <v>0</v>
      </c>
      <c r="AM142" s="78">
        <v>42038.49462962963</v>
      </c>
      <c r="AN142" s="76"/>
      <c r="AO142" s="76" t="s">
        <v>2175</v>
      </c>
      <c r="AP142" s="76"/>
      <c r="AQ142" s="76"/>
      <c r="AR142" s="76"/>
      <c r="AS142" s="76"/>
      <c r="AT142" s="76"/>
      <c r="AU142" s="76"/>
      <c r="AV142" s="76"/>
      <c r="AW142" s="76"/>
      <c r="AX142" s="76" t="b">
        <v>0</v>
      </c>
      <c r="AY142" s="76"/>
      <c r="AZ142" s="76"/>
      <c r="BA142" s="76" t="b">
        <v>1</v>
      </c>
      <c r="BB142" s="76" t="b">
        <v>1</v>
      </c>
      <c r="BC142" s="76" t="b">
        <v>0</v>
      </c>
      <c r="BD142" s="76" t="b">
        <v>0</v>
      </c>
      <c r="BE142" s="76" t="b">
        <v>0</v>
      </c>
      <c r="BF142" s="76" t="b">
        <v>0</v>
      </c>
      <c r="BG142" s="76" t="b">
        <v>0</v>
      </c>
      <c r="BH142" s="82" t="str">
        <f>HYPERLINK("https://pbs.twimg.com/profile_banners/3014339879/1644737929")</f>
        <v>https://pbs.twimg.com/profile_banners/3014339879/1644737929</v>
      </c>
      <c r="BI142" s="76"/>
      <c r="BJ142" s="76" t="s">
        <v>2656</v>
      </c>
      <c r="BK142" s="76" t="b">
        <v>0</v>
      </c>
      <c r="BL142" s="76"/>
      <c r="BM142" s="76" t="s">
        <v>65</v>
      </c>
      <c r="BN142" s="76" t="s">
        <v>2657</v>
      </c>
      <c r="BO142" s="82" t="str">
        <f>HYPERLINK("https://twitter.com/hannahalmeenpaa")</f>
        <v>https://twitter.com/hannahalmeenpaa</v>
      </c>
      <c r="BP142" s="76" t="str">
        <f>REPLACE(INDEX(GroupVertices[Group],MATCH(Vertices[[#This Row],[Vertex]],GroupVertices[Vertex],0)),1,1,"")</f>
        <v>1</v>
      </c>
      <c r="BQ142" s="45"/>
      <c r="BR142" s="46"/>
      <c r="BS142" s="45"/>
      <c r="BT142" s="46"/>
      <c r="BU142" s="45"/>
      <c r="BV142" s="46"/>
      <c r="BW142" s="45"/>
      <c r="BX142" s="46"/>
      <c r="BY142" s="45"/>
      <c r="BZ142" s="45"/>
      <c r="CA142" s="45"/>
      <c r="CB142" s="45"/>
      <c r="CC142" s="45"/>
      <c r="CD142" s="45"/>
      <c r="CE142" s="45"/>
      <c r="CF142" s="45"/>
      <c r="CG142" s="45"/>
      <c r="CH142" s="45"/>
      <c r="CI142" s="45"/>
      <c r="CJ142" s="2"/>
    </row>
    <row r="143" spans="1:88" ht="15">
      <c r="A143" s="61" t="s">
        <v>393</v>
      </c>
      <c r="B143" s="62"/>
      <c r="C143" s="62"/>
      <c r="D143" s="63">
        <v>535</v>
      </c>
      <c r="E143" s="65"/>
      <c r="F143" s="100" t="str">
        <f>HYPERLINK("https://pbs.twimg.com/profile_images/1658010593595478016/J0HW0HI3_normal.jpg")</f>
        <v>https://pbs.twimg.com/profile_images/1658010593595478016/J0HW0HI3_normal.jpg</v>
      </c>
      <c r="G143" s="62"/>
      <c r="H143" s="66" t="s">
        <v>393</v>
      </c>
      <c r="I143" s="67"/>
      <c r="J143" s="67" t="s">
        <v>159</v>
      </c>
      <c r="K143" s="66" t="s">
        <v>2797</v>
      </c>
      <c r="L143" s="70">
        <v>477.0952380952381</v>
      </c>
      <c r="M143" s="71">
        <v>161.40623474121094</v>
      </c>
      <c r="N143" s="71">
        <v>5615.7880859375</v>
      </c>
      <c r="O143" s="72"/>
      <c r="P143" s="73"/>
      <c r="Q143" s="73"/>
      <c r="R143" s="86"/>
      <c r="S143" s="45">
        <v>1</v>
      </c>
      <c r="T143" s="45">
        <v>0</v>
      </c>
      <c r="U143" s="46">
        <v>0</v>
      </c>
      <c r="V143" s="46">
        <v>0.30765</v>
      </c>
      <c r="W143" s="46">
        <v>0.05663</v>
      </c>
      <c r="X143" s="46">
        <v>0.00275</v>
      </c>
      <c r="Y143" s="46">
        <v>0</v>
      </c>
      <c r="Z143" s="46">
        <v>0</v>
      </c>
      <c r="AA143" s="68">
        <v>143</v>
      </c>
      <c r="AB143" s="68"/>
      <c r="AC143" s="69"/>
      <c r="AD143" s="76" t="s">
        <v>1388</v>
      </c>
      <c r="AE143" s="80" t="s">
        <v>1695</v>
      </c>
      <c r="AF143" s="76">
        <v>24653</v>
      </c>
      <c r="AG143" s="76">
        <v>1449</v>
      </c>
      <c r="AH143" s="76">
        <v>8065</v>
      </c>
      <c r="AI143" s="76">
        <v>172</v>
      </c>
      <c r="AJ143" s="76">
        <v>5167</v>
      </c>
      <c r="AK143" s="76">
        <v>1208</v>
      </c>
      <c r="AL143" s="76" t="b">
        <v>0</v>
      </c>
      <c r="AM143" s="78">
        <v>39945.35023148148</v>
      </c>
      <c r="AN143" s="76" t="s">
        <v>1903</v>
      </c>
      <c r="AO143" s="76" t="s">
        <v>2176</v>
      </c>
      <c r="AP143" s="82" t="str">
        <f>HYPERLINK("https://t.co/SFqJBeuGNU")</f>
        <v>https://t.co/SFqJBeuGNU</v>
      </c>
      <c r="AQ143" s="82" t="str">
        <f>HYPERLINK("http://www.sll.fi")</f>
        <v>http://www.sll.fi</v>
      </c>
      <c r="AR143" s="76" t="s">
        <v>2447</v>
      </c>
      <c r="AS143" s="76"/>
      <c r="AT143" s="76"/>
      <c r="AU143" s="76"/>
      <c r="AV143" s="76"/>
      <c r="AW143" s="82" t="str">
        <f>HYPERLINK("https://t.co/SFqJBeuGNU")</f>
        <v>https://t.co/SFqJBeuGNU</v>
      </c>
      <c r="AX143" s="76" t="b">
        <v>0</v>
      </c>
      <c r="AY143" s="76"/>
      <c r="AZ143" s="76"/>
      <c r="BA143" s="76" t="b">
        <v>0</v>
      </c>
      <c r="BB143" s="76" t="b">
        <v>1</v>
      </c>
      <c r="BC143" s="76" t="b">
        <v>0</v>
      </c>
      <c r="BD143" s="76" t="b">
        <v>0</v>
      </c>
      <c r="BE143" s="76" t="b">
        <v>1</v>
      </c>
      <c r="BF143" s="76" t="b">
        <v>0</v>
      </c>
      <c r="BG143" s="76" t="b">
        <v>0</v>
      </c>
      <c r="BH143" s="82" t="str">
        <f>HYPERLINK("https://pbs.twimg.com/profile_banners/39460098/1684147293")</f>
        <v>https://pbs.twimg.com/profile_banners/39460098/1684147293</v>
      </c>
      <c r="BI143" s="76"/>
      <c r="BJ143" s="76" t="s">
        <v>2656</v>
      </c>
      <c r="BK143" s="76" t="b">
        <v>0</v>
      </c>
      <c r="BL143" s="76"/>
      <c r="BM143" s="76" t="s">
        <v>65</v>
      </c>
      <c r="BN143" s="76" t="s">
        <v>2657</v>
      </c>
      <c r="BO143" s="82" t="str">
        <f>HYPERLINK("https://twitter.com/luonnonsuojelu")</f>
        <v>https://twitter.com/luonnonsuojelu</v>
      </c>
      <c r="BP143" s="76" t="str">
        <f>REPLACE(INDEX(GroupVertices[Group],MATCH(Vertices[[#This Row],[Vertex]],GroupVertices[Vertex],0)),1,1,"")</f>
        <v>1</v>
      </c>
      <c r="BQ143" s="45"/>
      <c r="BR143" s="46"/>
      <c r="BS143" s="45"/>
      <c r="BT143" s="46"/>
      <c r="BU143" s="45"/>
      <c r="BV143" s="46"/>
      <c r="BW143" s="45"/>
      <c r="BX143" s="46"/>
      <c r="BY143" s="45"/>
      <c r="BZ143" s="45"/>
      <c r="CA143" s="45"/>
      <c r="CB143" s="45"/>
      <c r="CC143" s="45"/>
      <c r="CD143" s="45"/>
      <c r="CE143" s="45"/>
      <c r="CF143" s="45"/>
      <c r="CG143" s="45"/>
      <c r="CH143" s="45"/>
      <c r="CI143" s="45"/>
      <c r="CJ143" s="2"/>
    </row>
    <row r="144" spans="1:88" ht="15">
      <c r="A144" s="61" t="s">
        <v>394</v>
      </c>
      <c r="B144" s="62"/>
      <c r="C144" s="62"/>
      <c r="D144" s="63">
        <v>535</v>
      </c>
      <c r="E144" s="65"/>
      <c r="F144" s="100" t="str">
        <f>HYPERLINK("https://pbs.twimg.com/profile_images/1265546277594509317/DXm4XcZ7_normal.png")</f>
        <v>https://pbs.twimg.com/profile_images/1265546277594509317/DXm4XcZ7_normal.png</v>
      </c>
      <c r="G144" s="62"/>
      <c r="H144" s="66" t="s">
        <v>394</v>
      </c>
      <c r="I144" s="67"/>
      <c r="J144" s="67" t="s">
        <v>159</v>
      </c>
      <c r="K144" s="66" t="s">
        <v>2798</v>
      </c>
      <c r="L144" s="70">
        <v>477.0952380952381</v>
      </c>
      <c r="M144" s="71">
        <v>2131.359375</v>
      </c>
      <c r="N144" s="71">
        <v>2970.291259765625</v>
      </c>
      <c r="O144" s="72"/>
      <c r="P144" s="73"/>
      <c r="Q144" s="73"/>
      <c r="R144" s="86"/>
      <c r="S144" s="45">
        <v>1</v>
      </c>
      <c r="T144" s="45">
        <v>0</v>
      </c>
      <c r="U144" s="46">
        <v>0</v>
      </c>
      <c r="V144" s="46">
        <v>0.30765</v>
      </c>
      <c r="W144" s="46">
        <v>0.05663</v>
      </c>
      <c r="X144" s="46">
        <v>0.00275</v>
      </c>
      <c r="Y144" s="46">
        <v>0</v>
      </c>
      <c r="Z144" s="46">
        <v>0</v>
      </c>
      <c r="AA144" s="68">
        <v>144</v>
      </c>
      <c r="AB144" s="68"/>
      <c r="AC144" s="69"/>
      <c r="AD144" s="76" t="s">
        <v>1389</v>
      </c>
      <c r="AE144" s="80" t="s">
        <v>1696</v>
      </c>
      <c r="AF144" s="76">
        <v>19551</v>
      </c>
      <c r="AG144" s="76">
        <v>160</v>
      </c>
      <c r="AH144" s="76">
        <v>64189</v>
      </c>
      <c r="AI144" s="76">
        <v>150</v>
      </c>
      <c r="AJ144" s="76">
        <v>726</v>
      </c>
      <c r="AK144" s="76">
        <v>44</v>
      </c>
      <c r="AL144" s="76" t="b">
        <v>0</v>
      </c>
      <c r="AM144" s="78">
        <v>41673.31842592593</v>
      </c>
      <c r="AN144" s="76"/>
      <c r="AO144" s="76" t="s">
        <v>2177</v>
      </c>
      <c r="AP144" s="82" t="str">
        <f>HYPERLINK("https://t.co/ZuvUamE5xP")</f>
        <v>https://t.co/ZuvUamE5xP</v>
      </c>
      <c r="AQ144" s="82" t="str">
        <f>HYPERLINK("http://mt.fi")</f>
        <v>http://mt.fi</v>
      </c>
      <c r="AR144" s="76" t="s">
        <v>2450</v>
      </c>
      <c r="AS144" s="76"/>
      <c r="AT144" s="76"/>
      <c r="AU144" s="76"/>
      <c r="AV144" s="76"/>
      <c r="AW144" s="82" t="str">
        <f>HYPERLINK("https://t.co/ZuvUamE5xP")</f>
        <v>https://t.co/ZuvUamE5xP</v>
      </c>
      <c r="AX144" s="76" t="b">
        <v>0</v>
      </c>
      <c r="AY144" s="76"/>
      <c r="AZ144" s="76"/>
      <c r="BA144" s="76" t="b">
        <v>1</v>
      </c>
      <c r="BB144" s="76" t="b">
        <v>1</v>
      </c>
      <c r="BC144" s="76" t="b">
        <v>0</v>
      </c>
      <c r="BD144" s="76" t="b">
        <v>0</v>
      </c>
      <c r="BE144" s="76" t="b">
        <v>1</v>
      </c>
      <c r="BF144" s="76" t="b">
        <v>0</v>
      </c>
      <c r="BG144" s="76" t="b">
        <v>0</v>
      </c>
      <c r="BH144" s="82" t="str">
        <f>HYPERLINK("https://pbs.twimg.com/profile_banners/2325044053/1602064803")</f>
        <v>https://pbs.twimg.com/profile_banners/2325044053/1602064803</v>
      </c>
      <c r="BI144" s="76"/>
      <c r="BJ144" s="76" t="s">
        <v>2656</v>
      </c>
      <c r="BK144" s="76" t="b">
        <v>0</v>
      </c>
      <c r="BL144" s="76"/>
      <c r="BM144" s="76" t="s">
        <v>65</v>
      </c>
      <c r="BN144" s="76" t="s">
        <v>2657</v>
      </c>
      <c r="BO144" s="82" t="str">
        <f>HYPERLINK("https://twitter.com/maastul")</f>
        <v>https://twitter.com/maastul</v>
      </c>
      <c r="BP144" s="76" t="str">
        <f>REPLACE(INDEX(GroupVertices[Group],MATCH(Vertices[[#This Row],[Vertex]],GroupVertices[Vertex],0)),1,1,"")</f>
        <v>1</v>
      </c>
      <c r="BQ144" s="45"/>
      <c r="BR144" s="46"/>
      <c r="BS144" s="45"/>
      <c r="BT144" s="46"/>
      <c r="BU144" s="45"/>
      <c r="BV144" s="46"/>
      <c r="BW144" s="45"/>
      <c r="BX144" s="46"/>
      <c r="BY144" s="45"/>
      <c r="BZ144" s="45"/>
      <c r="CA144" s="45"/>
      <c r="CB144" s="45"/>
      <c r="CC144" s="45"/>
      <c r="CD144" s="45"/>
      <c r="CE144" s="45"/>
      <c r="CF144" s="45"/>
      <c r="CG144" s="45"/>
      <c r="CH144" s="45"/>
      <c r="CI144" s="45"/>
      <c r="CJ144" s="2"/>
    </row>
    <row r="145" spans="1:88" ht="15">
      <c r="A145" s="61" t="s">
        <v>395</v>
      </c>
      <c r="B145" s="62"/>
      <c r="C145" s="62"/>
      <c r="D145" s="63">
        <v>535</v>
      </c>
      <c r="E145" s="65"/>
      <c r="F145" s="100" t="str">
        <f>HYPERLINK("https://pbs.twimg.com/profile_images/1643354013964857345/sQLD9scJ_normal.jpg")</f>
        <v>https://pbs.twimg.com/profile_images/1643354013964857345/sQLD9scJ_normal.jpg</v>
      </c>
      <c r="G145" s="62"/>
      <c r="H145" s="66" t="s">
        <v>395</v>
      </c>
      <c r="I145" s="67"/>
      <c r="J145" s="67" t="s">
        <v>159</v>
      </c>
      <c r="K145" s="66" t="s">
        <v>2799</v>
      </c>
      <c r="L145" s="70">
        <v>477.0952380952381</v>
      </c>
      <c r="M145" s="71">
        <v>932.7435913085938</v>
      </c>
      <c r="N145" s="71">
        <v>5464.0068359375</v>
      </c>
      <c r="O145" s="72"/>
      <c r="P145" s="73"/>
      <c r="Q145" s="73"/>
      <c r="R145" s="86"/>
      <c r="S145" s="45">
        <v>1</v>
      </c>
      <c r="T145" s="45">
        <v>0</v>
      </c>
      <c r="U145" s="46">
        <v>0</v>
      </c>
      <c r="V145" s="46">
        <v>0.30765</v>
      </c>
      <c r="W145" s="46">
        <v>0.05663</v>
      </c>
      <c r="X145" s="46">
        <v>0.00275</v>
      </c>
      <c r="Y145" s="46">
        <v>0</v>
      </c>
      <c r="Z145" s="46">
        <v>0</v>
      </c>
      <c r="AA145" s="68">
        <v>145</v>
      </c>
      <c r="AB145" s="68"/>
      <c r="AC145" s="69"/>
      <c r="AD145" s="76" t="s">
        <v>1390</v>
      </c>
      <c r="AE145" s="80" t="s">
        <v>1697</v>
      </c>
      <c r="AF145" s="76">
        <v>99606</v>
      </c>
      <c r="AG145" s="76">
        <v>9008</v>
      </c>
      <c r="AH145" s="76">
        <v>30119</v>
      </c>
      <c r="AI145" s="76">
        <v>328</v>
      </c>
      <c r="AJ145" s="76">
        <v>40985</v>
      </c>
      <c r="AK145" s="76">
        <v>1392</v>
      </c>
      <c r="AL145" s="76" t="b">
        <v>0</v>
      </c>
      <c r="AM145" s="78">
        <v>41154.49048611111</v>
      </c>
      <c r="AN145" s="76" t="s">
        <v>1899</v>
      </c>
      <c r="AO145" s="76" t="s">
        <v>2178</v>
      </c>
      <c r="AP145" s="82" t="str">
        <f>HYPERLINK("https://t.co/gnktDlkzCi")</f>
        <v>https://t.co/gnktDlkzCi</v>
      </c>
      <c r="AQ145" s="82" t="str">
        <f>HYPERLINK("http://www.mariaohisalo.fi")</f>
        <v>http://www.mariaohisalo.fi</v>
      </c>
      <c r="AR145" s="76" t="s">
        <v>2451</v>
      </c>
      <c r="AS145" s="76"/>
      <c r="AT145" s="76"/>
      <c r="AU145" s="76"/>
      <c r="AV145" s="76"/>
      <c r="AW145" s="82" t="str">
        <f>HYPERLINK("https://t.co/gnktDlkzCi")</f>
        <v>https://t.co/gnktDlkzCi</v>
      </c>
      <c r="AX145" s="76" t="b">
        <v>0</v>
      </c>
      <c r="AY145" s="76"/>
      <c r="AZ145" s="76"/>
      <c r="BA145" s="76" t="b">
        <v>0</v>
      </c>
      <c r="BB145" s="76" t="b">
        <v>1</v>
      </c>
      <c r="BC145" s="76" t="b">
        <v>0</v>
      </c>
      <c r="BD145" s="76" t="b">
        <v>0</v>
      </c>
      <c r="BE145" s="76" t="b">
        <v>1</v>
      </c>
      <c r="BF145" s="76" t="b">
        <v>0</v>
      </c>
      <c r="BG145" s="76" t="b">
        <v>0</v>
      </c>
      <c r="BH145" s="82" t="str">
        <f>HYPERLINK("https://pbs.twimg.com/profile_banners/798095178/1674756663")</f>
        <v>https://pbs.twimg.com/profile_banners/798095178/1674756663</v>
      </c>
      <c r="BI145" s="76"/>
      <c r="BJ145" s="76" t="s">
        <v>2656</v>
      </c>
      <c r="BK145" s="76" t="b">
        <v>0</v>
      </c>
      <c r="BL145" s="76"/>
      <c r="BM145" s="76" t="s">
        <v>65</v>
      </c>
      <c r="BN145" s="76" t="s">
        <v>2657</v>
      </c>
      <c r="BO145" s="82" t="str">
        <f>HYPERLINK("https://twitter.com/mariaohisalo")</f>
        <v>https://twitter.com/mariaohisalo</v>
      </c>
      <c r="BP145" s="76" t="str">
        <f>REPLACE(INDEX(GroupVertices[Group],MATCH(Vertices[[#This Row],[Vertex]],GroupVertices[Vertex],0)),1,1,"")</f>
        <v>1</v>
      </c>
      <c r="BQ145" s="45"/>
      <c r="BR145" s="46"/>
      <c r="BS145" s="45"/>
      <c r="BT145" s="46"/>
      <c r="BU145" s="45"/>
      <c r="BV145" s="46"/>
      <c r="BW145" s="45"/>
      <c r="BX145" s="46"/>
      <c r="BY145" s="45"/>
      <c r="BZ145" s="45"/>
      <c r="CA145" s="45"/>
      <c r="CB145" s="45"/>
      <c r="CC145" s="45"/>
      <c r="CD145" s="45"/>
      <c r="CE145" s="45"/>
      <c r="CF145" s="45"/>
      <c r="CG145" s="45"/>
      <c r="CH145" s="45"/>
      <c r="CI145" s="45"/>
      <c r="CJ145" s="2"/>
    </row>
    <row r="146" spans="1:88" ht="15">
      <c r="A146" s="61" t="s">
        <v>396</v>
      </c>
      <c r="B146" s="62"/>
      <c r="C146" s="62"/>
      <c r="D146" s="63">
        <v>535</v>
      </c>
      <c r="E146" s="65"/>
      <c r="F146" s="100" t="str">
        <f>HYPERLINK("https://pbs.twimg.com/profile_images/1269233147834781696/lTI4Zxks_normal.jpg")</f>
        <v>https://pbs.twimg.com/profile_images/1269233147834781696/lTI4Zxks_normal.jpg</v>
      </c>
      <c r="G146" s="62"/>
      <c r="H146" s="66" t="s">
        <v>396</v>
      </c>
      <c r="I146" s="67"/>
      <c r="J146" s="67" t="s">
        <v>159</v>
      </c>
      <c r="K146" s="66" t="s">
        <v>2800</v>
      </c>
      <c r="L146" s="70">
        <v>477.0952380952381</v>
      </c>
      <c r="M146" s="71">
        <v>1343.921630859375</v>
      </c>
      <c r="N146" s="71">
        <v>8964.0751953125</v>
      </c>
      <c r="O146" s="72"/>
      <c r="P146" s="73"/>
      <c r="Q146" s="73"/>
      <c r="R146" s="86"/>
      <c r="S146" s="45">
        <v>1</v>
      </c>
      <c r="T146" s="45">
        <v>0</v>
      </c>
      <c r="U146" s="46">
        <v>0</v>
      </c>
      <c r="V146" s="46">
        <v>0.30765</v>
      </c>
      <c r="W146" s="46">
        <v>0.05663</v>
      </c>
      <c r="X146" s="46">
        <v>0.00275</v>
      </c>
      <c r="Y146" s="46">
        <v>0</v>
      </c>
      <c r="Z146" s="46">
        <v>0</v>
      </c>
      <c r="AA146" s="68">
        <v>146</v>
      </c>
      <c r="AB146" s="68"/>
      <c r="AC146" s="69"/>
      <c r="AD146" s="76" t="s">
        <v>1391</v>
      </c>
      <c r="AE146" s="80" t="s">
        <v>1698</v>
      </c>
      <c r="AF146" s="76">
        <v>12600</v>
      </c>
      <c r="AG146" s="76">
        <v>244</v>
      </c>
      <c r="AH146" s="76">
        <v>4222</v>
      </c>
      <c r="AI146" s="76">
        <v>84</v>
      </c>
      <c r="AJ146" s="76">
        <v>1365</v>
      </c>
      <c r="AK146" s="76">
        <v>1256</v>
      </c>
      <c r="AL146" s="76" t="b">
        <v>0</v>
      </c>
      <c r="AM146" s="78">
        <v>41205.41388888889</v>
      </c>
      <c r="AN146" s="76" t="s">
        <v>1932</v>
      </c>
      <c r="AO146" s="76" t="s">
        <v>2179</v>
      </c>
      <c r="AP146" s="82" t="str">
        <f>HYPERLINK("https://t.co/PCQFedgtI7")</f>
        <v>https://t.co/PCQFedgtI7</v>
      </c>
      <c r="AQ146" s="82" t="str">
        <f>HYPERLINK("http://www.metsa.fi")</f>
        <v>http://www.metsa.fi</v>
      </c>
      <c r="AR146" s="76" t="s">
        <v>2452</v>
      </c>
      <c r="AS146" s="76"/>
      <c r="AT146" s="76"/>
      <c r="AU146" s="76"/>
      <c r="AV146" s="76"/>
      <c r="AW146" s="82" t="str">
        <f>HYPERLINK("https://t.co/PCQFedgtI7")</f>
        <v>https://t.co/PCQFedgtI7</v>
      </c>
      <c r="AX146" s="76" t="b">
        <v>1</v>
      </c>
      <c r="AY146" s="76"/>
      <c r="AZ146" s="76"/>
      <c r="BA146" s="76" t="b">
        <v>0</v>
      </c>
      <c r="BB146" s="76" t="b">
        <v>1</v>
      </c>
      <c r="BC146" s="76" t="b">
        <v>0</v>
      </c>
      <c r="BD146" s="76" t="b">
        <v>0</v>
      </c>
      <c r="BE146" s="76" t="b">
        <v>0</v>
      </c>
      <c r="BF146" s="76" t="b">
        <v>0</v>
      </c>
      <c r="BG146" s="76" t="b">
        <v>0</v>
      </c>
      <c r="BH146" s="82" t="str">
        <f>HYPERLINK("https://pbs.twimg.com/profile_banners/899620201/1693031127")</f>
        <v>https://pbs.twimg.com/profile_banners/899620201/1693031127</v>
      </c>
      <c r="BI146" s="76"/>
      <c r="BJ146" s="76" t="s">
        <v>2656</v>
      </c>
      <c r="BK146" s="76" t="b">
        <v>0</v>
      </c>
      <c r="BL146" s="76"/>
      <c r="BM146" s="76" t="s">
        <v>65</v>
      </c>
      <c r="BN146" s="76" t="s">
        <v>2657</v>
      </c>
      <c r="BO146" s="82" t="str">
        <f>HYPERLINK("https://twitter.com/metsahallitus")</f>
        <v>https://twitter.com/metsahallitus</v>
      </c>
      <c r="BP146" s="76" t="str">
        <f>REPLACE(INDEX(GroupVertices[Group],MATCH(Vertices[[#This Row],[Vertex]],GroupVertices[Vertex],0)),1,1,"")</f>
        <v>1</v>
      </c>
      <c r="BQ146" s="45"/>
      <c r="BR146" s="46"/>
      <c r="BS146" s="45"/>
      <c r="BT146" s="46"/>
      <c r="BU146" s="45"/>
      <c r="BV146" s="46"/>
      <c r="BW146" s="45"/>
      <c r="BX146" s="46"/>
      <c r="BY146" s="45"/>
      <c r="BZ146" s="45"/>
      <c r="CA146" s="45"/>
      <c r="CB146" s="45"/>
      <c r="CC146" s="45"/>
      <c r="CD146" s="45"/>
      <c r="CE146" s="45"/>
      <c r="CF146" s="45"/>
      <c r="CG146" s="45"/>
      <c r="CH146" s="45"/>
      <c r="CI146" s="45"/>
      <c r="CJ146" s="2"/>
    </row>
    <row r="147" spans="1:88" ht="15">
      <c r="A147" s="61" t="s">
        <v>397</v>
      </c>
      <c r="B147" s="62"/>
      <c r="C147" s="62"/>
      <c r="D147" s="63">
        <v>535</v>
      </c>
      <c r="E147" s="65"/>
      <c r="F147" s="100" t="str">
        <f>HYPERLINK("https://pbs.twimg.com/profile_images/948089444782964736/vIkcLFlX_normal.jpg")</f>
        <v>https://pbs.twimg.com/profile_images/948089444782964736/vIkcLFlX_normal.jpg</v>
      </c>
      <c r="G147" s="62"/>
      <c r="H147" s="66" t="s">
        <v>397</v>
      </c>
      <c r="I147" s="67"/>
      <c r="J147" s="67" t="s">
        <v>159</v>
      </c>
      <c r="K147" s="66" t="s">
        <v>2801</v>
      </c>
      <c r="L147" s="70">
        <v>477.0952380952381</v>
      </c>
      <c r="M147" s="71">
        <v>114.10748291015625</v>
      </c>
      <c r="N147" s="71">
        <v>6071.7822265625</v>
      </c>
      <c r="O147" s="72"/>
      <c r="P147" s="73"/>
      <c r="Q147" s="73"/>
      <c r="R147" s="86"/>
      <c r="S147" s="45">
        <v>1</v>
      </c>
      <c r="T147" s="45">
        <v>0</v>
      </c>
      <c r="U147" s="46">
        <v>0</v>
      </c>
      <c r="V147" s="46">
        <v>0.30765</v>
      </c>
      <c r="W147" s="46">
        <v>0.05663</v>
      </c>
      <c r="X147" s="46">
        <v>0.00275</v>
      </c>
      <c r="Y147" s="46">
        <v>0</v>
      </c>
      <c r="Z147" s="46">
        <v>0</v>
      </c>
      <c r="AA147" s="68">
        <v>147</v>
      </c>
      <c r="AB147" s="68"/>
      <c r="AC147" s="69"/>
      <c r="AD147" s="76" t="s">
        <v>1392</v>
      </c>
      <c r="AE147" s="80" t="s">
        <v>1699</v>
      </c>
      <c r="AF147" s="76">
        <v>7540</v>
      </c>
      <c r="AG147" s="76">
        <v>487</v>
      </c>
      <c r="AH147" s="76">
        <v>4214</v>
      </c>
      <c r="AI147" s="76">
        <v>56</v>
      </c>
      <c r="AJ147" s="76">
        <v>4336</v>
      </c>
      <c r="AK147" s="76">
        <v>877</v>
      </c>
      <c r="AL147" s="76" t="b">
        <v>0</v>
      </c>
      <c r="AM147" s="78">
        <v>41355.5415625</v>
      </c>
      <c r="AN147" s="76" t="s">
        <v>1933</v>
      </c>
      <c r="AO147" s="76" t="s">
        <v>2180</v>
      </c>
      <c r="AP147" s="82" t="str">
        <f>HYPERLINK("https://t.co/ZNCcCtid62")</f>
        <v>https://t.co/ZNCcCtid62</v>
      </c>
      <c r="AQ147" s="82" t="str">
        <f>HYPERLINK("http://www.metsakeskus.fi")</f>
        <v>http://www.metsakeskus.fi</v>
      </c>
      <c r="AR147" s="76" t="s">
        <v>2453</v>
      </c>
      <c r="AS147" s="76"/>
      <c r="AT147" s="76"/>
      <c r="AU147" s="76"/>
      <c r="AV147" s="76"/>
      <c r="AW147" s="82" t="str">
        <f>HYPERLINK("https://t.co/ZNCcCtid62")</f>
        <v>https://t.co/ZNCcCtid62</v>
      </c>
      <c r="AX147" s="76" t="b">
        <v>0</v>
      </c>
      <c r="AY147" s="76"/>
      <c r="AZ147" s="76"/>
      <c r="BA147" s="76" t="b">
        <v>0</v>
      </c>
      <c r="BB147" s="76" t="b">
        <v>1</v>
      </c>
      <c r="BC147" s="76" t="b">
        <v>1</v>
      </c>
      <c r="BD147" s="76" t="b">
        <v>0</v>
      </c>
      <c r="BE147" s="76" t="b">
        <v>1</v>
      </c>
      <c r="BF147" s="76" t="b">
        <v>0</v>
      </c>
      <c r="BG147" s="76" t="b">
        <v>0</v>
      </c>
      <c r="BH147" s="82" t="str">
        <f>HYPERLINK("https://pbs.twimg.com/profile_banners/1288642801/1662535504")</f>
        <v>https://pbs.twimg.com/profile_banners/1288642801/1662535504</v>
      </c>
      <c r="BI147" s="76"/>
      <c r="BJ147" s="76" t="s">
        <v>2656</v>
      </c>
      <c r="BK147" s="76" t="b">
        <v>0</v>
      </c>
      <c r="BL147" s="76"/>
      <c r="BM147" s="76" t="s">
        <v>65</v>
      </c>
      <c r="BN147" s="76" t="s">
        <v>2657</v>
      </c>
      <c r="BO147" s="82" t="str">
        <f>HYPERLINK("https://twitter.com/metsakeskus")</f>
        <v>https://twitter.com/metsakeskus</v>
      </c>
      <c r="BP147" s="76" t="str">
        <f>REPLACE(INDEX(GroupVertices[Group],MATCH(Vertices[[#This Row],[Vertex]],GroupVertices[Vertex],0)),1,1,"")</f>
        <v>1</v>
      </c>
      <c r="BQ147" s="45"/>
      <c r="BR147" s="46"/>
      <c r="BS147" s="45"/>
      <c r="BT147" s="46"/>
      <c r="BU147" s="45"/>
      <c r="BV147" s="46"/>
      <c r="BW147" s="45"/>
      <c r="BX147" s="46"/>
      <c r="BY147" s="45"/>
      <c r="BZ147" s="45"/>
      <c r="CA147" s="45"/>
      <c r="CB147" s="45"/>
      <c r="CC147" s="45"/>
      <c r="CD147" s="45"/>
      <c r="CE147" s="45"/>
      <c r="CF147" s="45"/>
      <c r="CG147" s="45"/>
      <c r="CH147" s="45"/>
      <c r="CI147" s="45"/>
      <c r="CJ147" s="2"/>
    </row>
    <row r="148" spans="1:88" ht="15">
      <c r="A148" s="61" t="s">
        <v>398</v>
      </c>
      <c r="B148" s="62"/>
      <c r="C148" s="62"/>
      <c r="D148" s="63">
        <v>535</v>
      </c>
      <c r="E148" s="65"/>
      <c r="F148" s="100" t="str">
        <f>HYPERLINK("https://pbs.twimg.com/profile_images/1306904235523690498/E3wsJk47_normal.jpg")</f>
        <v>https://pbs.twimg.com/profile_images/1306904235523690498/E3wsJk47_normal.jpg</v>
      </c>
      <c r="G148" s="62"/>
      <c r="H148" s="66" t="s">
        <v>398</v>
      </c>
      <c r="I148" s="67"/>
      <c r="J148" s="67" t="s">
        <v>159</v>
      </c>
      <c r="K148" s="66" t="s">
        <v>2802</v>
      </c>
      <c r="L148" s="70">
        <v>477.0952380952381</v>
      </c>
      <c r="M148" s="71">
        <v>538.5372314453125</v>
      </c>
      <c r="N148" s="71">
        <v>4323.142578125</v>
      </c>
      <c r="O148" s="72"/>
      <c r="P148" s="73"/>
      <c r="Q148" s="73"/>
      <c r="R148" s="86"/>
      <c r="S148" s="45">
        <v>1</v>
      </c>
      <c r="T148" s="45">
        <v>0</v>
      </c>
      <c r="U148" s="46">
        <v>0</v>
      </c>
      <c r="V148" s="46">
        <v>0.30765</v>
      </c>
      <c r="W148" s="46">
        <v>0.05663</v>
      </c>
      <c r="X148" s="46">
        <v>0.00275</v>
      </c>
      <c r="Y148" s="46">
        <v>0</v>
      </c>
      <c r="Z148" s="46">
        <v>0</v>
      </c>
      <c r="AA148" s="68">
        <v>148</v>
      </c>
      <c r="AB148" s="68"/>
      <c r="AC148" s="69"/>
      <c r="AD148" s="76" t="s">
        <v>1393</v>
      </c>
      <c r="AE148" s="80" t="s">
        <v>1700</v>
      </c>
      <c r="AF148" s="76">
        <v>18501</v>
      </c>
      <c r="AG148" s="76">
        <v>11060</v>
      </c>
      <c r="AH148" s="76">
        <v>18456</v>
      </c>
      <c r="AI148" s="76">
        <v>252</v>
      </c>
      <c r="AJ148" s="76">
        <v>4358</v>
      </c>
      <c r="AK148" s="76">
        <v>3139</v>
      </c>
      <c r="AL148" s="76" t="b">
        <v>0</v>
      </c>
      <c r="AM148" s="78">
        <v>39549.43991898148</v>
      </c>
      <c r="AN148" s="76" t="s">
        <v>1903</v>
      </c>
      <c r="AO148" s="76" t="s">
        <v>2181</v>
      </c>
      <c r="AP148" s="82" t="str">
        <f>HYPERLINK("https://t.co/MHXOZewN6U")</f>
        <v>https://t.co/MHXOZewN6U</v>
      </c>
      <c r="AQ148" s="82" t="str">
        <f>HYPERLINK("http://www.greenpeace.fi")</f>
        <v>http://www.greenpeace.fi</v>
      </c>
      <c r="AR148" s="76" t="s">
        <v>2454</v>
      </c>
      <c r="AS148" s="76"/>
      <c r="AT148" s="76"/>
      <c r="AU148" s="76"/>
      <c r="AV148" s="76"/>
      <c r="AW148" s="82" t="str">
        <f>HYPERLINK("https://t.co/MHXOZewN6U")</f>
        <v>https://t.co/MHXOZewN6U</v>
      </c>
      <c r="AX148" s="76" t="b">
        <v>0</v>
      </c>
      <c r="AY148" s="76"/>
      <c r="AZ148" s="76"/>
      <c r="BA148" s="76" t="b">
        <v>0</v>
      </c>
      <c r="BB148" s="76" t="b">
        <v>1</v>
      </c>
      <c r="BC148" s="76" t="b">
        <v>0</v>
      </c>
      <c r="BD148" s="76" t="b">
        <v>0</v>
      </c>
      <c r="BE148" s="76" t="b">
        <v>1</v>
      </c>
      <c r="BF148" s="76" t="b">
        <v>0</v>
      </c>
      <c r="BG148" s="76" t="b">
        <v>0</v>
      </c>
      <c r="BH148" s="82" t="str">
        <f>HYPERLINK("https://pbs.twimg.com/profile_banners/14359778/1679228713")</f>
        <v>https://pbs.twimg.com/profile_banners/14359778/1679228713</v>
      </c>
      <c r="BI148" s="76"/>
      <c r="BJ148" s="76" t="s">
        <v>2656</v>
      </c>
      <c r="BK148" s="76" t="b">
        <v>0</v>
      </c>
      <c r="BL148" s="76"/>
      <c r="BM148" s="76" t="s">
        <v>65</v>
      </c>
      <c r="BN148" s="76" t="s">
        <v>2657</v>
      </c>
      <c r="BO148" s="82" t="str">
        <f>HYPERLINK("https://twitter.com/greenpeacesuomi")</f>
        <v>https://twitter.com/greenpeacesuomi</v>
      </c>
      <c r="BP148" s="76" t="str">
        <f>REPLACE(INDEX(GroupVertices[Group],MATCH(Vertices[[#This Row],[Vertex]],GroupVertices[Vertex],0)),1,1,"")</f>
        <v>1</v>
      </c>
      <c r="BQ148" s="45"/>
      <c r="BR148" s="46"/>
      <c r="BS148" s="45"/>
      <c r="BT148" s="46"/>
      <c r="BU148" s="45"/>
      <c r="BV148" s="46"/>
      <c r="BW148" s="45"/>
      <c r="BX148" s="46"/>
      <c r="BY148" s="45"/>
      <c r="BZ148" s="45"/>
      <c r="CA148" s="45"/>
      <c r="CB148" s="45"/>
      <c r="CC148" s="45"/>
      <c r="CD148" s="45"/>
      <c r="CE148" s="45"/>
      <c r="CF148" s="45"/>
      <c r="CG148" s="45"/>
      <c r="CH148" s="45"/>
      <c r="CI148" s="45"/>
      <c r="CJ148" s="2"/>
    </row>
    <row r="149" spans="1:88" ht="15">
      <c r="A149" s="61" t="s">
        <v>399</v>
      </c>
      <c r="B149" s="62"/>
      <c r="C149" s="62"/>
      <c r="D149" s="63">
        <v>535</v>
      </c>
      <c r="E149" s="65"/>
      <c r="F149" s="100" t="str">
        <f>HYPERLINK("https://pbs.twimg.com/profile_images/1306536613858684928/uIbShJ2q_normal.jpg")</f>
        <v>https://pbs.twimg.com/profile_images/1306536613858684928/uIbShJ2q_normal.jpg</v>
      </c>
      <c r="G149" s="62"/>
      <c r="H149" s="66" t="s">
        <v>399</v>
      </c>
      <c r="I149" s="67"/>
      <c r="J149" s="67" t="s">
        <v>159</v>
      </c>
      <c r="K149" s="66" t="s">
        <v>2803</v>
      </c>
      <c r="L149" s="70">
        <v>477.0952380952381</v>
      </c>
      <c r="M149" s="71">
        <v>3824.4677734375</v>
      </c>
      <c r="N149" s="71">
        <v>6902.73095703125</v>
      </c>
      <c r="O149" s="72"/>
      <c r="P149" s="73"/>
      <c r="Q149" s="73"/>
      <c r="R149" s="86"/>
      <c r="S149" s="45">
        <v>1</v>
      </c>
      <c r="T149" s="45">
        <v>0</v>
      </c>
      <c r="U149" s="46">
        <v>0</v>
      </c>
      <c r="V149" s="46">
        <v>0.30765</v>
      </c>
      <c r="W149" s="46">
        <v>0.05663</v>
      </c>
      <c r="X149" s="46">
        <v>0.00275</v>
      </c>
      <c r="Y149" s="46">
        <v>0</v>
      </c>
      <c r="Z149" s="46">
        <v>0</v>
      </c>
      <c r="AA149" s="68">
        <v>149</v>
      </c>
      <c r="AB149" s="68"/>
      <c r="AC149" s="69"/>
      <c r="AD149" s="76" t="s">
        <v>1394</v>
      </c>
      <c r="AE149" s="80" t="s">
        <v>1701</v>
      </c>
      <c r="AF149" s="76">
        <v>20774</v>
      </c>
      <c r="AG149" s="76">
        <v>2393</v>
      </c>
      <c r="AH149" s="76">
        <v>17931</v>
      </c>
      <c r="AI149" s="76">
        <v>155</v>
      </c>
      <c r="AJ149" s="76">
        <v>10798</v>
      </c>
      <c r="AK149" s="76">
        <v>6340</v>
      </c>
      <c r="AL149" s="76" t="b">
        <v>0</v>
      </c>
      <c r="AM149" s="78">
        <v>41969.438206018516</v>
      </c>
      <c r="AN149" s="76" t="s">
        <v>1929</v>
      </c>
      <c r="AO149" s="76" t="s">
        <v>2182</v>
      </c>
      <c r="AP149" s="82" t="str">
        <f>HYPERLINK("https://t.co/ci8fTVmjjb")</f>
        <v>https://t.co/ci8fTVmjjb</v>
      </c>
      <c r="AQ149" s="82" t="str">
        <f>HYPERLINK("http://www.luke.fi")</f>
        <v>http://www.luke.fi</v>
      </c>
      <c r="AR149" s="76" t="s">
        <v>2455</v>
      </c>
      <c r="AS149" s="76"/>
      <c r="AT149" s="76"/>
      <c r="AU149" s="76"/>
      <c r="AV149" s="76"/>
      <c r="AW149" s="82" t="str">
        <f>HYPERLINK("https://t.co/ci8fTVmjjb")</f>
        <v>https://t.co/ci8fTVmjjb</v>
      </c>
      <c r="AX149" s="76" t="b">
        <v>0</v>
      </c>
      <c r="AY149" s="76"/>
      <c r="AZ149" s="76"/>
      <c r="BA149" s="76" t="b">
        <v>0</v>
      </c>
      <c r="BB149" s="76" t="b">
        <v>0</v>
      </c>
      <c r="BC149" s="76" t="b">
        <v>0</v>
      </c>
      <c r="BD149" s="76" t="b">
        <v>0</v>
      </c>
      <c r="BE149" s="76" t="b">
        <v>1</v>
      </c>
      <c r="BF149" s="76" t="b">
        <v>0</v>
      </c>
      <c r="BG149" s="76" t="b">
        <v>0</v>
      </c>
      <c r="BH149" s="82" t="str">
        <f>HYPERLINK("https://pbs.twimg.com/profile_banners/2893201804/1651148874")</f>
        <v>https://pbs.twimg.com/profile_banners/2893201804/1651148874</v>
      </c>
      <c r="BI149" s="76"/>
      <c r="BJ149" s="76" t="s">
        <v>2656</v>
      </c>
      <c r="BK149" s="76" t="b">
        <v>0</v>
      </c>
      <c r="BL149" s="76"/>
      <c r="BM149" s="76" t="s">
        <v>65</v>
      </c>
      <c r="BN149" s="76" t="s">
        <v>2657</v>
      </c>
      <c r="BO149" s="82" t="str">
        <f>HYPERLINK("https://twitter.com/lukefinland")</f>
        <v>https://twitter.com/lukefinland</v>
      </c>
      <c r="BP149" s="76" t="str">
        <f>REPLACE(INDEX(GroupVertices[Group],MATCH(Vertices[[#This Row],[Vertex]],GroupVertices[Vertex],0)),1,1,"")</f>
        <v>1</v>
      </c>
      <c r="BQ149" s="45"/>
      <c r="BR149" s="46"/>
      <c r="BS149" s="45"/>
      <c r="BT149" s="46"/>
      <c r="BU149" s="45"/>
      <c r="BV149" s="46"/>
      <c r="BW149" s="45"/>
      <c r="BX149" s="46"/>
      <c r="BY149" s="45"/>
      <c r="BZ149" s="45"/>
      <c r="CA149" s="45"/>
      <c r="CB149" s="45"/>
      <c r="CC149" s="45"/>
      <c r="CD149" s="45"/>
      <c r="CE149" s="45"/>
      <c r="CF149" s="45"/>
      <c r="CG149" s="45"/>
      <c r="CH149" s="45"/>
      <c r="CI149" s="45"/>
      <c r="CJ149" s="2"/>
    </row>
    <row r="150" spans="1:88" ht="15">
      <c r="A150" s="61" t="s">
        <v>400</v>
      </c>
      <c r="B150" s="62"/>
      <c r="C150" s="62"/>
      <c r="D150" s="63">
        <v>535</v>
      </c>
      <c r="E150" s="65"/>
      <c r="F150" s="100" t="str">
        <f>HYPERLINK("https://pbs.twimg.com/profile_images/1642637146770100225/2rJWn8_m_normal.jpg")</f>
        <v>https://pbs.twimg.com/profile_images/1642637146770100225/2rJWn8_m_normal.jpg</v>
      </c>
      <c r="G150" s="62"/>
      <c r="H150" s="66" t="s">
        <v>400</v>
      </c>
      <c r="I150" s="67"/>
      <c r="J150" s="67" t="s">
        <v>159</v>
      </c>
      <c r="K150" s="66" t="s">
        <v>2804</v>
      </c>
      <c r="L150" s="70">
        <v>477.0952380952381</v>
      </c>
      <c r="M150" s="71">
        <v>3351.039794921875</v>
      </c>
      <c r="N150" s="71">
        <v>3580.60986328125</v>
      </c>
      <c r="O150" s="72"/>
      <c r="P150" s="73"/>
      <c r="Q150" s="73"/>
      <c r="R150" s="86"/>
      <c r="S150" s="45">
        <v>1</v>
      </c>
      <c r="T150" s="45">
        <v>0</v>
      </c>
      <c r="U150" s="46">
        <v>0</v>
      </c>
      <c r="V150" s="46">
        <v>0.30765</v>
      </c>
      <c r="W150" s="46">
        <v>0.05663</v>
      </c>
      <c r="X150" s="46">
        <v>0.00275</v>
      </c>
      <c r="Y150" s="46">
        <v>0</v>
      </c>
      <c r="Z150" s="46">
        <v>0</v>
      </c>
      <c r="AA150" s="68">
        <v>150</v>
      </c>
      <c r="AB150" s="68"/>
      <c r="AC150" s="69"/>
      <c r="AD150" s="76" t="s">
        <v>1395</v>
      </c>
      <c r="AE150" s="80" t="s">
        <v>1702</v>
      </c>
      <c r="AF150" s="76">
        <v>3657</v>
      </c>
      <c r="AG150" s="76">
        <v>2902</v>
      </c>
      <c r="AH150" s="76">
        <v>5988</v>
      </c>
      <c r="AI150" s="76">
        <v>27</v>
      </c>
      <c r="AJ150" s="76">
        <v>14433</v>
      </c>
      <c r="AK150" s="76">
        <v>756</v>
      </c>
      <c r="AL150" s="76" t="b">
        <v>0</v>
      </c>
      <c r="AM150" s="78">
        <v>42060.91258101852</v>
      </c>
      <c r="AN150" s="76" t="s">
        <v>1934</v>
      </c>
      <c r="AO150" s="76" t="s">
        <v>2183</v>
      </c>
      <c r="AP150" s="76"/>
      <c r="AQ150" s="76"/>
      <c r="AR150" s="76"/>
      <c r="AS150" s="76"/>
      <c r="AT150" s="76"/>
      <c r="AU150" s="76"/>
      <c r="AV150" s="76"/>
      <c r="AW150" s="76"/>
      <c r="AX150" s="76" t="b">
        <v>1</v>
      </c>
      <c r="AY150" s="76"/>
      <c r="AZ150" s="76"/>
      <c r="BA150" s="76" t="b">
        <v>0</v>
      </c>
      <c r="BB150" s="76" t="b">
        <v>1</v>
      </c>
      <c r="BC150" s="76" t="b">
        <v>1</v>
      </c>
      <c r="BD150" s="76" t="b">
        <v>0</v>
      </c>
      <c r="BE150" s="76" t="b">
        <v>0</v>
      </c>
      <c r="BF150" s="76" t="b">
        <v>0</v>
      </c>
      <c r="BG150" s="76" t="b">
        <v>0</v>
      </c>
      <c r="BH150" s="82" t="str">
        <f>HYPERLINK("https://pbs.twimg.com/profile_banners/3063489125/1474126958")</f>
        <v>https://pbs.twimg.com/profile_banners/3063489125/1474126958</v>
      </c>
      <c r="BI150" s="76"/>
      <c r="BJ150" s="76" t="s">
        <v>2656</v>
      </c>
      <c r="BK150" s="76" t="b">
        <v>0</v>
      </c>
      <c r="BL150" s="76"/>
      <c r="BM150" s="76" t="s">
        <v>65</v>
      </c>
      <c r="BN150" s="76" t="s">
        <v>2657</v>
      </c>
      <c r="BO150" s="82" t="str">
        <f>HYPERLINK("https://twitter.com/harriholtta")</f>
        <v>https://twitter.com/harriholtta</v>
      </c>
      <c r="BP150" s="76" t="str">
        <f>REPLACE(INDEX(GroupVertices[Group],MATCH(Vertices[[#This Row],[Vertex]],GroupVertices[Vertex],0)),1,1,"")</f>
        <v>1</v>
      </c>
      <c r="BQ150" s="45"/>
      <c r="BR150" s="46"/>
      <c r="BS150" s="45"/>
      <c r="BT150" s="46"/>
      <c r="BU150" s="45"/>
      <c r="BV150" s="46"/>
      <c r="BW150" s="45"/>
      <c r="BX150" s="46"/>
      <c r="BY150" s="45"/>
      <c r="BZ150" s="45"/>
      <c r="CA150" s="45"/>
      <c r="CB150" s="45"/>
      <c r="CC150" s="45"/>
      <c r="CD150" s="45"/>
      <c r="CE150" s="45"/>
      <c r="CF150" s="45"/>
      <c r="CG150" s="45"/>
      <c r="CH150" s="45"/>
      <c r="CI150" s="45"/>
      <c r="CJ150" s="2"/>
    </row>
    <row r="151" spans="1:88" ht="15">
      <c r="A151" s="61" t="s">
        <v>401</v>
      </c>
      <c r="B151" s="62"/>
      <c r="C151" s="62"/>
      <c r="D151" s="63">
        <v>535</v>
      </c>
      <c r="E151" s="65"/>
      <c r="F151" s="100" t="str">
        <f>HYPERLINK("https://pbs.twimg.com/profile_images/1395344763201769475/8TYEWUMR_normal.jpg")</f>
        <v>https://pbs.twimg.com/profile_images/1395344763201769475/8TYEWUMR_normal.jpg</v>
      </c>
      <c r="G151" s="62"/>
      <c r="H151" s="66" t="s">
        <v>401</v>
      </c>
      <c r="I151" s="67"/>
      <c r="J151" s="67" t="s">
        <v>159</v>
      </c>
      <c r="K151" s="66" t="s">
        <v>2805</v>
      </c>
      <c r="L151" s="70">
        <v>477.0952380952381</v>
      </c>
      <c r="M151" s="71">
        <v>517.6107788085938</v>
      </c>
      <c r="N151" s="71">
        <v>5888.4326171875</v>
      </c>
      <c r="O151" s="72"/>
      <c r="P151" s="73"/>
      <c r="Q151" s="73"/>
      <c r="R151" s="86"/>
      <c r="S151" s="45">
        <v>1</v>
      </c>
      <c r="T151" s="45">
        <v>0</v>
      </c>
      <c r="U151" s="46">
        <v>0</v>
      </c>
      <c r="V151" s="46">
        <v>0.30765</v>
      </c>
      <c r="W151" s="46">
        <v>0.05663</v>
      </c>
      <c r="X151" s="46">
        <v>0.00275</v>
      </c>
      <c r="Y151" s="46">
        <v>0</v>
      </c>
      <c r="Z151" s="46">
        <v>0</v>
      </c>
      <c r="AA151" s="68">
        <v>151</v>
      </c>
      <c r="AB151" s="68"/>
      <c r="AC151" s="69"/>
      <c r="AD151" s="76" t="s">
        <v>1396</v>
      </c>
      <c r="AE151" s="80" t="s">
        <v>1703</v>
      </c>
      <c r="AF151" s="76">
        <v>1270</v>
      </c>
      <c r="AG151" s="76">
        <v>161</v>
      </c>
      <c r="AH151" s="76">
        <v>139</v>
      </c>
      <c r="AI151" s="76">
        <v>5</v>
      </c>
      <c r="AJ151" s="76">
        <v>47</v>
      </c>
      <c r="AK151" s="76">
        <v>17</v>
      </c>
      <c r="AL151" s="76" t="b">
        <v>0</v>
      </c>
      <c r="AM151" s="78">
        <v>44336.489120370374</v>
      </c>
      <c r="AN151" s="76"/>
      <c r="AO151" s="76" t="s">
        <v>2184</v>
      </c>
      <c r="AP151" s="82" t="str">
        <f>HYPERLINK("https://t.co/9Nr2FPw3kd")</f>
        <v>https://t.co/9Nr2FPw3kd</v>
      </c>
      <c r="AQ151" s="82" t="str">
        <f>HYPERLINK("http://www.luonnonperintosaatio.fi")</f>
        <v>http://www.luonnonperintosaatio.fi</v>
      </c>
      <c r="AR151" s="76" t="s">
        <v>2456</v>
      </c>
      <c r="AS151" s="76"/>
      <c r="AT151" s="76"/>
      <c r="AU151" s="76"/>
      <c r="AV151" s="76"/>
      <c r="AW151" s="82" t="str">
        <f>HYPERLINK("https://t.co/9Nr2FPw3kd")</f>
        <v>https://t.co/9Nr2FPw3kd</v>
      </c>
      <c r="AX151" s="76" t="b">
        <v>0</v>
      </c>
      <c r="AY151" s="76"/>
      <c r="AZ151" s="76"/>
      <c r="BA151" s="76" t="b">
        <v>0</v>
      </c>
      <c r="BB151" s="76" t="b">
        <v>1</v>
      </c>
      <c r="BC151" s="76" t="b">
        <v>1</v>
      </c>
      <c r="BD151" s="76" t="b">
        <v>0</v>
      </c>
      <c r="BE151" s="76" t="b">
        <v>0</v>
      </c>
      <c r="BF151" s="76" t="b">
        <v>0</v>
      </c>
      <c r="BG151" s="76" t="b">
        <v>0</v>
      </c>
      <c r="BH151" s="82" t="str">
        <f>HYPERLINK("https://pbs.twimg.com/profile_banners/1395344601540710402/1649183614")</f>
        <v>https://pbs.twimg.com/profile_banners/1395344601540710402/1649183614</v>
      </c>
      <c r="BI151" s="76"/>
      <c r="BJ151" s="76" t="s">
        <v>2656</v>
      </c>
      <c r="BK151" s="76" t="b">
        <v>0</v>
      </c>
      <c r="BL151" s="76"/>
      <c r="BM151" s="76" t="s">
        <v>65</v>
      </c>
      <c r="BN151" s="76" t="s">
        <v>2657</v>
      </c>
      <c r="BO151" s="82" t="str">
        <f>HYPERLINK("https://twitter.com/luonnonperinto")</f>
        <v>https://twitter.com/luonnonperinto</v>
      </c>
      <c r="BP151" s="76" t="str">
        <f>REPLACE(INDEX(GroupVertices[Group],MATCH(Vertices[[#This Row],[Vertex]],GroupVertices[Vertex],0)),1,1,"")</f>
        <v>1</v>
      </c>
      <c r="BQ151" s="45"/>
      <c r="BR151" s="46"/>
      <c r="BS151" s="45"/>
      <c r="BT151" s="46"/>
      <c r="BU151" s="45"/>
      <c r="BV151" s="46"/>
      <c r="BW151" s="45"/>
      <c r="BX151" s="46"/>
      <c r="BY151" s="45"/>
      <c r="BZ151" s="45"/>
      <c r="CA151" s="45"/>
      <c r="CB151" s="45"/>
      <c r="CC151" s="45"/>
      <c r="CD151" s="45"/>
      <c r="CE151" s="45"/>
      <c r="CF151" s="45"/>
      <c r="CG151" s="45"/>
      <c r="CH151" s="45"/>
      <c r="CI151" s="45"/>
      <c r="CJ151" s="2"/>
    </row>
    <row r="152" spans="1:88" ht="15">
      <c r="A152" s="61" t="s">
        <v>402</v>
      </c>
      <c r="B152" s="62"/>
      <c r="C152" s="62"/>
      <c r="D152" s="63">
        <v>535</v>
      </c>
      <c r="E152" s="65"/>
      <c r="F152" s="100" t="str">
        <f>HYPERLINK("https://pbs.twimg.com/profile_images/459575772466798592/mTVc687G_normal.jpeg")</f>
        <v>https://pbs.twimg.com/profile_images/459575772466798592/mTVc687G_normal.jpeg</v>
      </c>
      <c r="G152" s="62"/>
      <c r="H152" s="66" t="s">
        <v>402</v>
      </c>
      <c r="I152" s="67"/>
      <c r="J152" s="67" t="s">
        <v>159</v>
      </c>
      <c r="K152" s="66" t="s">
        <v>2806</v>
      </c>
      <c r="L152" s="70">
        <v>477.0952380952381</v>
      </c>
      <c r="M152" s="71">
        <v>3058.0966796875</v>
      </c>
      <c r="N152" s="71">
        <v>3310.323486328125</v>
      </c>
      <c r="O152" s="72"/>
      <c r="P152" s="73"/>
      <c r="Q152" s="73"/>
      <c r="R152" s="86"/>
      <c r="S152" s="45">
        <v>1</v>
      </c>
      <c r="T152" s="45">
        <v>0</v>
      </c>
      <c r="U152" s="46">
        <v>0</v>
      </c>
      <c r="V152" s="46">
        <v>0.30765</v>
      </c>
      <c r="W152" s="46">
        <v>0.05663</v>
      </c>
      <c r="X152" s="46">
        <v>0.00275</v>
      </c>
      <c r="Y152" s="46">
        <v>0</v>
      </c>
      <c r="Z152" s="46">
        <v>0</v>
      </c>
      <c r="AA152" s="68">
        <v>152</v>
      </c>
      <c r="AB152" s="68"/>
      <c r="AC152" s="69"/>
      <c r="AD152" s="76" t="s">
        <v>1397</v>
      </c>
      <c r="AE152" s="80" t="s">
        <v>1704</v>
      </c>
      <c r="AF152" s="76">
        <v>9950</v>
      </c>
      <c r="AG152" s="76">
        <v>331</v>
      </c>
      <c r="AH152" s="76">
        <v>5394</v>
      </c>
      <c r="AI152" s="76">
        <v>213</v>
      </c>
      <c r="AJ152" s="76">
        <v>4607</v>
      </c>
      <c r="AK152" s="76">
        <v>1270</v>
      </c>
      <c r="AL152" s="76" t="b">
        <v>0</v>
      </c>
      <c r="AM152" s="78">
        <v>41020.84003472222</v>
      </c>
      <c r="AN152" s="76" t="s">
        <v>1935</v>
      </c>
      <c r="AO152" s="76" t="s">
        <v>2185</v>
      </c>
      <c r="AP152" s="82" t="str">
        <f>HYPERLINK("https://t.co/lzexHUipVy")</f>
        <v>https://t.co/lzexHUipVy</v>
      </c>
      <c r="AQ152" s="82" t="str">
        <f>HYPERLINK("http://www.awi.de/impressum/")</f>
        <v>http://www.awi.de/impressum/</v>
      </c>
      <c r="AR152" s="76" t="s">
        <v>2457</v>
      </c>
      <c r="AS152" s="76"/>
      <c r="AT152" s="76"/>
      <c r="AU152" s="76"/>
      <c r="AV152" s="76">
        <v>1.68711618374363E+18</v>
      </c>
      <c r="AW152" s="82" t="str">
        <f>HYPERLINK("https://t.co/lzexHUipVy")</f>
        <v>https://t.co/lzexHUipVy</v>
      </c>
      <c r="AX152" s="76" t="b">
        <v>0</v>
      </c>
      <c r="AY152" s="76"/>
      <c r="AZ152" s="76"/>
      <c r="BA152" s="76" t="b">
        <v>1</v>
      </c>
      <c r="BB152" s="76" t="b">
        <v>0</v>
      </c>
      <c r="BC152" s="76" t="b">
        <v>0</v>
      </c>
      <c r="BD152" s="76" t="b">
        <v>0</v>
      </c>
      <c r="BE152" s="76" t="b">
        <v>1</v>
      </c>
      <c r="BF152" s="76" t="b">
        <v>0</v>
      </c>
      <c r="BG152" s="76" t="b">
        <v>0</v>
      </c>
      <c r="BH152" s="82" t="str">
        <f>HYPERLINK("https://pbs.twimg.com/profile_banners/559838809/1646666136")</f>
        <v>https://pbs.twimg.com/profile_banners/559838809/1646666136</v>
      </c>
      <c r="BI152" s="76"/>
      <c r="BJ152" s="76" t="s">
        <v>2656</v>
      </c>
      <c r="BK152" s="76" t="b">
        <v>0</v>
      </c>
      <c r="BL152" s="76"/>
      <c r="BM152" s="76" t="s">
        <v>65</v>
      </c>
      <c r="BN152" s="76" t="s">
        <v>2657</v>
      </c>
      <c r="BO152" s="82" t="str">
        <f>HYPERLINK("https://twitter.com/awi_de")</f>
        <v>https://twitter.com/awi_de</v>
      </c>
      <c r="BP152" s="76" t="str">
        <f>REPLACE(INDEX(GroupVertices[Group],MATCH(Vertices[[#This Row],[Vertex]],GroupVertices[Vertex],0)),1,1,"")</f>
        <v>1</v>
      </c>
      <c r="BQ152" s="45"/>
      <c r="BR152" s="46"/>
      <c r="BS152" s="45"/>
      <c r="BT152" s="46"/>
      <c r="BU152" s="45"/>
      <c r="BV152" s="46"/>
      <c r="BW152" s="45"/>
      <c r="BX152" s="46"/>
      <c r="BY152" s="45"/>
      <c r="BZ152" s="45"/>
      <c r="CA152" s="45"/>
      <c r="CB152" s="45"/>
      <c r="CC152" s="45"/>
      <c r="CD152" s="45"/>
      <c r="CE152" s="45"/>
      <c r="CF152" s="45"/>
      <c r="CG152" s="45"/>
      <c r="CH152" s="45"/>
      <c r="CI152" s="45"/>
      <c r="CJ152" s="2"/>
    </row>
    <row r="153" spans="1:88" ht="15">
      <c r="A153" s="61" t="s">
        <v>403</v>
      </c>
      <c r="B153" s="62"/>
      <c r="C153" s="62"/>
      <c r="D153" s="63">
        <v>535</v>
      </c>
      <c r="E153" s="65"/>
      <c r="F153" s="100" t="str">
        <f>HYPERLINK("https://pbs.twimg.com/profile_images/3518833317/ec5e9971e156a6b70b3005b0da991bc0_normal.jpeg")</f>
        <v>https://pbs.twimg.com/profile_images/3518833317/ec5e9971e156a6b70b3005b0da991bc0_normal.jpeg</v>
      </c>
      <c r="G153" s="62"/>
      <c r="H153" s="66" t="s">
        <v>403</v>
      </c>
      <c r="I153" s="67"/>
      <c r="J153" s="67" t="s">
        <v>159</v>
      </c>
      <c r="K153" s="66" t="s">
        <v>2807</v>
      </c>
      <c r="L153" s="70">
        <v>477.0952380952381</v>
      </c>
      <c r="M153" s="71">
        <v>2439.30517578125</v>
      </c>
      <c r="N153" s="71">
        <v>2988.445068359375</v>
      </c>
      <c r="O153" s="72"/>
      <c r="P153" s="73"/>
      <c r="Q153" s="73"/>
      <c r="R153" s="86"/>
      <c r="S153" s="45">
        <v>1</v>
      </c>
      <c r="T153" s="45">
        <v>0</v>
      </c>
      <c r="U153" s="46">
        <v>0</v>
      </c>
      <c r="V153" s="46">
        <v>0.30765</v>
      </c>
      <c r="W153" s="46">
        <v>0.05663</v>
      </c>
      <c r="X153" s="46">
        <v>0.00275</v>
      </c>
      <c r="Y153" s="46">
        <v>0</v>
      </c>
      <c r="Z153" s="46">
        <v>0</v>
      </c>
      <c r="AA153" s="68">
        <v>153</v>
      </c>
      <c r="AB153" s="68"/>
      <c r="AC153" s="69"/>
      <c r="AD153" s="76" t="s">
        <v>1398</v>
      </c>
      <c r="AE153" s="80" t="s">
        <v>1705</v>
      </c>
      <c r="AF153" s="76">
        <v>7656</v>
      </c>
      <c r="AG153" s="76">
        <v>109</v>
      </c>
      <c r="AH153" s="76">
        <v>5678</v>
      </c>
      <c r="AI153" s="76">
        <v>157</v>
      </c>
      <c r="AJ153" s="76">
        <v>4907</v>
      </c>
      <c r="AK153" s="76">
        <v>359</v>
      </c>
      <c r="AL153" s="76" t="b">
        <v>0</v>
      </c>
      <c r="AM153" s="78">
        <v>41229.77458333333</v>
      </c>
      <c r="AN153" s="76" t="s">
        <v>1936</v>
      </c>
      <c r="AO153" s="76" t="s">
        <v>2186</v>
      </c>
      <c r="AP153" s="82" t="str">
        <f>HYPERLINK("https://t.co/L1xPnJ4lgw")</f>
        <v>https://t.co/L1xPnJ4lgw</v>
      </c>
      <c r="AQ153" s="82" t="str">
        <f>HYPERLINK("https://www.awi.de/en/")</f>
        <v>https://www.awi.de/en/</v>
      </c>
      <c r="AR153" s="76" t="s">
        <v>2458</v>
      </c>
      <c r="AS153" s="76"/>
      <c r="AT153" s="76"/>
      <c r="AU153" s="76"/>
      <c r="AV153" s="76">
        <v>1.68711707273478E+18</v>
      </c>
      <c r="AW153" s="82" t="str">
        <f>HYPERLINK("https://t.co/L1xPnJ4lgw")</f>
        <v>https://t.co/L1xPnJ4lgw</v>
      </c>
      <c r="AX153" s="76" t="b">
        <v>0</v>
      </c>
      <c r="AY153" s="76"/>
      <c r="AZ153" s="76"/>
      <c r="BA153" s="76" t="b">
        <v>0</v>
      </c>
      <c r="BB153" s="76" t="b">
        <v>1</v>
      </c>
      <c r="BC153" s="76" t="b">
        <v>1</v>
      </c>
      <c r="BD153" s="76" t="b">
        <v>0</v>
      </c>
      <c r="BE153" s="76" t="b">
        <v>0</v>
      </c>
      <c r="BF153" s="76" t="b">
        <v>0</v>
      </c>
      <c r="BG153" s="76" t="b">
        <v>0</v>
      </c>
      <c r="BH153" s="82" t="str">
        <f>HYPERLINK("https://pbs.twimg.com/profile_banners/952202683/1646666165")</f>
        <v>https://pbs.twimg.com/profile_banners/952202683/1646666165</v>
      </c>
      <c r="BI153" s="76"/>
      <c r="BJ153" s="76" t="s">
        <v>2656</v>
      </c>
      <c r="BK153" s="76" t="b">
        <v>0</v>
      </c>
      <c r="BL153" s="76"/>
      <c r="BM153" s="76" t="s">
        <v>65</v>
      </c>
      <c r="BN153" s="76" t="s">
        <v>2657</v>
      </c>
      <c r="BO153" s="82" t="str">
        <f>HYPERLINK("https://twitter.com/awi_media")</f>
        <v>https://twitter.com/awi_media</v>
      </c>
      <c r="BP153" s="76" t="str">
        <f>REPLACE(INDEX(GroupVertices[Group],MATCH(Vertices[[#This Row],[Vertex]],GroupVertices[Vertex],0)),1,1,"")</f>
        <v>1</v>
      </c>
      <c r="BQ153" s="45"/>
      <c r="BR153" s="46"/>
      <c r="BS153" s="45"/>
      <c r="BT153" s="46"/>
      <c r="BU153" s="45"/>
      <c r="BV153" s="46"/>
      <c r="BW153" s="45"/>
      <c r="BX153" s="46"/>
      <c r="BY153" s="45"/>
      <c r="BZ153" s="45"/>
      <c r="CA153" s="45"/>
      <c r="CB153" s="45"/>
      <c r="CC153" s="45"/>
      <c r="CD153" s="45"/>
      <c r="CE153" s="45"/>
      <c r="CF153" s="45"/>
      <c r="CG153" s="45"/>
      <c r="CH153" s="45"/>
      <c r="CI153" s="45"/>
      <c r="CJ153" s="2"/>
    </row>
    <row r="154" spans="1:88" ht="15">
      <c r="A154" s="61" t="s">
        <v>404</v>
      </c>
      <c r="B154" s="62"/>
      <c r="C154" s="62"/>
      <c r="D154" s="63">
        <v>535</v>
      </c>
      <c r="E154" s="65"/>
      <c r="F154" s="100" t="str">
        <f>HYPERLINK("https://pbs.twimg.com/profile_images/1194751949821939712/3VBu4_Sa_normal.jpg")</f>
        <v>https://pbs.twimg.com/profile_images/1194751949821939712/3VBu4_Sa_normal.jpg</v>
      </c>
      <c r="G154" s="62"/>
      <c r="H154" s="66" t="s">
        <v>404</v>
      </c>
      <c r="I154" s="67"/>
      <c r="J154" s="67" t="s">
        <v>159</v>
      </c>
      <c r="K154" s="66" t="s">
        <v>2808</v>
      </c>
      <c r="L154" s="70">
        <v>477.0952380952381</v>
      </c>
      <c r="M154" s="71">
        <v>2134.896484375</v>
      </c>
      <c r="N154" s="71">
        <v>9360.134765625</v>
      </c>
      <c r="O154" s="72"/>
      <c r="P154" s="73"/>
      <c r="Q154" s="73"/>
      <c r="R154" s="86"/>
      <c r="S154" s="45">
        <v>1</v>
      </c>
      <c r="T154" s="45">
        <v>0</v>
      </c>
      <c r="U154" s="46">
        <v>0</v>
      </c>
      <c r="V154" s="46">
        <v>0.30765</v>
      </c>
      <c r="W154" s="46">
        <v>0.05663</v>
      </c>
      <c r="X154" s="46">
        <v>0.00275</v>
      </c>
      <c r="Y154" s="46">
        <v>0</v>
      </c>
      <c r="Z154" s="46">
        <v>0</v>
      </c>
      <c r="AA154" s="68">
        <v>154</v>
      </c>
      <c r="AB154" s="68"/>
      <c r="AC154" s="69"/>
      <c r="AD154" s="76" t="s">
        <v>1399</v>
      </c>
      <c r="AE154" s="80" t="s">
        <v>1706</v>
      </c>
      <c r="AF154" s="76">
        <v>25695853</v>
      </c>
      <c r="AG154" s="76">
        <v>1238</v>
      </c>
      <c r="AH154" s="76">
        <v>1059875</v>
      </c>
      <c r="AI154" s="76">
        <v>137494</v>
      </c>
      <c r="AJ154" s="76">
        <v>737</v>
      </c>
      <c r="AK154" s="76">
        <v>819365</v>
      </c>
      <c r="AL154" s="76" t="b">
        <v>0</v>
      </c>
      <c r="AM154" s="78">
        <v>39161.740335648145</v>
      </c>
      <c r="AN154" s="76" t="s">
        <v>1937</v>
      </c>
      <c r="AO154" s="76" t="s">
        <v>2187</v>
      </c>
      <c r="AP154" s="82" t="str">
        <f>HYPERLINK("https://t.co/U9AvHD5r3e")</f>
        <v>https://t.co/U9AvHD5r3e</v>
      </c>
      <c r="AQ154" s="82" t="str">
        <f>HYPERLINK("http://www.reuters.com")</f>
        <v>http://www.reuters.com</v>
      </c>
      <c r="AR154" s="76" t="s">
        <v>2459</v>
      </c>
      <c r="AS154" s="82" t="str">
        <f>HYPERLINK("https://t.co/KO0QFy0d3a")</f>
        <v>https://t.co/KO0QFy0d3a</v>
      </c>
      <c r="AT154" s="82" t="str">
        <f>HYPERLINK("http://rwn.app.link/social")</f>
        <v>http://rwn.app.link/social</v>
      </c>
      <c r="AU154" s="76" t="s">
        <v>2630</v>
      </c>
      <c r="AV154" s="76"/>
      <c r="AW154" s="82" t="str">
        <f>HYPERLINK("https://t.co/U9AvHD5r3e")</f>
        <v>https://t.co/U9AvHD5r3e</v>
      </c>
      <c r="AX154" s="76" t="b">
        <v>0</v>
      </c>
      <c r="AY154" s="76"/>
      <c r="AZ154" s="76"/>
      <c r="BA154" s="76" t="b">
        <v>0</v>
      </c>
      <c r="BB154" s="76" t="b">
        <v>1</v>
      </c>
      <c r="BC154" s="76" t="b">
        <v>0</v>
      </c>
      <c r="BD154" s="76" t="b">
        <v>0</v>
      </c>
      <c r="BE154" s="76" t="b">
        <v>1</v>
      </c>
      <c r="BF154" s="76" t="b">
        <v>0</v>
      </c>
      <c r="BG154" s="76" t="b">
        <v>0</v>
      </c>
      <c r="BH154" s="82" t="str">
        <f>HYPERLINK("https://pbs.twimg.com/profile_banners/1652541/1573687397")</f>
        <v>https://pbs.twimg.com/profile_banners/1652541/1573687397</v>
      </c>
      <c r="BI154" s="76"/>
      <c r="BJ154" s="76" t="s">
        <v>2655</v>
      </c>
      <c r="BK154" s="76" t="b">
        <v>0</v>
      </c>
      <c r="BL154" s="76"/>
      <c r="BM154" s="76" t="s">
        <v>65</v>
      </c>
      <c r="BN154" s="76" t="s">
        <v>2657</v>
      </c>
      <c r="BO154" s="82" t="str">
        <f>HYPERLINK("https://twitter.com/reuters")</f>
        <v>https://twitter.com/reuters</v>
      </c>
      <c r="BP154" s="76" t="str">
        <f>REPLACE(INDEX(GroupVertices[Group],MATCH(Vertices[[#This Row],[Vertex]],GroupVertices[Vertex],0)),1,1,"")</f>
        <v>1</v>
      </c>
      <c r="BQ154" s="45"/>
      <c r="BR154" s="46"/>
      <c r="BS154" s="45"/>
      <c r="BT154" s="46"/>
      <c r="BU154" s="45"/>
      <c r="BV154" s="46"/>
      <c r="BW154" s="45"/>
      <c r="BX154" s="46"/>
      <c r="BY154" s="45"/>
      <c r="BZ154" s="45"/>
      <c r="CA154" s="45"/>
      <c r="CB154" s="45"/>
      <c r="CC154" s="45"/>
      <c r="CD154" s="45"/>
      <c r="CE154" s="45"/>
      <c r="CF154" s="45"/>
      <c r="CG154" s="45"/>
      <c r="CH154" s="45"/>
      <c r="CI154" s="45"/>
      <c r="CJ154" s="2"/>
    </row>
    <row r="155" spans="1:88" ht="15">
      <c r="A155" s="61" t="s">
        <v>405</v>
      </c>
      <c r="B155" s="62"/>
      <c r="C155" s="62"/>
      <c r="D155" s="63">
        <v>535</v>
      </c>
      <c r="E155" s="65"/>
      <c r="F155" s="100" t="str">
        <f>HYPERLINK("https://pbs.twimg.com/profile_images/1313209820829364227/w7QOEeQh_normal.jpg")</f>
        <v>https://pbs.twimg.com/profile_images/1313209820829364227/w7QOEeQh_normal.jpg</v>
      </c>
      <c r="G155" s="62"/>
      <c r="H155" s="66" t="s">
        <v>405</v>
      </c>
      <c r="I155" s="67"/>
      <c r="J155" s="67" t="s">
        <v>159</v>
      </c>
      <c r="K155" s="66" t="s">
        <v>2809</v>
      </c>
      <c r="L155" s="70">
        <v>477.0952380952381</v>
      </c>
      <c r="M155" s="71">
        <v>3925.56591796875</v>
      </c>
      <c r="N155" s="71">
        <v>6213.20947265625</v>
      </c>
      <c r="O155" s="72"/>
      <c r="P155" s="73"/>
      <c r="Q155" s="73"/>
      <c r="R155" s="86"/>
      <c r="S155" s="45">
        <v>1</v>
      </c>
      <c r="T155" s="45">
        <v>0</v>
      </c>
      <c r="U155" s="46">
        <v>0</v>
      </c>
      <c r="V155" s="46">
        <v>0.30765</v>
      </c>
      <c r="W155" s="46">
        <v>0.05663</v>
      </c>
      <c r="X155" s="46">
        <v>0.00275</v>
      </c>
      <c r="Y155" s="46">
        <v>0</v>
      </c>
      <c r="Z155" s="46">
        <v>0</v>
      </c>
      <c r="AA155" s="68">
        <v>155</v>
      </c>
      <c r="AB155" s="68"/>
      <c r="AC155" s="69"/>
      <c r="AD155" s="76" t="s">
        <v>1400</v>
      </c>
      <c r="AE155" s="80" t="s">
        <v>1707</v>
      </c>
      <c r="AF155" s="76">
        <v>11137</v>
      </c>
      <c r="AG155" s="76">
        <v>674</v>
      </c>
      <c r="AH155" s="76">
        <v>3138</v>
      </c>
      <c r="AI155" s="76">
        <v>10</v>
      </c>
      <c r="AJ155" s="76">
        <v>15739</v>
      </c>
      <c r="AK155" s="76">
        <v>2070</v>
      </c>
      <c r="AL155" s="76" t="b">
        <v>0</v>
      </c>
      <c r="AM155" s="78">
        <v>42747.696539351855</v>
      </c>
      <c r="AN155" s="76"/>
      <c r="AO155" s="76" t="s">
        <v>2188</v>
      </c>
      <c r="AP155" s="82" t="str">
        <f>HYPERLINK("https://t.co/5utkuT6eD5")</f>
        <v>https://t.co/5utkuT6eD5</v>
      </c>
      <c r="AQ155" s="82" t="str">
        <f>HYPERLINK("http://www.lafuerzadelcorazon.net")</f>
        <v>http://www.lafuerzadelcorazon.net</v>
      </c>
      <c r="AR155" s="76" t="s">
        <v>2460</v>
      </c>
      <c r="AS155" s="76"/>
      <c r="AT155" s="76"/>
      <c r="AU155" s="76"/>
      <c r="AV155" s="76">
        <v>1.326476037233E+18</v>
      </c>
      <c r="AW155" s="82" t="str">
        <f>HYPERLINK("https://t.co/5utkuT6eD5")</f>
        <v>https://t.co/5utkuT6eD5</v>
      </c>
      <c r="AX155" s="76" t="b">
        <v>0</v>
      </c>
      <c r="AY155" s="76"/>
      <c r="AZ155" s="76"/>
      <c r="BA155" s="76" t="b">
        <v>0</v>
      </c>
      <c r="BB155" s="76" t="b">
        <v>1</v>
      </c>
      <c r="BC155" s="76" t="b">
        <v>1</v>
      </c>
      <c r="BD155" s="76" t="b">
        <v>0</v>
      </c>
      <c r="BE155" s="76" t="b">
        <v>1</v>
      </c>
      <c r="BF155" s="76" t="b">
        <v>0</v>
      </c>
      <c r="BG155" s="76" t="b">
        <v>0</v>
      </c>
      <c r="BH155" s="82" t="str">
        <f>HYPERLINK("https://pbs.twimg.com/profile_banners/819585482636062721/1591484826")</f>
        <v>https://pbs.twimg.com/profile_banners/819585482636062721/1591484826</v>
      </c>
      <c r="BI155" s="76"/>
      <c r="BJ155" s="76" t="s">
        <v>2656</v>
      </c>
      <c r="BK155" s="76" t="b">
        <v>0</v>
      </c>
      <c r="BL155" s="76"/>
      <c r="BM155" s="76" t="s">
        <v>65</v>
      </c>
      <c r="BN155" s="76" t="s">
        <v>2657</v>
      </c>
      <c r="BO155" s="82" t="str">
        <f>HYPERLINK("https://twitter.com/lfdcesmas")</f>
        <v>https://twitter.com/lfdcesmas</v>
      </c>
      <c r="BP155" s="76" t="str">
        <f>REPLACE(INDEX(GroupVertices[Group],MATCH(Vertices[[#This Row],[Vertex]],GroupVertices[Vertex],0)),1,1,"")</f>
        <v>1</v>
      </c>
      <c r="BQ155" s="45"/>
      <c r="BR155" s="46"/>
      <c r="BS155" s="45"/>
      <c r="BT155" s="46"/>
      <c r="BU155" s="45"/>
      <c r="BV155" s="46"/>
      <c r="BW155" s="45"/>
      <c r="BX155" s="46"/>
      <c r="BY155" s="45"/>
      <c r="BZ155" s="45"/>
      <c r="CA155" s="45"/>
      <c r="CB155" s="45"/>
      <c r="CC155" s="45"/>
      <c r="CD155" s="45"/>
      <c r="CE155" s="45"/>
      <c r="CF155" s="45"/>
      <c r="CG155" s="45"/>
      <c r="CH155" s="45"/>
      <c r="CI155" s="45"/>
      <c r="CJ155" s="2"/>
    </row>
    <row r="156" spans="1:88" ht="15">
      <c r="A156" s="61" t="s">
        <v>406</v>
      </c>
      <c r="B156" s="62"/>
      <c r="C156" s="62"/>
      <c r="D156" s="63">
        <v>535</v>
      </c>
      <c r="E156" s="65"/>
      <c r="F156" s="100" t="str">
        <f>HYPERLINK("https://pbs.twimg.com/profile_images/511379777941299200/w3LL0Mzt_normal.png")</f>
        <v>https://pbs.twimg.com/profile_images/511379777941299200/w3LL0Mzt_normal.png</v>
      </c>
      <c r="G156" s="62"/>
      <c r="H156" s="66" t="s">
        <v>406</v>
      </c>
      <c r="I156" s="67"/>
      <c r="J156" s="67" t="s">
        <v>159</v>
      </c>
      <c r="K156" s="66" t="s">
        <v>2810</v>
      </c>
      <c r="L156" s="70">
        <v>477.0952380952381</v>
      </c>
      <c r="M156" s="71">
        <v>1330.8939208984375</v>
      </c>
      <c r="N156" s="71">
        <v>9552.1552734375</v>
      </c>
      <c r="O156" s="72"/>
      <c r="P156" s="73"/>
      <c r="Q156" s="73"/>
      <c r="R156" s="86"/>
      <c r="S156" s="45">
        <v>1</v>
      </c>
      <c r="T156" s="45">
        <v>0</v>
      </c>
      <c r="U156" s="46">
        <v>0</v>
      </c>
      <c r="V156" s="46">
        <v>0.30765</v>
      </c>
      <c r="W156" s="46">
        <v>0.05663</v>
      </c>
      <c r="X156" s="46">
        <v>0.00275</v>
      </c>
      <c r="Y156" s="46">
        <v>0</v>
      </c>
      <c r="Z156" s="46">
        <v>0</v>
      </c>
      <c r="AA156" s="68">
        <v>156</v>
      </c>
      <c r="AB156" s="68"/>
      <c r="AC156" s="69"/>
      <c r="AD156" s="76" t="s">
        <v>1401</v>
      </c>
      <c r="AE156" s="80" t="s">
        <v>1708</v>
      </c>
      <c r="AF156" s="76">
        <v>64525</v>
      </c>
      <c r="AG156" s="76">
        <v>200</v>
      </c>
      <c r="AH156" s="76">
        <v>9515</v>
      </c>
      <c r="AI156" s="76">
        <v>948</v>
      </c>
      <c r="AJ156" s="76">
        <v>3087</v>
      </c>
      <c r="AK156" s="76">
        <v>7842</v>
      </c>
      <c r="AL156" s="76" t="b">
        <v>0</v>
      </c>
      <c r="AM156" s="78">
        <v>40916.19666666666</v>
      </c>
      <c r="AN156" s="76" t="s">
        <v>1938</v>
      </c>
      <c r="AO156" s="76" t="s">
        <v>2189</v>
      </c>
      <c r="AP156" s="82" t="str">
        <f>HYPERLINK("https://t.co/jsLzIWI1l3")</f>
        <v>https://t.co/jsLzIWI1l3</v>
      </c>
      <c r="AQ156" s="82" t="str">
        <f>HYPERLINK("http://siberiantimes.com")</f>
        <v>http://siberiantimes.com</v>
      </c>
      <c r="AR156" s="76" t="s">
        <v>2461</v>
      </c>
      <c r="AS156" s="76"/>
      <c r="AT156" s="76"/>
      <c r="AU156" s="76"/>
      <c r="AV156" s="76"/>
      <c r="AW156" s="82" t="str">
        <f>HYPERLINK("https://t.co/jsLzIWI1l3")</f>
        <v>https://t.co/jsLzIWI1l3</v>
      </c>
      <c r="AX156" s="76" t="b">
        <v>0</v>
      </c>
      <c r="AY156" s="76"/>
      <c r="AZ156" s="76"/>
      <c r="BA156" s="76" t="b">
        <v>1</v>
      </c>
      <c r="BB156" s="76" t="b">
        <v>1</v>
      </c>
      <c r="BC156" s="76" t="b">
        <v>0</v>
      </c>
      <c r="BD156" s="76" t="b">
        <v>0</v>
      </c>
      <c r="BE156" s="76" t="b">
        <v>0</v>
      </c>
      <c r="BF156" s="76" t="b">
        <v>0</v>
      </c>
      <c r="BG156" s="76" t="b">
        <v>0</v>
      </c>
      <c r="BH156" s="82" t="str">
        <f>HYPERLINK("https://pbs.twimg.com/profile_banners/458077039/1594759315")</f>
        <v>https://pbs.twimg.com/profile_banners/458077039/1594759315</v>
      </c>
      <c r="BI156" s="76"/>
      <c r="BJ156" s="76" t="s">
        <v>2656</v>
      </c>
      <c r="BK156" s="76" t="b">
        <v>0</v>
      </c>
      <c r="BL156" s="76"/>
      <c r="BM156" s="76" t="s">
        <v>65</v>
      </c>
      <c r="BN156" s="76" t="s">
        <v>2657</v>
      </c>
      <c r="BO156" s="82" t="str">
        <f>HYPERLINK("https://twitter.com/siberian_times")</f>
        <v>https://twitter.com/siberian_times</v>
      </c>
      <c r="BP156" s="76" t="str">
        <f>REPLACE(INDEX(GroupVertices[Group],MATCH(Vertices[[#This Row],[Vertex]],GroupVertices[Vertex],0)),1,1,"")</f>
        <v>1</v>
      </c>
      <c r="BQ156" s="45"/>
      <c r="BR156" s="46"/>
      <c r="BS156" s="45"/>
      <c r="BT156" s="46"/>
      <c r="BU156" s="45"/>
      <c r="BV156" s="46"/>
      <c r="BW156" s="45"/>
      <c r="BX156" s="46"/>
      <c r="BY156" s="45"/>
      <c r="BZ156" s="45"/>
      <c r="CA156" s="45"/>
      <c r="CB156" s="45"/>
      <c r="CC156" s="45"/>
      <c r="CD156" s="45"/>
      <c r="CE156" s="45"/>
      <c r="CF156" s="45"/>
      <c r="CG156" s="45"/>
      <c r="CH156" s="45"/>
      <c r="CI156" s="45"/>
      <c r="CJ156" s="2"/>
    </row>
    <row r="157" spans="1:88" ht="15">
      <c r="A157" s="61" t="s">
        <v>407</v>
      </c>
      <c r="B157" s="62"/>
      <c r="C157" s="62"/>
      <c r="D157" s="63">
        <v>535</v>
      </c>
      <c r="E157" s="65"/>
      <c r="F157" s="100" t="str">
        <f>HYPERLINK("https://pbs.twimg.com/profile_images/1668994160379019264/xQTT2Qhl_normal.jpg")</f>
        <v>https://pbs.twimg.com/profile_images/1668994160379019264/xQTT2Qhl_normal.jpg</v>
      </c>
      <c r="G157" s="62"/>
      <c r="H157" s="66" t="s">
        <v>407</v>
      </c>
      <c r="I157" s="67"/>
      <c r="J157" s="67" t="s">
        <v>159</v>
      </c>
      <c r="K157" s="66" t="s">
        <v>2811</v>
      </c>
      <c r="L157" s="70">
        <v>477.0952380952381</v>
      </c>
      <c r="M157" s="71">
        <v>1111.3154296875</v>
      </c>
      <c r="N157" s="71">
        <v>4096.48291015625</v>
      </c>
      <c r="O157" s="72"/>
      <c r="P157" s="73"/>
      <c r="Q157" s="73"/>
      <c r="R157" s="86"/>
      <c r="S157" s="45">
        <v>1</v>
      </c>
      <c r="T157" s="45">
        <v>0</v>
      </c>
      <c r="U157" s="46">
        <v>0</v>
      </c>
      <c r="V157" s="46">
        <v>0.30765</v>
      </c>
      <c r="W157" s="46">
        <v>0.05663</v>
      </c>
      <c r="X157" s="46">
        <v>0.00275</v>
      </c>
      <c r="Y157" s="46">
        <v>0</v>
      </c>
      <c r="Z157" s="46">
        <v>0</v>
      </c>
      <c r="AA157" s="68">
        <v>157</v>
      </c>
      <c r="AB157" s="68"/>
      <c r="AC157" s="69"/>
      <c r="AD157" s="76" t="s">
        <v>1402</v>
      </c>
      <c r="AE157" s="80" t="s">
        <v>1709</v>
      </c>
      <c r="AF157" s="76">
        <v>19687746</v>
      </c>
      <c r="AG157" s="76">
        <v>4834</v>
      </c>
      <c r="AH157" s="76">
        <v>31280</v>
      </c>
      <c r="AI157" s="76">
        <v>29543</v>
      </c>
      <c r="AJ157" s="76">
        <v>26377</v>
      </c>
      <c r="AK157" s="76">
        <v>2922</v>
      </c>
      <c r="AL157" s="76" t="b">
        <v>0</v>
      </c>
      <c r="AM157" s="78">
        <v>39961.72332175926</v>
      </c>
      <c r="AN157" s="76"/>
      <c r="AO157" s="76" t="s">
        <v>2190</v>
      </c>
      <c r="AP157" s="82" t="str">
        <f>HYPERLINK("https://t.co/W6u8Cd2s6z")</f>
        <v>https://t.co/W6u8Cd2s6z</v>
      </c>
      <c r="AQ157" s="82" t="str">
        <f>HYPERLINK("http://www.alejandrosanz.com")</f>
        <v>http://www.alejandrosanz.com</v>
      </c>
      <c r="AR157" s="76" t="s">
        <v>2462</v>
      </c>
      <c r="AS157" s="82" t="str">
        <f>HYPERLINK("https://t.co/gReVjyTIm1")</f>
        <v>https://t.co/gReVjyTIm1</v>
      </c>
      <c r="AT157" s="82" t="str">
        <f>HYPERLINK("https://www.alejandrosanz.com/events")</f>
        <v>https://www.alejandrosanz.com/events</v>
      </c>
      <c r="AU157" s="76" t="s">
        <v>2631</v>
      </c>
      <c r="AV157" s="76"/>
      <c r="AW157" s="82" t="str">
        <f>HYPERLINK("https://t.co/W6u8Cd2s6z")</f>
        <v>https://t.co/W6u8Cd2s6z</v>
      </c>
      <c r="AX157" s="76" t="b">
        <v>1</v>
      </c>
      <c r="AY157" s="76"/>
      <c r="AZ157" s="76"/>
      <c r="BA157" s="76" t="b">
        <v>0</v>
      </c>
      <c r="BB157" s="76" t="b">
        <v>1</v>
      </c>
      <c r="BC157" s="76" t="b">
        <v>0</v>
      </c>
      <c r="BD157" s="76" t="b">
        <v>0</v>
      </c>
      <c r="BE157" s="76" t="b">
        <v>1</v>
      </c>
      <c r="BF157" s="76" t="b">
        <v>0</v>
      </c>
      <c r="BG157" s="76" t="b">
        <v>0</v>
      </c>
      <c r="BH157" s="82" t="str">
        <f>HYPERLINK("https://pbs.twimg.com/profile_banners/43152482/1686754202")</f>
        <v>https://pbs.twimg.com/profile_banners/43152482/1686754202</v>
      </c>
      <c r="BI157" s="76"/>
      <c r="BJ157" s="76" t="s">
        <v>2656</v>
      </c>
      <c r="BK157" s="76" t="b">
        <v>0</v>
      </c>
      <c r="BL157" s="76"/>
      <c r="BM157" s="76" t="s">
        <v>65</v>
      </c>
      <c r="BN157" s="76" t="s">
        <v>2657</v>
      </c>
      <c r="BO157" s="82" t="str">
        <f>HYPERLINK("https://twitter.com/alejandrosanz")</f>
        <v>https://twitter.com/alejandrosanz</v>
      </c>
      <c r="BP157" s="76" t="str">
        <f>REPLACE(INDEX(GroupVertices[Group],MATCH(Vertices[[#This Row],[Vertex]],GroupVertices[Vertex],0)),1,1,"")</f>
        <v>1</v>
      </c>
      <c r="BQ157" s="45"/>
      <c r="BR157" s="46"/>
      <c r="BS157" s="45"/>
      <c r="BT157" s="46"/>
      <c r="BU157" s="45"/>
      <c r="BV157" s="46"/>
      <c r="BW157" s="45"/>
      <c r="BX157" s="46"/>
      <c r="BY157" s="45"/>
      <c r="BZ157" s="45"/>
      <c r="CA157" s="45"/>
      <c r="CB157" s="45"/>
      <c r="CC157" s="45"/>
      <c r="CD157" s="45"/>
      <c r="CE157" s="45"/>
      <c r="CF157" s="45"/>
      <c r="CG157" s="45"/>
      <c r="CH157" s="45"/>
      <c r="CI157" s="45"/>
      <c r="CJ157" s="2"/>
    </row>
    <row r="158" spans="1:88" ht="15">
      <c r="A158" s="61" t="s">
        <v>408</v>
      </c>
      <c r="B158" s="62"/>
      <c r="C158" s="62"/>
      <c r="D158" s="63">
        <v>535</v>
      </c>
      <c r="E158" s="65"/>
      <c r="F158" s="100" t="str">
        <f>HYPERLINK("https://pbs.twimg.com/profile_images/1679032016535273473/E8X-EX8S_normal.png")</f>
        <v>https://pbs.twimg.com/profile_images/1679032016535273473/E8X-EX8S_normal.png</v>
      </c>
      <c r="G158" s="62"/>
      <c r="H158" s="66" t="s">
        <v>408</v>
      </c>
      <c r="I158" s="67"/>
      <c r="J158" s="67" t="s">
        <v>159</v>
      </c>
      <c r="K158" s="66" t="s">
        <v>2812</v>
      </c>
      <c r="L158" s="70">
        <v>477.0952380952381</v>
      </c>
      <c r="M158" s="71">
        <v>563.4402465820312</v>
      </c>
      <c r="N158" s="71">
        <v>5136.58447265625</v>
      </c>
      <c r="O158" s="72"/>
      <c r="P158" s="73"/>
      <c r="Q158" s="73"/>
      <c r="R158" s="86"/>
      <c r="S158" s="45">
        <v>1</v>
      </c>
      <c r="T158" s="45">
        <v>0</v>
      </c>
      <c r="U158" s="46">
        <v>0</v>
      </c>
      <c r="V158" s="46">
        <v>0.30765</v>
      </c>
      <c r="W158" s="46">
        <v>0.05663</v>
      </c>
      <c r="X158" s="46">
        <v>0.00275</v>
      </c>
      <c r="Y158" s="46">
        <v>0</v>
      </c>
      <c r="Z158" s="46">
        <v>0</v>
      </c>
      <c r="AA158" s="68">
        <v>158</v>
      </c>
      <c r="AB158" s="68"/>
      <c r="AC158" s="69"/>
      <c r="AD158" s="76" t="s">
        <v>1403</v>
      </c>
      <c r="AE158" s="80" t="s">
        <v>1710</v>
      </c>
      <c r="AF158" s="76">
        <v>605306</v>
      </c>
      <c r="AG158" s="76">
        <v>1841</v>
      </c>
      <c r="AH158" s="76">
        <v>58128</v>
      </c>
      <c r="AI158" s="76">
        <v>5693</v>
      </c>
      <c r="AJ158" s="76">
        <v>30994</v>
      </c>
      <c r="AK158" s="76">
        <v>9074</v>
      </c>
      <c r="AL158" s="76" t="b">
        <v>0</v>
      </c>
      <c r="AM158" s="78">
        <v>39430.57611111111</v>
      </c>
      <c r="AN158" s="76" t="s">
        <v>1939</v>
      </c>
      <c r="AO158" s="76" t="s">
        <v>2191</v>
      </c>
      <c r="AP158" s="82" t="str">
        <f>HYPERLINK("https://t.co/K5PA6hXHzr")</f>
        <v>https://t.co/K5PA6hXHzr</v>
      </c>
      <c r="AQ158" s="82" t="str">
        <f>HYPERLINK("http://www.greenpeace.es")</f>
        <v>http://www.greenpeace.es</v>
      </c>
      <c r="AR158" s="76" t="s">
        <v>2463</v>
      </c>
      <c r="AS158" s="76"/>
      <c r="AT158" s="76"/>
      <c r="AU158" s="76"/>
      <c r="AV158" s="76">
        <v>1.70114541966374E+18</v>
      </c>
      <c r="AW158" s="82" t="str">
        <f>HYPERLINK("https://t.co/K5PA6hXHzr")</f>
        <v>https://t.co/K5PA6hXHzr</v>
      </c>
      <c r="AX158" s="76" t="b">
        <v>0</v>
      </c>
      <c r="AY158" s="76"/>
      <c r="AZ158" s="76"/>
      <c r="BA158" s="76" t="b">
        <v>0</v>
      </c>
      <c r="BB158" s="76" t="b">
        <v>1</v>
      </c>
      <c r="BC158" s="76" t="b">
        <v>0</v>
      </c>
      <c r="BD158" s="76" t="b">
        <v>0</v>
      </c>
      <c r="BE158" s="76" t="b">
        <v>1</v>
      </c>
      <c r="BF158" s="76" t="b">
        <v>0</v>
      </c>
      <c r="BG158" s="76" t="b">
        <v>0</v>
      </c>
      <c r="BH158" s="82" t="str">
        <f>HYPERLINK("https://pbs.twimg.com/profile_banners/11162772/1671100698")</f>
        <v>https://pbs.twimg.com/profile_banners/11162772/1671100698</v>
      </c>
      <c r="BI158" s="76"/>
      <c r="BJ158" s="76" t="s">
        <v>2656</v>
      </c>
      <c r="BK158" s="76" t="b">
        <v>0</v>
      </c>
      <c r="BL158" s="76"/>
      <c r="BM158" s="76" t="s">
        <v>65</v>
      </c>
      <c r="BN158" s="76" t="s">
        <v>2657</v>
      </c>
      <c r="BO158" s="82" t="str">
        <f>HYPERLINK("https://twitter.com/greenpeace_esp")</f>
        <v>https://twitter.com/greenpeace_esp</v>
      </c>
      <c r="BP158" s="76" t="str">
        <f>REPLACE(INDEX(GroupVertices[Group],MATCH(Vertices[[#This Row],[Vertex]],GroupVertices[Vertex],0)),1,1,"")</f>
        <v>1</v>
      </c>
      <c r="BQ158" s="45"/>
      <c r="BR158" s="46"/>
      <c r="BS158" s="45"/>
      <c r="BT158" s="46"/>
      <c r="BU158" s="45"/>
      <c r="BV158" s="46"/>
      <c r="BW158" s="45"/>
      <c r="BX158" s="46"/>
      <c r="BY158" s="45"/>
      <c r="BZ158" s="45"/>
      <c r="CA158" s="45"/>
      <c r="CB158" s="45"/>
      <c r="CC158" s="45"/>
      <c r="CD158" s="45"/>
      <c r="CE158" s="45"/>
      <c r="CF158" s="45"/>
      <c r="CG158" s="45"/>
      <c r="CH158" s="45"/>
      <c r="CI158" s="45"/>
      <c r="CJ158" s="2"/>
    </row>
    <row r="159" spans="1:88" ht="15">
      <c r="A159" s="61" t="s">
        <v>409</v>
      </c>
      <c r="B159" s="62"/>
      <c r="C159" s="62"/>
      <c r="D159" s="63">
        <v>535</v>
      </c>
      <c r="E159" s="65"/>
      <c r="F159" s="100" t="str">
        <f>HYPERLINK("https://pbs.twimg.com/profile_images/1369400097344208906/PYoHxRyj_normal.jpg")</f>
        <v>https://pbs.twimg.com/profile_images/1369400097344208906/PYoHxRyj_normal.jpg</v>
      </c>
      <c r="G159" s="62"/>
      <c r="H159" s="66" t="s">
        <v>409</v>
      </c>
      <c r="I159" s="67"/>
      <c r="J159" s="67" t="s">
        <v>159</v>
      </c>
      <c r="K159" s="66" t="s">
        <v>2813</v>
      </c>
      <c r="L159" s="70">
        <v>477.0952380952381</v>
      </c>
      <c r="M159" s="71">
        <v>1053.3970947265625</v>
      </c>
      <c r="N159" s="71">
        <v>9311.123046875</v>
      </c>
      <c r="O159" s="72"/>
      <c r="P159" s="73"/>
      <c r="Q159" s="73"/>
      <c r="R159" s="86"/>
      <c r="S159" s="45">
        <v>1</v>
      </c>
      <c r="T159" s="45">
        <v>0</v>
      </c>
      <c r="U159" s="46">
        <v>0</v>
      </c>
      <c r="V159" s="46">
        <v>0.30765</v>
      </c>
      <c r="W159" s="46">
        <v>0.05663</v>
      </c>
      <c r="X159" s="46">
        <v>0.00275</v>
      </c>
      <c r="Y159" s="46">
        <v>0</v>
      </c>
      <c r="Z159" s="46">
        <v>0</v>
      </c>
      <c r="AA159" s="68">
        <v>159</v>
      </c>
      <c r="AB159" s="68"/>
      <c r="AC159" s="69"/>
      <c r="AD159" s="76" t="s">
        <v>1404</v>
      </c>
      <c r="AE159" s="80" t="s">
        <v>1711</v>
      </c>
      <c r="AF159" s="76">
        <v>30335</v>
      </c>
      <c r="AG159" s="76">
        <v>170</v>
      </c>
      <c r="AH159" s="76">
        <v>3535</v>
      </c>
      <c r="AI159" s="76">
        <v>417</v>
      </c>
      <c r="AJ159" s="76">
        <v>717</v>
      </c>
      <c r="AK159" s="76">
        <v>2996</v>
      </c>
      <c r="AL159" s="76" t="b">
        <v>0</v>
      </c>
      <c r="AM159" s="78">
        <v>40486.78581018518</v>
      </c>
      <c r="AN159" s="76" t="s">
        <v>1940</v>
      </c>
      <c r="AO159" s="76" t="s">
        <v>2192</v>
      </c>
      <c r="AP159" s="82" t="str">
        <f>HYPERLINK("https://t.co/wDBAEHeWaG")</f>
        <v>https://t.co/wDBAEHeWaG</v>
      </c>
      <c r="AQ159" s="82" t="str">
        <f>HYPERLINK("https://www.climateemergencyinstitute.com/")</f>
        <v>https://www.climateemergencyinstitute.com/</v>
      </c>
      <c r="AR159" s="76" t="s">
        <v>2464</v>
      </c>
      <c r="AS159" s="76"/>
      <c r="AT159" s="76"/>
      <c r="AU159" s="76"/>
      <c r="AV159" s="76"/>
      <c r="AW159" s="82" t="str">
        <f>HYPERLINK("https://t.co/wDBAEHeWaG")</f>
        <v>https://t.co/wDBAEHeWaG</v>
      </c>
      <c r="AX159" s="76" t="b">
        <v>0</v>
      </c>
      <c r="AY159" s="76"/>
      <c r="AZ159" s="76"/>
      <c r="BA159" s="76" t="b">
        <v>0</v>
      </c>
      <c r="BB159" s="76" t="b">
        <v>1</v>
      </c>
      <c r="BC159" s="76" t="b">
        <v>1</v>
      </c>
      <c r="BD159" s="76" t="b">
        <v>0</v>
      </c>
      <c r="BE159" s="76" t="b">
        <v>0</v>
      </c>
      <c r="BF159" s="76" t="b">
        <v>0</v>
      </c>
      <c r="BG159" s="76" t="b">
        <v>0</v>
      </c>
      <c r="BH159" s="82" t="str">
        <f>HYPERLINK("https://pbs.twimg.com/profile_banners/211953429/1615325522")</f>
        <v>https://pbs.twimg.com/profile_banners/211953429/1615325522</v>
      </c>
      <c r="BI159" s="76"/>
      <c r="BJ159" s="76" t="s">
        <v>2656</v>
      </c>
      <c r="BK159" s="76" t="b">
        <v>0</v>
      </c>
      <c r="BL159" s="76"/>
      <c r="BM159" s="76" t="s">
        <v>65</v>
      </c>
      <c r="BN159" s="76" t="s">
        <v>2657</v>
      </c>
      <c r="BO159" s="82" t="str">
        <f>HYPERLINK("https://twitter.com/pcarterclimate")</f>
        <v>https://twitter.com/pcarterclimate</v>
      </c>
      <c r="BP159" s="76" t="str">
        <f>REPLACE(INDEX(GroupVertices[Group],MATCH(Vertices[[#This Row],[Vertex]],GroupVertices[Vertex],0)),1,1,"")</f>
        <v>1</v>
      </c>
      <c r="BQ159" s="45"/>
      <c r="BR159" s="46"/>
      <c r="BS159" s="45"/>
      <c r="BT159" s="46"/>
      <c r="BU159" s="45"/>
      <c r="BV159" s="46"/>
      <c r="BW159" s="45"/>
      <c r="BX159" s="46"/>
      <c r="BY159" s="45"/>
      <c r="BZ159" s="45"/>
      <c r="CA159" s="45"/>
      <c r="CB159" s="45"/>
      <c r="CC159" s="45"/>
      <c r="CD159" s="45"/>
      <c r="CE159" s="45"/>
      <c r="CF159" s="45"/>
      <c r="CG159" s="45"/>
      <c r="CH159" s="45"/>
      <c r="CI159" s="45"/>
      <c r="CJ159" s="2"/>
    </row>
    <row r="160" spans="1:88" ht="15">
      <c r="A160" s="61" t="s">
        <v>410</v>
      </c>
      <c r="B160" s="62"/>
      <c r="C160" s="62"/>
      <c r="D160" s="63">
        <v>535</v>
      </c>
      <c r="E160" s="65"/>
      <c r="F160" s="100" t="str">
        <f>HYPERLINK("https://pbs.twimg.com/profile_images/1187561319177867264/pyX--acD_normal.jpg")</f>
        <v>https://pbs.twimg.com/profile_images/1187561319177867264/pyX--acD_normal.jpg</v>
      </c>
      <c r="G160" s="62"/>
      <c r="H160" s="66" t="s">
        <v>410</v>
      </c>
      <c r="I160" s="67"/>
      <c r="J160" s="67" t="s">
        <v>159</v>
      </c>
      <c r="K160" s="66" t="s">
        <v>2814</v>
      </c>
      <c r="L160" s="70">
        <v>477.0952380952381</v>
      </c>
      <c r="M160" s="71">
        <v>2600.588134765625</v>
      </c>
      <c r="N160" s="71">
        <v>5047.81787109375</v>
      </c>
      <c r="O160" s="72"/>
      <c r="P160" s="73"/>
      <c r="Q160" s="73"/>
      <c r="R160" s="86"/>
      <c r="S160" s="45">
        <v>1</v>
      </c>
      <c r="T160" s="45">
        <v>0</v>
      </c>
      <c r="U160" s="46">
        <v>0</v>
      </c>
      <c r="V160" s="46">
        <v>0.30765</v>
      </c>
      <c r="W160" s="46">
        <v>0.05663</v>
      </c>
      <c r="X160" s="46">
        <v>0.00275</v>
      </c>
      <c r="Y160" s="46">
        <v>0</v>
      </c>
      <c r="Z160" s="46">
        <v>0</v>
      </c>
      <c r="AA160" s="68">
        <v>160</v>
      </c>
      <c r="AB160" s="68"/>
      <c r="AC160" s="69"/>
      <c r="AD160" s="76" t="s">
        <v>1405</v>
      </c>
      <c r="AE160" s="80" t="s">
        <v>1712</v>
      </c>
      <c r="AF160" s="76">
        <v>22709</v>
      </c>
      <c r="AG160" s="76">
        <v>2309</v>
      </c>
      <c r="AH160" s="76">
        <v>10650</v>
      </c>
      <c r="AI160" s="76">
        <v>325</v>
      </c>
      <c r="AJ160" s="76">
        <v>35304</v>
      </c>
      <c r="AK160" s="76">
        <v>1937</v>
      </c>
      <c r="AL160" s="76" t="b">
        <v>0</v>
      </c>
      <c r="AM160" s="78">
        <v>42734.61376157407</v>
      </c>
      <c r="AN160" s="76" t="s">
        <v>1941</v>
      </c>
      <c r="AO160" s="76" t="s">
        <v>2193</v>
      </c>
      <c r="AP160" s="82" t="str">
        <f>HYPERLINK("https://t.co/XSLF1otxOX")</f>
        <v>https://t.co/XSLF1otxOX</v>
      </c>
      <c r="AQ160" s="82" t="str">
        <f>HYPERLINK("http://www.turetskylab.com/")</f>
        <v>http://www.turetskylab.com/</v>
      </c>
      <c r="AR160" s="76" t="s">
        <v>2465</v>
      </c>
      <c r="AS160" s="76"/>
      <c r="AT160" s="76"/>
      <c r="AU160" s="76"/>
      <c r="AV160" s="76">
        <v>8.2788969543467E+17</v>
      </c>
      <c r="AW160" s="82" t="str">
        <f>HYPERLINK("https://t.co/XSLF1otxOX")</f>
        <v>https://t.co/XSLF1otxOX</v>
      </c>
      <c r="AX160" s="76" t="b">
        <v>0</v>
      </c>
      <c r="AY160" s="76"/>
      <c r="AZ160" s="76"/>
      <c r="BA160" s="76" t="b">
        <v>1</v>
      </c>
      <c r="BB160" s="76" t="b">
        <v>1</v>
      </c>
      <c r="BC160" s="76" t="b">
        <v>1</v>
      </c>
      <c r="BD160" s="76" t="b">
        <v>0</v>
      </c>
      <c r="BE160" s="76" t="b">
        <v>1</v>
      </c>
      <c r="BF160" s="76" t="b">
        <v>0</v>
      </c>
      <c r="BG160" s="76" t="b">
        <v>0</v>
      </c>
      <c r="BH160" s="82" t="str">
        <f>HYPERLINK("https://pbs.twimg.com/profile_banners/814844446051274754/1483410733")</f>
        <v>https://pbs.twimg.com/profile_banners/814844446051274754/1483410733</v>
      </c>
      <c r="BI160" s="76"/>
      <c r="BJ160" s="76" t="s">
        <v>2656</v>
      </c>
      <c r="BK160" s="76" t="b">
        <v>0</v>
      </c>
      <c r="BL160" s="76"/>
      <c r="BM160" s="76" t="s">
        <v>65</v>
      </c>
      <c r="BN160" s="76" t="s">
        <v>2657</v>
      </c>
      <c r="BO160" s="82" t="str">
        <f>HYPERLINK("https://twitter.com/queenofpeat")</f>
        <v>https://twitter.com/queenofpeat</v>
      </c>
      <c r="BP160" s="76" t="str">
        <f>REPLACE(INDEX(GroupVertices[Group],MATCH(Vertices[[#This Row],[Vertex]],GroupVertices[Vertex],0)),1,1,"")</f>
        <v>1</v>
      </c>
      <c r="BQ160" s="45"/>
      <c r="BR160" s="46"/>
      <c r="BS160" s="45"/>
      <c r="BT160" s="46"/>
      <c r="BU160" s="45"/>
      <c r="BV160" s="46"/>
      <c r="BW160" s="45"/>
      <c r="BX160" s="46"/>
      <c r="BY160" s="45"/>
      <c r="BZ160" s="45"/>
      <c r="CA160" s="45"/>
      <c r="CB160" s="45"/>
      <c r="CC160" s="45"/>
      <c r="CD160" s="45"/>
      <c r="CE160" s="45"/>
      <c r="CF160" s="45"/>
      <c r="CG160" s="45"/>
      <c r="CH160" s="45"/>
      <c r="CI160" s="45"/>
      <c r="CJ160" s="2"/>
    </row>
    <row r="161" spans="1:88" ht="15">
      <c r="A161" s="61" t="s">
        <v>411</v>
      </c>
      <c r="B161" s="62"/>
      <c r="C161" s="62"/>
      <c r="D161" s="63">
        <v>535</v>
      </c>
      <c r="E161" s="65"/>
      <c r="F161" s="100" t="str">
        <f>HYPERLINK("https://pbs.twimg.com/profile_images/847790763102674946/D3g3hczb_normal.jpg")</f>
        <v>https://pbs.twimg.com/profile_images/847790763102674946/D3g3hczb_normal.jpg</v>
      </c>
      <c r="G161" s="62"/>
      <c r="H161" s="66" t="s">
        <v>411</v>
      </c>
      <c r="I161" s="67"/>
      <c r="J161" s="67" t="s">
        <v>159</v>
      </c>
      <c r="K161" s="66" t="s">
        <v>2815</v>
      </c>
      <c r="L161" s="70">
        <v>477.0952380952381</v>
      </c>
      <c r="M161" s="71">
        <v>1438.5062255859375</v>
      </c>
      <c r="N161" s="71">
        <v>3479.4609375</v>
      </c>
      <c r="O161" s="72"/>
      <c r="P161" s="73"/>
      <c r="Q161" s="73"/>
      <c r="R161" s="86"/>
      <c r="S161" s="45">
        <v>1</v>
      </c>
      <c r="T161" s="45">
        <v>0</v>
      </c>
      <c r="U161" s="46">
        <v>0</v>
      </c>
      <c r="V161" s="46">
        <v>0.30765</v>
      </c>
      <c r="W161" s="46">
        <v>0.05663</v>
      </c>
      <c r="X161" s="46">
        <v>0.00275</v>
      </c>
      <c r="Y161" s="46">
        <v>0</v>
      </c>
      <c r="Z161" s="46">
        <v>0</v>
      </c>
      <c r="AA161" s="68">
        <v>161</v>
      </c>
      <c r="AB161" s="68"/>
      <c r="AC161" s="69"/>
      <c r="AD161" s="76" t="s">
        <v>1406</v>
      </c>
      <c r="AE161" s="80" t="s">
        <v>1713</v>
      </c>
      <c r="AF161" s="76">
        <v>56214</v>
      </c>
      <c r="AG161" s="76">
        <v>3306</v>
      </c>
      <c r="AH161" s="76">
        <v>33599</v>
      </c>
      <c r="AI161" s="76">
        <v>312</v>
      </c>
      <c r="AJ161" s="76">
        <v>45862</v>
      </c>
      <c r="AK161" s="76">
        <v>1358</v>
      </c>
      <c r="AL161" s="76" t="b">
        <v>0</v>
      </c>
      <c r="AM161" s="78">
        <v>39878.56613425926</v>
      </c>
      <c r="AN161" s="76" t="s">
        <v>1898</v>
      </c>
      <c r="AO161" s="76" t="s">
        <v>2194</v>
      </c>
      <c r="AP161" s="82" t="str">
        <f>HYPERLINK("https://t.co/K3DT3VyFZU")</f>
        <v>https://t.co/K3DT3VyFZU</v>
      </c>
      <c r="AQ161" s="82" t="str">
        <f>HYPERLINK("http://www.fiia.fi")</f>
        <v>http://www.fiia.fi</v>
      </c>
      <c r="AR161" s="76" t="s">
        <v>2466</v>
      </c>
      <c r="AS161" s="76"/>
      <c r="AT161" s="76"/>
      <c r="AU161" s="76"/>
      <c r="AV161" s="76">
        <v>1.52700872719427E+18</v>
      </c>
      <c r="AW161" s="82" t="str">
        <f>HYPERLINK("https://t.co/K3DT3VyFZU")</f>
        <v>https://t.co/K3DT3VyFZU</v>
      </c>
      <c r="AX161" s="76" t="b">
        <v>0</v>
      </c>
      <c r="AY161" s="76"/>
      <c r="AZ161" s="76"/>
      <c r="BA161" s="76" t="b">
        <v>1</v>
      </c>
      <c r="BB161" s="76" t="b">
        <v>0</v>
      </c>
      <c r="BC161" s="76" t="b">
        <v>0</v>
      </c>
      <c r="BD161" s="76" t="b">
        <v>0</v>
      </c>
      <c r="BE161" s="76" t="b">
        <v>1</v>
      </c>
      <c r="BF161" s="76" t="b">
        <v>0</v>
      </c>
      <c r="BG161" s="76" t="b">
        <v>0</v>
      </c>
      <c r="BH161" s="82" t="str">
        <f>HYPERLINK("https://pbs.twimg.com/profile_banners/23063006/1490964246")</f>
        <v>https://pbs.twimg.com/profile_banners/23063006/1490964246</v>
      </c>
      <c r="BI161" s="76"/>
      <c r="BJ161" s="76" t="s">
        <v>2656</v>
      </c>
      <c r="BK161" s="76" t="b">
        <v>0</v>
      </c>
      <c r="BL161" s="76"/>
      <c r="BM161" s="76" t="s">
        <v>65</v>
      </c>
      <c r="BN161" s="76" t="s">
        <v>2657</v>
      </c>
      <c r="BO161" s="82" t="str">
        <f>HYPERLINK("https://twitter.com/charlyjsp")</f>
        <v>https://twitter.com/charlyjsp</v>
      </c>
      <c r="BP161" s="76" t="str">
        <f>REPLACE(INDEX(GroupVertices[Group],MATCH(Vertices[[#This Row],[Vertex]],GroupVertices[Vertex],0)),1,1,"")</f>
        <v>1</v>
      </c>
      <c r="BQ161" s="45"/>
      <c r="BR161" s="46"/>
      <c r="BS161" s="45"/>
      <c r="BT161" s="46"/>
      <c r="BU161" s="45"/>
      <c r="BV161" s="46"/>
      <c r="BW161" s="45"/>
      <c r="BX161" s="46"/>
      <c r="BY161" s="45"/>
      <c r="BZ161" s="45"/>
      <c r="CA161" s="45"/>
      <c r="CB161" s="45"/>
      <c r="CC161" s="45"/>
      <c r="CD161" s="45"/>
      <c r="CE161" s="45"/>
      <c r="CF161" s="45"/>
      <c r="CG161" s="45"/>
      <c r="CH161" s="45"/>
      <c r="CI161" s="45"/>
      <c r="CJ161" s="2"/>
    </row>
    <row r="162" spans="1:88" ht="15">
      <c r="A162" s="61" t="s">
        <v>412</v>
      </c>
      <c r="B162" s="62"/>
      <c r="C162" s="62"/>
      <c r="D162" s="63">
        <v>535</v>
      </c>
      <c r="E162" s="65"/>
      <c r="F162" s="100" t="str">
        <f>HYPERLINK("https://pbs.twimg.com/profile_images/1683713955557003264/Ts_28jEI_normal.jpg")</f>
        <v>https://pbs.twimg.com/profile_images/1683713955557003264/Ts_28jEI_normal.jpg</v>
      </c>
      <c r="G162" s="62"/>
      <c r="H162" s="66" t="s">
        <v>412</v>
      </c>
      <c r="I162" s="67"/>
      <c r="J162" s="67" t="s">
        <v>159</v>
      </c>
      <c r="K162" s="66" t="s">
        <v>2816</v>
      </c>
      <c r="L162" s="70">
        <v>477.0952380952381</v>
      </c>
      <c r="M162" s="71">
        <v>2746.655517578125</v>
      </c>
      <c r="N162" s="71">
        <v>3092.21435546875</v>
      </c>
      <c r="O162" s="72"/>
      <c r="P162" s="73"/>
      <c r="Q162" s="73"/>
      <c r="R162" s="86"/>
      <c r="S162" s="45">
        <v>1</v>
      </c>
      <c r="T162" s="45">
        <v>0</v>
      </c>
      <c r="U162" s="46">
        <v>0</v>
      </c>
      <c r="V162" s="46">
        <v>0.30765</v>
      </c>
      <c r="W162" s="46">
        <v>0.05663</v>
      </c>
      <c r="X162" s="46">
        <v>0.00275</v>
      </c>
      <c r="Y162" s="46">
        <v>0</v>
      </c>
      <c r="Z162" s="46">
        <v>0</v>
      </c>
      <c r="AA162" s="68">
        <v>162</v>
      </c>
      <c r="AB162" s="68"/>
      <c r="AC162" s="69"/>
      <c r="AD162" s="76" t="s">
        <v>1407</v>
      </c>
      <c r="AE162" s="80" t="s">
        <v>1714</v>
      </c>
      <c r="AF162" s="76">
        <v>6381</v>
      </c>
      <c r="AG162" s="76">
        <v>367</v>
      </c>
      <c r="AH162" s="76">
        <v>66816</v>
      </c>
      <c r="AI162" s="76">
        <v>30</v>
      </c>
      <c r="AJ162" s="76">
        <v>99531</v>
      </c>
      <c r="AK162" s="76">
        <v>8290</v>
      </c>
      <c r="AL162" s="76" t="b">
        <v>0</v>
      </c>
      <c r="AM162" s="78">
        <v>41401.503483796296</v>
      </c>
      <c r="AN162" s="76"/>
      <c r="AO162" s="76" t="s">
        <v>2195</v>
      </c>
      <c r="AP162" s="82" t="str">
        <f>HYPERLINK("https://t.co/6ma0RBGHTo")</f>
        <v>https://t.co/6ma0RBGHTo</v>
      </c>
      <c r="AQ162" s="82" t="str">
        <f>HYPERLINK("https://spektaakkeliyhteiskunta.wordpress.com/")</f>
        <v>https://spektaakkeliyhteiskunta.wordpress.com/</v>
      </c>
      <c r="AR162" s="76" t="s">
        <v>2467</v>
      </c>
      <c r="AS162" s="76"/>
      <c r="AT162" s="76"/>
      <c r="AU162" s="76"/>
      <c r="AV162" s="76">
        <v>1.69750339162511E+18</v>
      </c>
      <c r="AW162" s="82" t="str">
        <f>HYPERLINK("https://t.co/6ma0RBGHTo")</f>
        <v>https://t.co/6ma0RBGHTo</v>
      </c>
      <c r="AX162" s="76" t="b">
        <v>0</v>
      </c>
      <c r="AY162" s="76"/>
      <c r="AZ162" s="76"/>
      <c r="BA162" s="76" t="b">
        <v>1</v>
      </c>
      <c r="BB162" s="76" t="b">
        <v>1</v>
      </c>
      <c r="BC162" s="76" t="b">
        <v>0</v>
      </c>
      <c r="BD162" s="76" t="b">
        <v>0</v>
      </c>
      <c r="BE162" s="76" t="b">
        <v>1</v>
      </c>
      <c r="BF162" s="76" t="b">
        <v>0</v>
      </c>
      <c r="BG162" s="76" t="b">
        <v>0</v>
      </c>
      <c r="BH162" s="82" t="str">
        <f>HYPERLINK("https://pbs.twimg.com/profile_banners/1410093080/1489995813")</f>
        <v>https://pbs.twimg.com/profile_banners/1410093080/1489995813</v>
      </c>
      <c r="BI162" s="76"/>
      <c r="BJ162" s="76" t="s">
        <v>2656</v>
      </c>
      <c r="BK162" s="76" t="b">
        <v>0</v>
      </c>
      <c r="BL162" s="76"/>
      <c r="BM162" s="76" t="s">
        <v>65</v>
      </c>
      <c r="BN162" s="76" t="s">
        <v>2657</v>
      </c>
      <c r="BO162" s="82" t="str">
        <f>HYPERLINK("https://twitter.com/eerolasami")</f>
        <v>https://twitter.com/eerolasami</v>
      </c>
      <c r="BP162" s="76" t="str">
        <f>REPLACE(INDEX(GroupVertices[Group],MATCH(Vertices[[#This Row],[Vertex]],GroupVertices[Vertex],0)),1,1,"")</f>
        <v>1</v>
      </c>
      <c r="BQ162" s="45"/>
      <c r="BR162" s="46"/>
      <c r="BS162" s="45"/>
      <c r="BT162" s="46"/>
      <c r="BU162" s="45"/>
      <c r="BV162" s="46"/>
      <c r="BW162" s="45"/>
      <c r="BX162" s="46"/>
      <c r="BY162" s="45"/>
      <c r="BZ162" s="45"/>
      <c r="CA162" s="45"/>
      <c r="CB162" s="45"/>
      <c r="CC162" s="45"/>
      <c r="CD162" s="45"/>
      <c r="CE162" s="45"/>
      <c r="CF162" s="45"/>
      <c r="CG162" s="45"/>
      <c r="CH162" s="45"/>
      <c r="CI162" s="45"/>
      <c r="CJ162" s="2"/>
    </row>
    <row r="163" spans="1:88" ht="15">
      <c r="A163" s="61" t="s">
        <v>413</v>
      </c>
      <c r="B163" s="62"/>
      <c r="C163" s="62"/>
      <c r="D163" s="63">
        <v>535</v>
      </c>
      <c r="E163" s="65"/>
      <c r="F163" s="100" t="str">
        <f>HYPERLINK("https://pbs.twimg.com/profile_images/900261211509489666/-1Fu5hU8_normal.jpg")</f>
        <v>https://pbs.twimg.com/profile_images/900261211509489666/-1Fu5hU8_normal.jpg</v>
      </c>
      <c r="G163" s="62"/>
      <c r="H163" s="66" t="s">
        <v>413</v>
      </c>
      <c r="I163" s="67"/>
      <c r="J163" s="67" t="s">
        <v>159</v>
      </c>
      <c r="K163" s="66" t="s">
        <v>2817</v>
      </c>
      <c r="L163" s="70">
        <v>477.0952380952381</v>
      </c>
      <c r="M163" s="71">
        <v>3643.1953125</v>
      </c>
      <c r="N163" s="71">
        <v>5586.41015625</v>
      </c>
      <c r="O163" s="72"/>
      <c r="P163" s="73"/>
      <c r="Q163" s="73"/>
      <c r="R163" s="86"/>
      <c r="S163" s="45">
        <v>1</v>
      </c>
      <c r="T163" s="45">
        <v>0</v>
      </c>
      <c r="U163" s="46">
        <v>0</v>
      </c>
      <c r="V163" s="46">
        <v>0.30765</v>
      </c>
      <c r="W163" s="46">
        <v>0.05663</v>
      </c>
      <c r="X163" s="46">
        <v>0.00275</v>
      </c>
      <c r="Y163" s="46">
        <v>0</v>
      </c>
      <c r="Z163" s="46">
        <v>0</v>
      </c>
      <c r="AA163" s="68">
        <v>163</v>
      </c>
      <c r="AB163" s="68"/>
      <c r="AC163" s="69"/>
      <c r="AD163" s="76" t="s">
        <v>1408</v>
      </c>
      <c r="AE163" s="80" t="s">
        <v>1715</v>
      </c>
      <c r="AF163" s="76">
        <v>692898</v>
      </c>
      <c r="AG163" s="76">
        <v>600</v>
      </c>
      <c r="AH163" s="76">
        <v>331330</v>
      </c>
      <c r="AI163" s="76">
        <v>9123</v>
      </c>
      <c r="AJ163" s="76">
        <v>4567</v>
      </c>
      <c r="AK163" s="76">
        <v>125401</v>
      </c>
      <c r="AL163" s="76" t="b">
        <v>0</v>
      </c>
      <c r="AM163" s="78">
        <v>39220.45891203704</v>
      </c>
      <c r="AN163" s="76" t="s">
        <v>1942</v>
      </c>
      <c r="AO163" s="76" t="s">
        <v>2196</v>
      </c>
      <c r="AP163" s="82" t="str">
        <f>HYPERLINK("https://t.co/FCJh9TCD8V")</f>
        <v>https://t.co/FCJh9TCD8V</v>
      </c>
      <c r="AQ163" s="82" t="str">
        <f>HYPERLINK("http://www.dw.com")</f>
        <v>http://www.dw.com</v>
      </c>
      <c r="AR163" s="76" t="s">
        <v>2468</v>
      </c>
      <c r="AS163" s="76"/>
      <c r="AT163" s="76"/>
      <c r="AU163" s="76"/>
      <c r="AV163" s="76"/>
      <c r="AW163" s="82" t="str">
        <f>HYPERLINK("https://t.co/FCJh9TCD8V")</f>
        <v>https://t.co/FCJh9TCD8V</v>
      </c>
      <c r="AX163" s="76" t="b">
        <v>1</v>
      </c>
      <c r="AY163" s="76"/>
      <c r="AZ163" s="76"/>
      <c r="BA163" s="76" t="b">
        <v>0</v>
      </c>
      <c r="BB163" s="76" t="b">
        <v>0</v>
      </c>
      <c r="BC163" s="76" t="b">
        <v>0</v>
      </c>
      <c r="BD163" s="76" t="b">
        <v>0</v>
      </c>
      <c r="BE163" s="76" t="b">
        <v>1</v>
      </c>
      <c r="BF163" s="76" t="b">
        <v>0</v>
      </c>
      <c r="BG163" s="76" t="b">
        <v>0</v>
      </c>
      <c r="BH163" s="82" t="str">
        <f>HYPERLINK("https://pbs.twimg.com/profile_banners/6134882/1666180187")</f>
        <v>https://pbs.twimg.com/profile_banners/6134882/1666180187</v>
      </c>
      <c r="BI163" s="76"/>
      <c r="BJ163" s="76" t="s">
        <v>2656</v>
      </c>
      <c r="BK163" s="76" t="b">
        <v>0</v>
      </c>
      <c r="BL163" s="76"/>
      <c r="BM163" s="76" t="s">
        <v>65</v>
      </c>
      <c r="BN163" s="76" t="s">
        <v>2657</v>
      </c>
      <c r="BO163" s="82" t="str">
        <f>HYPERLINK("https://twitter.com/dwnews")</f>
        <v>https://twitter.com/dwnews</v>
      </c>
      <c r="BP163" s="76" t="str">
        <f>REPLACE(INDEX(GroupVertices[Group],MATCH(Vertices[[#This Row],[Vertex]],GroupVertices[Vertex],0)),1,1,"")</f>
        <v>1</v>
      </c>
      <c r="BQ163" s="45"/>
      <c r="BR163" s="46"/>
      <c r="BS163" s="45"/>
      <c r="BT163" s="46"/>
      <c r="BU163" s="45"/>
      <c r="BV163" s="46"/>
      <c r="BW163" s="45"/>
      <c r="BX163" s="46"/>
      <c r="BY163" s="45"/>
      <c r="BZ163" s="45"/>
      <c r="CA163" s="45"/>
      <c r="CB163" s="45"/>
      <c r="CC163" s="45"/>
      <c r="CD163" s="45"/>
      <c r="CE163" s="45"/>
      <c r="CF163" s="45"/>
      <c r="CG163" s="45"/>
      <c r="CH163" s="45"/>
      <c r="CI163" s="45"/>
      <c r="CJ163" s="2"/>
    </row>
    <row r="164" spans="1:88" ht="15">
      <c r="A164" s="61" t="s">
        <v>414</v>
      </c>
      <c r="B164" s="62"/>
      <c r="C164" s="62"/>
      <c r="D164" s="63">
        <v>535</v>
      </c>
      <c r="E164" s="65"/>
      <c r="F164" s="100" t="str">
        <f>HYPERLINK("https://pbs.twimg.com/profile_images/1544196881894580224/Cwib1O5i_normal.jpg")</f>
        <v>https://pbs.twimg.com/profile_images/1544196881894580224/Cwib1O5i_normal.jpg</v>
      </c>
      <c r="G164" s="62"/>
      <c r="H164" s="66" t="s">
        <v>414</v>
      </c>
      <c r="I164" s="67"/>
      <c r="J164" s="67" t="s">
        <v>159</v>
      </c>
      <c r="K164" s="66" t="s">
        <v>2818</v>
      </c>
      <c r="L164" s="70">
        <v>477.0952380952381</v>
      </c>
      <c r="M164" s="71">
        <v>2085.4638671875</v>
      </c>
      <c r="N164" s="71">
        <v>8492.349609375</v>
      </c>
      <c r="O164" s="72"/>
      <c r="P164" s="73"/>
      <c r="Q164" s="73"/>
      <c r="R164" s="86"/>
      <c r="S164" s="45">
        <v>1</v>
      </c>
      <c r="T164" s="45">
        <v>0</v>
      </c>
      <c r="U164" s="46">
        <v>0</v>
      </c>
      <c r="V164" s="46">
        <v>0.30765</v>
      </c>
      <c r="W164" s="46">
        <v>0.05663</v>
      </c>
      <c r="X164" s="46">
        <v>0.00275</v>
      </c>
      <c r="Y164" s="46">
        <v>0</v>
      </c>
      <c r="Z164" s="46">
        <v>0</v>
      </c>
      <c r="AA164" s="68">
        <v>164</v>
      </c>
      <c r="AB164" s="68"/>
      <c r="AC164" s="69"/>
      <c r="AD164" s="76" t="s">
        <v>1409</v>
      </c>
      <c r="AE164" s="80" t="s">
        <v>1716</v>
      </c>
      <c r="AF164" s="76">
        <v>413547</v>
      </c>
      <c r="AG164" s="76">
        <v>2282</v>
      </c>
      <c r="AH164" s="76">
        <v>262144</v>
      </c>
      <c r="AI164" s="76">
        <v>1399</v>
      </c>
      <c r="AJ164" s="76">
        <v>459</v>
      </c>
      <c r="AK164" s="76">
        <v>10367</v>
      </c>
      <c r="AL164" s="76" t="b">
        <v>0</v>
      </c>
      <c r="AM164" s="78">
        <v>39945.7019212963</v>
      </c>
      <c r="AN164" s="76" t="s">
        <v>1943</v>
      </c>
      <c r="AO164" s="76" t="s">
        <v>2197</v>
      </c>
      <c r="AP164" s="82" t="str">
        <f>HYPERLINK("https://t.co/sMwOzQeqHF")</f>
        <v>https://t.co/sMwOzQeqHF</v>
      </c>
      <c r="AQ164" s="82" t="str">
        <f>HYPERLINK("http://www.hs.fi/")</f>
        <v>http://www.hs.fi/</v>
      </c>
      <c r="AR164" s="76" t="s">
        <v>2469</v>
      </c>
      <c r="AS164" s="76"/>
      <c r="AT164" s="76"/>
      <c r="AU164" s="76"/>
      <c r="AV164" s="76"/>
      <c r="AW164" s="82" t="str">
        <f>HYPERLINK("https://t.co/sMwOzQeqHF")</f>
        <v>https://t.co/sMwOzQeqHF</v>
      </c>
      <c r="AX164" s="76" t="b">
        <v>0</v>
      </c>
      <c r="AY164" s="76"/>
      <c r="AZ164" s="76"/>
      <c r="BA164" s="76" t="b">
        <v>1</v>
      </c>
      <c r="BB164" s="76" t="b">
        <v>0</v>
      </c>
      <c r="BC164" s="76" t="b">
        <v>0</v>
      </c>
      <c r="BD164" s="76" t="b">
        <v>0</v>
      </c>
      <c r="BE164" s="76" t="b">
        <v>1</v>
      </c>
      <c r="BF164" s="76" t="b">
        <v>0</v>
      </c>
      <c r="BG164" s="76" t="b">
        <v>0</v>
      </c>
      <c r="BH164" s="82" t="str">
        <f>HYPERLINK("https://pbs.twimg.com/profile_banners/39540130/1625664672")</f>
        <v>https://pbs.twimg.com/profile_banners/39540130/1625664672</v>
      </c>
      <c r="BI164" s="76"/>
      <c r="BJ164" s="76" t="s">
        <v>2656</v>
      </c>
      <c r="BK164" s="76" t="b">
        <v>0</v>
      </c>
      <c r="BL164" s="76"/>
      <c r="BM164" s="76" t="s">
        <v>65</v>
      </c>
      <c r="BN164" s="76" t="s">
        <v>2657</v>
      </c>
      <c r="BO164" s="82" t="str">
        <f>HYPERLINK("https://twitter.com/hsfi")</f>
        <v>https://twitter.com/hsfi</v>
      </c>
      <c r="BP164" s="76" t="str">
        <f>REPLACE(INDEX(GroupVertices[Group],MATCH(Vertices[[#This Row],[Vertex]],GroupVertices[Vertex],0)),1,1,"")</f>
        <v>1</v>
      </c>
      <c r="BQ164" s="45"/>
      <c r="BR164" s="46"/>
      <c r="BS164" s="45"/>
      <c r="BT164" s="46"/>
      <c r="BU164" s="45"/>
      <c r="BV164" s="46"/>
      <c r="BW164" s="45"/>
      <c r="BX164" s="46"/>
      <c r="BY164" s="45"/>
      <c r="BZ164" s="45"/>
      <c r="CA164" s="45"/>
      <c r="CB164" s="45"/>
      <c r="CC164" s="45"/>
      <c r="CD164" s="45"/>
      <c r="CE164" s="45"/>
      <c r="CF164" s="45"/>
      <c r="CG164" s="45"/>
      <c r="CH164" s="45"/>
      <c r="CI164" s="45"/>
      <c r="CJ164" s="2"/>
    </row>
    <row r="165" spans="1:88" ht="15">
      <c r="A165" s="61" t="s">
        <v>415</v>
      </c>
      <c r="B165" s="62"/>
      <c r="C165" s="62"/>
      <c r="D165" s="63">
        <v>535</v>
      </c>
      <c r="E165" s="65"/>
      <c r="F165" s="100" t="str">
        <f>HYPERLINK("https://pbs.twimg.com/profile_images/1632405052085133313/giB8m_yU_normal.jpg")</f>
        <v>https://pbs.twimg.com/profile_images/1632405052085133313/giB8m_yU_normal.jpg</v>
      </c>
      <c r="G165" s="62"/>
      <c r="H165" s="66" t="s">
        <v>415</v>
      </c>
      <c r="I165" s="67"/>
      <c r="J165" s="67" t="s">
        <v>159</v>
      </c>
      <c r="K165" s="66" t="s">
        <v>2819</v>
      </c>
      <c r="L165" s="70">
        <v>477.0952380952381</v>
      </c>
      <c r="M165" s="71">
        <v>909.9354858398438</v>
      </c>
      <c r="N165" s="71">
        <v>4650.08251953125</v>
      </c>
      <c r="O165" s="72"/>
      <c r="P165" s="73"/>
      <c r="Q165" s="73"/>
      <c r="R165" s="86"/>
      <c r="S165" s="45">
        <v>1</v>
      </c>
      <c r="T165" s="45">
        <v>0</v>
      </c>
      <c r="U165" s="46">
        <v>0</v>
      </c>
      <c r="V165" s="46">
        <v>0.30765</v>
      </c>
      <c r="W165" s="46">
        <v>0.05663</v>
      </c>
      <c r="X165" s="46">
        <v>0.00275</v>
      </c>
      <c r="Y165" s="46">
        <v>0</v>
      </c>
      <c r="Z165" s="46">
        <v>0</v>
      </c>
      <c r="AA165" s="68">
        <v>165</v>
      </c>
      <c r="AB165" s="68"/>
      <c r="AC165" s="69"/>
      <c r="AD165" s="76" t="s">
        <v>1410</v>
      </c>
      <c r="AE165" s="80" t="s">
        <v>1717</v>
      </c>
      <c r="AF165" s="76">
        <v>21556</v>
      </c>
      <c r="AG165" s="76">
        <v>952</v>
      </c>
      <c r="AH165" s="76">
        <v>28129</v>
      </c>
      <c r="AI165" s="76">
        <v>25</v>
      </c>
      <c r="AJ165" s="76">
        <v>28476</v>
      </c>
      <c r="AK165" s="76">
        <v>3247</v>
      </c>
      <c r="AL165" s="76" t="b">
        <v>0</v>
      </c>
      <c r="AM165" s="78">
        <v>43563.80829861111</v>
      </c>
      <c r="AN165" s="76" t="s">
        <v>1916</v>
      </c>
      <c r="AO165" s="76" t="s">
        <v>2198</v>
      </c>
      <c r="AP165" s="82" t="str">
        <f>HYPERLINK("https://t.co/v2114bZuEC")</f>
        <v>https://t.co/v2114bZuEC</v>
      </c>
      <c r="AQ165" s="82" t="str">
        <f>HYPERLINK("https://www.instagram.com/laurilinden")</f>
        <v>https://www.instagram.com/laurilinden</v>
      </c>
      <c r="AR165" s="76" t="s">
        <v>2470</v>
      </c>
      <c r="AS165" s="76"/>
      <c r="AT165" s="76"/>
      <c r="AU165" s="76"/>
      <c r="AV165" s="76"/>
      <c r="AW165" s="82" t="str">
        <f>HYPERLINK("https://t.co/v2114bZuEC")</f>
        <v>https://t.co/v2114bZuEC</v>
      </c>
      <c r="AX165" s="76" t="b">
        <v>0</v>
      </c>
      <c r="AY165" s="76"/>
      <c r="AZ165" s="76"/>
      <c r="BA165" s="76" t="b">
        <v>1</v>
      </c>
      <c r="BB165" s="76" t="b">
        <v>1</v>
      </c>
      <c r="BC165" s="76" t="b">
        <v>1</v>
      </c>
      <c r="BD165" s="76" t="b">
        <v>0</v>
      </c>
      <c r="BE165" s="76" t="b">
        <v>1</v>
      </c>
      <c r="BF165" s="76" t="b">
        <v>0</v>
      </c>
      <c r="BG165" s="76" t="b">
        <v>0</v>
      </c>
      <c r="BH165" s="82" t="str">
        <f>HYPERLINK("https://pbs.twimg.com/profile_banners/1115334482788265985/1678229032")</f>
        <v>https://pbs.twimg.com/profile_banners/1115334482788265985/1678229032</v>
      </c>
      <c r="BI165" s="76"/>
      <c r="BJ165" s="76" t="s">
        <v>2656</v>
      </c>
      <c r="BK165" s="76" t="b">
        <v>0</v>
      </c>
      <c r="BL165" s="76"/>
      <c r="BM165" s="76" t="s">
        <v>65</v>
      </c>
      <c r="BN165" s="76" t="s">
        <v>2657</v>
      </c>
      <c r="BO165" s="82" t="str">
        <f>HYPERLINK("https://twitter.com/lauri_linden")</f>
        <v>https://twitter.com/lauri_linden</v>
      </c>
      <c r="BP165" s="76" t="str">
        <f>REPLACE(INDEX(GroupVertices[Group],MATCH(Vertices[[#This Row],[Vertex]],GroupVertices[Vertex],0)),1,1,"")</f>
        <v>1</v>
      </c>
      <c r="BQ165" s="45"/>
      <c r="BR165" s="46"/>
      <c r="BS165" s="45"/>
      <c r="BT165" s="46"/>
      <c r="BU165" s="45"/>
      <c r="BV165" s="46"/>
      <c r="BW165" s="45"/>
      <c r="BX165" s="46"/>
      <c r="BY165" s="45"/>
      <c r="BZ165" s="45"/>
      <c r="CA165" s="45"/>
      <c r="CB165" s="45"/>
      <c r="CC165" s="45"/>
      <c r="CD165" s="45"/>
      <c r="CE165" s="45"/>
      <c r="CF165" s="45"/>
      <c r="CG165" s="45"/>
      <c r="CH165" s="45"/>
      <c r="CI165" s="45"/>
      <c r="CJ165" s="2"/>
    </row>
    <row r="166" spans="1:88" ht="15">
      <c r="A166" s="61" t="s">
        <v>416</v>
      </c>
      <c r="B166" s="62"/>
      <c r="C166" s="62"/>
      <c r="D166" s="63">
        <v>535</v>
      </c>
      <c r="E166" s="65"/>
      <c r="F166" s="100" t="str">
        <f>HYPERLINK("https://pbs.twimg.com/profile_images/1676114693453168641/ou7uDgLs_normal.jpg")</f>
        <v>https://pbs.twimg.com/profile_images/1676114693453168641/ou7uDgLs_normal.jpg</v>
      </c>
      <c r="G166" s="62"/>
      <c r="H166" s="66" t="s">
        <v>416</v>
      </c>
      <c r="I166" s="67"/>
      <c r="J166" s="67" t="s">
        <v>159</v>
      </c>
      <c r="K166" s="66" t="s">
        <v>2820</v>
      </c>
      <c r="L166" s="70">
        <v>477.0952380952381</v>
      </c>
      <c r="M166" s="71">
        <v>809.8117065429688</v>
      </c>
      <c r="N166" s="71">
        <v>9010.9794921875</v>
      </c>
      <c r="O166" s="72"/>
      <c r="P166" s="73"/>
      <c r="Q166" s="73"/>
      <c r="R166" s="86"/>
      <c r="S166" s="45">
        <v>1</v>
      </c>
      <c r="T166" s="45">
        <v>0</v>
      </c>
      <c r="U166" s="46">
        <v>0</v>
      </c>
      <c r="V166" s="46">
        <v>0.30765</v>
      </c>
      <c r="W166" s="46">
        <v>0.05663</v>
      </c>
      <c r="X166" s="46">
        <v>0.00275</v>
      </c>
      <c r="Y166" s="46">
        <v>0</v>
      </c>
      <c r="Z166" s="46">
        <v>0</v>
      </c>
      <c r="AA166" s="68">
        <v>166</v>
      </c>
      <c r="AB166" s="68"/>
      <c r="AC166" s="69"/>
      <c r="AD166" s="76" t="s">
        <v>1411</v>
      </c>
      <c r="AE166" s="80" t="s">
        <v>1718</v>
      </c>
      <c r="AF166" s="76">
        <v>54093</v>
      </c>
      <c r="AG166" s="76">
        <v>8592</v>
      </c>
      <c r="AH166" s="76">
        <v>88968</v>
      </c>
      <c r="AI166" s="76">
        <v>89</v>
      </c>
      <c r="AJ166" s="76">
        <v>236717</v>
      </c>
      <c r="AK166" s="76">
        <v>22572</v>
      </c>
      <c r="AL166" s="76" t="b">
        <v>0</v>
      </c>
      <c r="AM166" s="78">
        <v>41388.52648148148</v>
      </c>
      <c r="AN166" s="76" t="s">
        <v>1898</v>
      </c>
      <c r="AO166" s="76" t="s">
        <v>2199</v>
      </c>
      <c r="AP166" s="76"/>
      <c r="AQ166" s="76"/>
      <c r="AR166" s="76"/>
      <c r="AS166" s="76"/>
      <c r="AT166" s="76"/>
      <c r="AU166" s="76"/>
      <c r="AV166" s="76"/>
      <c r="AW166" s="76"/>
      <c r="AX166" s="76" t="b">
        <v>0</v>
      </c>
      <c r="AY166" s="76"/>
      <c r="AZ166" s="76"/>
      <c r="BA166" s="76" t="b">
        <v>0</v>
      </c>
      <c r="BB166" s="76" t="b">
        <v>0</v>
      </c>
      <c r="BC166" s="76" t="b">
        <v>0</v>
      </c>
      <c r="BD166" s="76" t="b">
        <v>0</v>
      </c>
      <c r="BE166" s="76" t="b">
        <v>1</v>
      </c>
      <c r="BF166" s="76" t="b">
        <v>0</v>
      </c>
      <c r="BG166" s="76" t="b">
        <v>0</v>
      </c>
      <c r="BH166" s="76"/>
      <c r="BI166" s="76"/>
      <c r="BJ166" s="76" t="s">
        <v>2656</v>
      </c>
      <c r="BK166" s="76" t="b">
        <v>0</v>
      </c>
      <c r="BL166" s="76"/>
      <c r="BM166" s="76" t="s">
        <v>65</v>
      </c>
      <c r="BN166" s="76" t="s">
        <v>2657</v>
      </c>
      <c r="BO166" s="82" t="str">
        <f>HYPERLINK("https://twitter.com/dimmu141")</f>
        <v>https://twitter.com/dimmu141</v>
      </c>
      <c r="BP166" s="76" t="str">
        <f>REPLACE(INDEX(GroupVertices[Group],MATCH(Vertices[[#This Row],[Vertex]],GroupVertices[Vertex],0)),1,1,"")</f>
        <v>1</v>
      </c>
      <c r="BQ166" s="45"/>
      <c r="BR166" s="46"/>
      <c r="BS166" s="45"/>
      <c r="BT166" s="46"/>
      <c r="BU166" s="45"/>
      <c r="BV166" s="46"/>
      <c r="BW166" s="45"/>
      <c r="BX166" s="46"/>
      <c r="BY166" s="45"/>
      <c r="BZ166" s="45"/>
      <c r="CA166" s="45"/>
      <c r="CB166" s="45"/>
      <c r="CC166" s="45"/>
      <c r="CD166" s="45"/>
      <c r="CE166" s="45"/>
      <c r="CF166" s="45"/>
      <c r="CG166" s="45"/>
      <c r="CH166" s="45"/>
      <c r="CI166" s="45"/>
      <c r="CJ166" s="2"/>
    </row>
    <row r="167" spans="1:88" ht="15">
      <c r="A167" s="61" t="s">
        <v>417</v>
      </c>
      <c r="B167" s="62"/>
      <c r="C167" s="62"/>
      <c r="D167" s="63">
        <v>535</v>
      </c>
      <c r="E167" s="65"/>
      <c r="F167" s="100" t="str">
        <f>HYPERLINK("https://pbs.twimg.com/profile_images/1238401876900618240/iARMw3Kf_normal.jpg")</f>
        <v>https://pbs.twimg.com/profile_images/1238401876900618240/iARMw3Kf_normal.jpg</v>
      </c>
      <c r="G167" s="62"/>
      <c r="H167" s="66" t="s">
        <v>417</v>
      </c>
      <c r="I167" s="67"/>
      <c r="J167" s="67" t="s">
        <v>159</v>
      </c>
      <c r="K167" s="66" t="s">
        <v>2821</v>
      </c>
      <c r="L167" s="70">
        <v>477.0952380952381</v>
      </c>
      <c r="M167" s="71">
        <v>3686.376708984375</v>
      </c>
      <c r="N167" s="71">
        <v>4967.75244140625</v>
      </c>
      <c r="O167" s="72"/>
      <c r="P167" s="73"/>
      <c r="Q167" s="73"/>
      <c r="R167" s="86"/>
      <c r="S167" s="45">
        <v>1</v>
      </c>
      <c r="T167" s="45">
        <v>0</v>
      </c>
      <c r="U167" s="46">
        <v>0</v>
      </c>
      <c r="V167" s="46">
        <v>0.30765</v>
      </c>
      <c r="W167" s="46">
        <v>0.05663</v>
      </c>
      <c r="X167" s="46">
        <v>0.00275</v>
      </c>
      <c r="Y167" s="46">
        <v>0</v>
      </c>
      <c r="Z167" s="46">
        <v>0</v>
      </c>
      <c r="AA167" s="68">
        <v>167</v>
      </c>
      <c r="AB167" s="68"/>
      <c r="AC167" s="69"/>
      <c r="AD167" s="76" t="s">
        <v>1412</v>
      </c>
      <c r="AE167" s="80" t="s">
        <v>1719</v>
      </c>
      <c r="AF167" s="76">
        <v>479283</v>
      </c>
      <c r="AG167" s="76">
        <v>122</v>
      </c>
      <c r="AH167" s="76">
        <v>270602</v>
      </c>
      <c r="AI167" s="76">
        <v>1035</v>
      </c>
      <c r="AJ167" s="76">
        <v>941</v>
      </c>
      <c r="AK167" s="76">
        <v>638</v>
      </c>
      <c r="AL167" s="76" t="b">
        <v>0</v>
      </c>
      <c r="AM167" s="78">
        <v>39881.8859375</v>
      </c>
      <c r="AN167" s="76" t="s">
        <v>1932</v>
      </c>
      <c r="AO167" s="76" t="s">
        <v>2200</v>
      </c>
      <c r="AP167" s="82" t="str">
        <f>HYPERLINK("https://t.co/xE7Eq9W80V")</f>
        <v>https://t.co/xE7Eq9W80V</v>
      </c>
      <c r="AQ167" s="82" t="str">
        <f>HYPERLINK("http://yle.fi")</f>
        <v>http://yle.fi</v>
      </c>
      <c r="AR167" s="76" t="s">
        <v>2471</v>
      </c>
      <c r="AS167" s="82" t="str">
        <f>HYPERLINK("https://t.co/7dS6bOJFP7")</f>
        <v>https://t.co/7dS6bOJFP7</v>
      </c>
      <c r="AT167" s="82" t="str">
        <f>HYPERLINK("http://asiakaspalvelu.yle.fi/csp")</f>
        <v>http://asiakaspalvelu.yle.fi/csp</v>
      </c>
      <c r="AU167" s="76" t="s">
        <v>2632</v>
      </c>
      <c r="AV167" s="76"/>
      <c r="AW167" s="82" t="str">
        <f>HYPERLINK("https://t.co/xE7Eq9W80V")</f>
        <v>https://t.co/xE7Eq9W80V</v>
      </c>
      <c r="AX167" s="76" t="b">
        <v>0</v>
      </c>
      <c r="AY167" s="76"/>
      <c r="AZ167" s="76"/>
      <c r="BA167" s="76" t="b">
        <v>0</v>
      </c>
      <c r="BB167" s="76" t="b">
        <v>1</v>
      </c>
      <c r="BC167" s="76" t="b">
        <v>0</v>
      </c>
      <c r="BD167" s="76" t="b">
        <v>0</v>
      </c>
      <c r="BE167" s="76" t="b">
        <v>1</v>
      </c>
      <c r="BF167" s="76" t="b">
        <v>0</v>
      </c>
      <c r="BG167" s="76" t="b">
        <v>0</v>
      </c>
      <c r="BH167" s="82" t="str">
        <f>HYPERLINK("https://pbs.twimg.com/profile_banners/23502747/1693399177")</f>
        <v>https://pbs.twimg.com/profile_banners/23502747/1693399177</v>
      </c>
      <c r="BI167" s="76"/>
      <c r="BJ167" s="76" t="s">
        <v>2656</v>
      </c>
      <c r="BK167" s="76" t="b">
        <v>0</v>
      </c>
      <c r="BL167" s="76"/>
      <c r="BM167" s="76" t="s">
        <v>65</v>
      </c>
      <c r="BN167" s="76" t="s">
        <v>2657</v>
      </c>
      <c r="BO167" s="82" t="str">
        <f>HYPERLINK("https://twitter.com/yleuutiset")</f>
        <v>https://twitter.com/yleuutiset</v>
      </c>
      <c r="BP167" s="76" t="str">
        <f>REPLACE(INDEX(GroupVertices[Group],MATCH(Vertices[[#This Row],[Vertex]],GroupVertices[Vertex],0)),1,1,"")</f>
        <v>1</v>
      </c>
      <c r="BQ167" s="45"/>
      <c r="BR167" s="46"/>
      <c r="BS167" s="45"/>
      <c r="BT167" s="46"/>
      <c r="BU167" s="45"/>
      <c r="BV167" s="46"/>
      <c r="BW167" s="45"/>
      <c r="BX167" s="46"/>
      <c r="BY167" s="45"/>
      <c r="BZ167" s="45"/>
      <c r="CA167" s="45"/>
      <c r="CB167" s="45"/>
      <c r="CC167" s="45"/>
      <c r="CD167" s="45"/>
      <c r="CE167" s="45"/>
      <c r="CF167" s="45"/>
      <c r="CG167" s="45"/>
      <c r="CH167" s="45"/>
      <c r="CI167" s="45"/>
      <c r="CJ167" s="2"/>
    </row>
    <row r="168" spans="1:88" ht="15">
      <c r="A168" s="61" t="s">
        <v>418</v>
      </c>
      <c r="B168" s="62"/>
      <c r="C168" s="62"/>
      <c r="D168" s="63">
        <v>535</v>
      </c>
      <c r="E168" s="65"/>
      <c r="F168" s="100" t="str">
        <f>HYPERLINK("https://pbs.twimg.com/profile_images/1646081035375869952/1wqob4cj_normal.jpg")</f>
        <v>https://pbs.twimg.com/profile_images/1646081035375869952/1wqob4cj_normal.jpg</v>
      </c>
      <c r="G168" s="62"/>
      <c r="H168" s="66" t="s">
        <v>418</v>
      </c>
      <c r="I168" s="67"/>
      <c r="J168" s="67" t="s">
        <v>159</v>
      </c>
      <c r="K168" s="66" t="s">
        <v>2822</v>
      </c>
      <c r="L168" s="70">
        <v>477.0952380952381</v>
      </c>
      <c r="M168" s="71">
        <v>2511.737548828125</v>
      </c>
      <c r="N168" s="71">
        <v>9742.6533203125</v>
      </c>
      <c r="O168" s="72"/>
      <c r="P168" s="73"/>
      <c r="Q168" s="73"/>
      <c r="R168" s="86"/>
      <c r="S168" s="45">
        <v>1</v>
      </c>
      <c r="T168" s="45">
        <v>0</v>
      </c>
      <c r="U168" s="46">
        <v>0</v>
      </c>
      <c r="V168" s="46">
        <v>0.30765</v>
      </c>
      <c r="W168" s="46">
        <v>0.05663</v>
      </c>
      <c r="X168" s="46">
        <v>0.00275</v>
      </c>
      <c r="Y168" s="46">
        <v>0</v>
      </c>
      <c r="Z168" s="46">
        <v>0</v>
      </c>
      <c r="AA168" s="68">
        <v>168</v>
      </c>
      <c r="AB168" s="68"/>
      <c r="AC168" s="69"/>
      <c r="AD168" s="76" t="s">
        <v>1413</v>
      </c>
      <c r="AE168" s="80" t="s">
        <v>1720</v>
      </c>
      <c r="AF168" s="76">
        <v>51923</v>
      </c>
      <c r="AG168" s="76">
        <v>1684</v>
      </c>
      <c r="AH168" s="76">
        <v>16394</v>
      </c>
      <c r="AI168" s="76">
        <v>734</v>
      </c>
      <c r="AJ168" s="76">
        <v>47345</v>
      </c>
      <c r="AK168" s="76">
        <v>523</v>
      </c>
      <c r="AL168" s="76" t="b">
        <v>0</v>
      </c>
      <c r="AM168" s="78">
        <v>42683.54405092593</v>
      </c>
      <c r="AN168" s="76" t="s">
        <v>1944</v>
      </c>
      <c r="AO168" s="76" t="s">
        <v>2201</v>
      </c>
      <c r="AP168" s="82" t="str">
        <f>HYPERLINK("https://t.co/99av4r1she")</f>
        <v>https://t.co/99av4r1she</v>
      </c>
      <c r="AQ168" s="82" t="str">
        <f>HYPERLINK("https://www.fiia.fi/en/expert/minna-alander")</f>
        <v>https://www.fiia.fi/en/expert/minna-alander</v>
      </c>
      <c r="AR168" s="76" t="s">
        <v>2472</v>
      </c>
      <c r="AS168" s="76"/>
      <c r="AT168" s="76"/>
      <c r="AU168" s="76"/>
      <c r="AV168" s="76">
        <v>1.68956676465953E+18</v>
      </c>
      <c r="AW168" s="82" t="str">
        <f>HYPERLINK("https://t.co/99av4r1she")</f>
        <v>https://t.co/99av4r1she</v>
      </c>
      <c r="AX168" s="76" t="b">
        <v>0</v>
      </c>
      <c r="AY168" s="76"/>
      <c r="AZ168" s="76"/>
      <c r="BA168" s="76" t="b">
        <v>0</v>
      </c>
      <c r="BB168" s="76" t="b">
        <v>1</v>
      </c>
      <c r="BC168" s="76" t="b">
        <v>1</v>
      </c>
      <c r="BD168" s="76" t="b">
        <v>0</v>
      </c>
      <c r="BE168" s="76" t="b">
        <v>1</v>
      </c>
      <c r="BF168" s="76" t="b">
        <v>0</v>
      </c>
      <c r="BG168" s="76" t="b">
        <v>0</v>
      </c>
      <c r="BH168" s="82" t="str">
        <f>HYPERLINK("https://pbs.twimg.com/profile_banners/796337399991336961/1678729253")</f>
        <v>https://pbs.twimg.com/profile_banners/796337399991336961/1678729253</v>
      </c>
      <c r="BI168" s="76"/>
      <c r="BJ168" s="76" t="s">
        <v>2656</v>
      </c>
      <c r="BK168" s="76" t="b">
        <v>0</v>
      </c>
      <c r="BL168" s="76"/>
      <c r="BM168" s="76" t="s">
        <v>65</v>
      </c>
      <c r="BN168" s="76" t="s">
        <v>2657</v>
      </c>
      <c r="BO168" s="82" t="str">
        <f>HYPERLINK("https://twitter.com/minna_alander")</f>
        <v>https://twitter.com/minna_alander</v>
      </c>
      <c r="BP168" s="76" t="str">
        <f>REPLACE(INDEX(GroupVertices[Group],MATCH(Vertices[[#This Row],[Vertex]],GroupVertices[Vertex],0)),1,1,"")</f>
        <v>1</v>
      </c>
      <c r="BQ168" s="45"/>
      <c r="BR168" s="46"/>
      <c r="BS168" s="45"/>
      <c r="BT168" s="46"/>
      <c r="BU168" s="45"/>
      <c r="BV168" s="46"/>
      <c r="BW168" s="45"/>
      <c r="BX168" s="46"/>
      <c r="BY168" s="45"/>
      <c r="BZ168" s="45"/>
      <c r="CA168" s="45"/>
      <c r="CB168" s="45"/>
      <c r="CC168" s="45"/>
      <c r="CD168" s="45"/>
      <c r="CE168" s="45"/>
      <c r="CF168" s="45"/>
      <c r="CG168" s="45"/>
      <c r="CH168" s="45"/>
      <c r="CI168" s="45"/>
      <c r="CJ168" s="2"/>
    </row>
    <row r="169" spans="1:88" ht="15">
      <c r="A169" s="61" t="s">
        <v>419</v>
      </c>
      <c r="B169" s="62"/>
      <c r="C169" s="62"/>
      <c r="D169" s="63">
        <v>535</v>
      </c>
      <c r="E169" s="65"/>
      <c r="F169" s="100" t="str">
        <f>HYPERLINK("https://pbs.twimg.com/profile_images/1544355506638278661/DRwqT8XV_normal.jpg")</f>
        <v>https://pbs.twimg.com/profile_images/1544355506638278661/DRwqT8XV_normal.jpg</v>
      </c>
      <c r="G169" s="62"/>
      <c r="H169" s="66" t="s">
        <v>419</v>
      </c>
      <c r="I169" s="67"/>
      <c r="J169" s="67" t="s">
        <v>159</v>
      </c>
      <c r="K169" s="66" t="s">
        <v>2823</v>
      </c>
      <c r="L169" s="70">
        <v>477.0952380952381</v>
      </c>
      <c r="M169" s="71">
        <v>425.9515380859375</v>
      </c>
      <c r="N169" s="71">
        <v>8270.3857421875</v>
      </c>
      <c r="O169" s="72"/>
      <c r="P169" s="73"/>
      <c r="Q169" s="73"/>
      <c r="R169" s="86"/>
      <c r="S169" s="45">
        <v>1</v>
      </c>
      <c r="T169" s="45">
        <v>0</v>
      </c>
      <c r="U169" s="46">
        <v>0</v>
      </c>
      <c r="V169" s="46">
        <v>0.30765</v>
      </c>
      <c r="W169" s="46">
        <v>0.05663</v>
      </c>
      <c r="X169" s="46">
        <v>0.00275</v>
      </c>
      <c r="Y169" s="46">
        <v>0</v>
      </c>
      <c r="Z169" s="46">
        <v>0</v>
      </c>
      <c r="AA169" s="68">
        <v>169</v>
      </c>
      <c r="AB169" s="68"/>
      <c r="AC169" s="69"/>
      <c r="AD169" s="76" t="s">
        <v>1414</v>
      </c>
      <c r="AE169" s="80" t="s">
        <v>1721</v>
      </c>
      <c r="AF169" s="76">
        <v>19393</v>
      </c>
      <c r="AG169" s="76">
        <v>9409</v>
      </c>
      <c r="AH169" s="76">
        <v>28979</v>
      </c>
      <c r="AI169" s="76">
        <v>201</v>
      </c>
      <c r="AJ169" s="76">
        <v>34036</v>
      </c>
      <c r="AK169" s="76">
        <v>2246</v>
      </c>
      <c r="AL169" s="76" t="b">
        <v>0</v>
      </c>
      <c r="AM169" s="78">
        <v>40996.61241898148</v>
      </c>
      <c r="AN169" s="76" t="s">
        <v>1903</v>
      </c>
      <c r="AO169" s="76" t="s">
        <v>2202</v>
      </c>
      <c r="AP169" s="82" t="str">
        <f>HYPERLINK("https://t.co/CY6MVFGccN")</f>
        <v>https://t.co/CY6MVFGccN</v>
      </c>
      <c r="AQ169" s="82" t="str">
        <f>HYPERLINK("https://blogs.helsinki.fi/teivaine/")</f>
        <v>https://blogs.helsinki.fi/teivaine/</v>
      </c>
      <c r="AR169" s="76" t="s">
        <v>2473</v>
      </c>
      <c r="AS169" s="82" t="str">
        <f>HYPERLINK("https://t.co/sSXbUiO5cq")</f>
        <v>https://t.co/sSXbUiO5cq</v>
      </c>
      <c r="AT169" s="82" t="str">
        <f>HYPERLINK("http://blogs.helsinki.fi/teivaine/")</f>
        <v>http://blogs.helsinki.fi/teivaine/</v>
      </c>
      <c r="AU169" s="76" t="s">
        <v>2473</v>
      </c>
      <c r="AV169" s="76">
        <v>1.65811994446935E+18</v>
      </c>
      <c r="AW169" s="82" t="str">
        <f>HYPERLINK("https://t.co/CY6MVFGccN")</f>
        <v>https://t.co/CY6MVFGccN</v>
      </c>
      <c r="AX169" s="76" t="b">
        <v>0</v>
      </c>
      <c r="AY169" s="76" t="b">
        <v>1</v>
      </c>
      <c r="AZ169" s="76" t="b">
        <v>1</v>
      </c>
      <c r="BA169" s="76" t="b">
        <v>1</v>
      </c>
      <c r="BB169" s="76" t="b">
        <v>1</v>
      </c>
      <c r="BC169" s="76" t="b">
        <v>0</v>
      </c>
      <c r="BD169" s="76" t="b">
        <v>0</v>
      </c>
      <c r="BE169" s="76" t="b">
        <v>1</v>
      </c>
      <c r="BF169" s="76" t="b">
        <v>0</v>
      </c>
      <c r="BG169" s="76" t="b">
        <v>0</v>
      </c>
      <c r="BH169" s="82" t="str">
        <f>HYPERLINK("https://pbs.twimg.com/profile_banners/539100892/1382184162")</f>
        <v>https://pbs.twimg.com/profile_banners/539100892/1382184162</v>
      </c>
      <c r="BI169" s="76"/>
      <c r="BJ169" s="76" t="s">
        <v>2656</v>
      </c>
      <c r="BK169" s="76" t="b">
        <v>1</v>
      </c>
      <c r="BL169" s="76"/>
      <c r="BM169" s="76" t="s">
        <v>65</v>
      </c>
      <c r="BN169" s="76" t="s">
        <v>2657</v>
      </c>
      <c r="BO169" s="82" t="str">
        <f>HYPERLINK("https://twitter.com/teivoteivainen")</f>
        <v>https://twitter.com/teivoteivainen</v>
      </c>
      <c r="BP169" s="76" t="str">
        <f>REPLACE(INDEX(GroupVertices[Group],MATCH(Vertices[[#This Row],[Vertex]],GroupVertices[Vertex],0)),1,1,"")</f>
        <v>1</v>
      </c>
      <c r="BQ169" s="45"/>
      <c r="BR169" s="46"/>
      <c r="BS169" s="45"/>
      <c r="BT169" s="46"/>
      <c r="BU169" s="45"/>
      <c r="BV169" s="46"/>
      <c r="BW169" s="45"/>
      <c r="BX169" s="46"/>
      <c r="BY169" s="45"/>
      <c r="BZ169" s="45"/>
      <c r="CA169" s="45"/>
      <c r="CB169" s="45"/>
      <c r="CC169" s="45"/>
      <c r="CD169" s="45"/>
      <c r="CE169" s="45"/>
      <c r="CF169" s="45"/>
      <c r="CG169" s="45"/>
      <c r="CH169" s="45"/>
      <c r="CI169" s="45"/>
      <c r="CJ169" s="2"/>
    </row>
    <row r="170" spans="1:88" ht="15">
      <c r="A170" s="61" t="s">
        <v>231</v>
      </c>
      <c r="B170" s="62"/>
      <c r="C170" s="62"/>
      <c r="D170" s="63">
        <v>535</v>
      </c>
      <c r="E170" s="65"/>
      <c r="F170" s="100" t="str">
        <f>HYPERLINK("https://pbs.twimg.com/profile_images/1438648241193725952/lW8Ne8Ji_normal.jpg")</f>
        <v>https://pbs.twimg.com/profile_images/1438648241193725952/lW8Ne8Ji_normal.jpg</v>
      </c>
      <c r="G170" s="62"/>
      <c r="H170" s="66" t="s">
        <v>231</v>
      </c>
      <c r="I170" s="67"/>
      <c r="J170" s="67" t="s">
        <v>159</v>
      </c>
      <c r="K170" s="66" t="s">
        <v>2824</v>
      </c>
      <c r="L170" s="70">
        <v>477.0952380952381</v>
      </c>
      <c r="M170" s="71">
        <v>7305.53271484375</v>
      </c>
      <c r="N170" s="71">
        <v>955.7867431640625</v>
      </c>
      <c r="O170" s="72"/>
      <c r="P170" s="73"/>
      <c r="Q170" s="73"/>
      <c r="R170" s="86"/>
      <c r="S170" s="45">
        <v>1</v>
      </c>
      <c r="T170" s="45">
        <v>1</v>
      </c>
      <c r="U170" s="46">
        <v>0</v>
      </c>
      <c r="V170" s="46">
        <v>0</v>
      </c>
      <c r="W170" s="46">
        <v>0</v>
      </c>
      <c r="X170" s="46">
        <v>0.003165</v>
      </c>
      <c r="Y170" s="46">
        <v>0</v>
      </c>
      <c r="Z170" s="46">
        <v>0</v>
      </c>
      <c r="AA170" s="68">
        <v>170</v>
      </c>
      <c r="AB170" s="68"/>
      <c r="AC170" s="69"/>
      <c r="AD170" s="76" t="s">
        <v>1415</v>
      </c>
      <c r="AE170" s="80" t="s">
        <v>1202</v>
      </c>
      <c r="AF170" s="76">
        <v>51</v>
      </c>
      <c r="AG170" s="76">
        <v>81</v>
      </c>
      <c r="AH170" s="76">
        <v>62</v>
      </c>
      <c r="AI170" s="76">
        <v>1</v>
      </c>
      <c r="AJ170" s="76">
        <v>10</v>
      </c>
      <c r="AK170" s="76">
        <v>46</v>
      </c>
      <c r="AL170" s="76" t="b">
        <v>0</v>
      </c>
      <c r="AM170" s="78">
        <v>44318.62770833333</v>
      </c>
      <c r="AN170" s="76" t="s">
        <v>1945</v>
      </c>
      <c r="AO170" s="76" t="s">
        <v>2203</v>
      </c>
      <c r="AP170" s="82" t="str">
        <f>HYPERLINK("https://t.co/Pf4JWdJS2e")</f>
        <v>https://t.co/Pf4JWdJS2e</v>
      </c>
      <c r="AQ170" s="82" t="str">
        <f>HYPERLINK("https://www.radford.edu/content/chbs/home/smart-lab.html")</f>
        <v>https://www.radford.edu/content/chbs/home/smart-lab.html</v>
      </c>
      <c r="AR170" s="76" t="s">
        <v>2474</v>
      </c>
      <c r="AS170" s="76"/>
      <c r="AT170" s="76"/>
      <c r="AU170" s="76"/>
      <c r="AV170" s="76"/>
      <c r="AW170" s="82" t="str">
        <f>HYPERLINK("https://t.co/Pf4JWdJS2e")</f>
        <v>https://t.co/Pf4JWdJS2e</v>
      </c>
      <c r="AX170" s="76" t="b">
        <v>0</v>
      </c>
      <c r="AY170" s="76"/>
      <c r="AZ170" s="76" t="b">
        <v>1</v>
      </c>
      <c r="BA170" s="76" t="b">
        <v>0</v>
      </c>
      <c r="BB170" s="76" t="b">
        <v>1</v>
      </c>
      <c r="BC170" s="76" t="b">
        <v>1</v>
      </c>
      <c r="BD170" s="76" t="b">
        <v>0</v>
      </c>
      <c r="BE170" s="76" t="b">
        <v>0</v>
      </c>
      <c r="BF170" s="76" t="b">
        <v>0</v>
      </c>
      <c r="BG170" s="76" t="b">
        <v>0</v>
      </c>
      <c r="BH170" s="82" t="str">
        <f>HYPERLINK("https://pbs.twimg.com/profile_banners/1388871798188560387/1631817634")</f>
        <v>https://pbs.twimg.com/profile_banners/1388871798188560387/1631817634</v>
      </c>
      <c r="BI170" s="76"/>
      <c r="BJ170" s="76" t="s">
        <v>2656</v>
      </c>
      <c r="BK170" s="76" t="b">
        <v>1</v>
      </c>
      <c r="BL170" s="76"/>
      <c r="BM170" s="76" t="s">
        <v>66</v>
      </c>
      <c r="BN170" s="76" t="s">
        <v>2657</v>
      </c>
      <c r="BO170" s="82" t="str">
        <f>HYPERLINK("https://twitter.com/smart_lab_ru")</f>
        <v>https://twitter.com/smart_lab_ru</v>
      </c>
      <c r="BP170" s="76" t="str">
        <f>REPLACE(INDEX(GroupVertices[Group],MATCH(Vertices[[#This Row],[Vertex]],GroupVertices[Vertex],0)),1,1,"")</f>
        <v>11</v>
      </c>
      <c r="BQ170" s="45">
        <v>5</v>
      </c>
      <c r="BR170" s="46">
        <v>14.285714285714286</v>
      </c>
      <c r="BS170" s="45">
        <v>0</v>
      </c>
      <c r="BT170" s="46">
        <v>0</v>
      </c>
      <c r="BU170" s="45">
        <v>0</v>
      </c>
      <c r="BV170" s="46">
        <v>0</v>
      </c>
      <c r="BW170" s="45">
        <v>18</v>
      </c>
      <c r="BX170" s="46">
        <v>51.42857142857143</v>
      </c>
      <c r="BY170" s="45">
        <v>35</v>
      </c>
      <c r="BZ170" s="45"/>
      <c r="CA170" s="45"/>
      <c r="CB170" s="45"/>
      <c r="CC170" s="45"/>
      <c r="CD170" s="45" t="s">
        <v>689</v>
      </c>
      <c r="CE170" s="45" t="s">
        <v>689</v>
      </c>
      <c r="CF170" s="112" t="s">
        <v>11596</v>
      </c>
      <c r="CG170" s="112" t="s">
        <v>11596</v>
      </c>
      <c r="CH170" s="112" t="s">
        <v>11651</v>
      </c>
      <c r="CI170" s="112" t="s">
        <v>11651</v>
      </c>
      <c r="CJ170" s="2"/>
    </row>
    <row r="171" spans="1:88" ht="15">
      <c r="A171" s="61" t="s">
        <v>232</v>
      </c>
      <c r="B171" s="62"/>
      <c r="C171" s="62"/>
      <c r="D171" s="63">
        <v>535</v>
      </c>
      <c r="E171" s="65"/>
      <c r="F171" s="100" t="str">
        <f>HYPERLINK("https://pbs.twimg.com/profile_images/1301942070395822081/QKDCqbif_normal.jpg")</f>
        <v>https://pbs.twimg.com/profile_images/1301942070395822081/QKDCqbif_normal.jpg</v>
      </c>
      <c r="G171" s="62"/>
      <c r="H171" s="66" t="s">
        <v>232</v>
      </c>
      <c r="I171" s="67"/>
      <c r="J171" s="67" t="s">
        <v>159</v>
      </c>
      <c r="K171" s="66" t="s">
        <v>2825</v>
      </c>
      <c r="L171" s="70">
        <v>477.0952380952381</v>
      </c>
      <c r="M171" s="71">
        <v>6403.28759765625</v>
      </c>
      <c r="N171" s="71">
        <v>416.6246643066406</v>
      </c>
      <c r="O171" s="72"/>
      <c r="P171" s="73"/>
      <c r="Q171" s="73"/>
      <c r="R171" s="86"/>
      <c r="S171" s="45">
        <v>1</v>
      </c>
      <c r="T171" s="45">
        <v>1</v>
      </c>
      <c r="U171" s="46">
        <v>0</v>
      </c>
      <c r="V171" s="46">
        <v>0</v>
      </c>
      <c r="W171" s="46">
        <v>0</v>
      </c>
      <c r="X171" s="46">
        <v>0.003165</v>
      </c>
      <c r="Y171" s="46">
        <v>0</v>
      </c>
      <c r="Z171" s="46">
        <v>0</v>
      </c>
      <c r="AA171" s="68">
        <v>171</v>
      </c>
      <c r="AB171" s="68"/>
      <c r="AC171" s="69"/>
      <c r="AD171" s="76" t="s">
        <v>1416</v>
      </c>
      <c r="AE171" s="80" t="s">
        <v>1722</v>
      </c>
      <c r="AF171" s="76">
        <v>596</v>
      </c>
      <c r="AG171" s="76">
        <v>896</v>
      </c>
      <c r="AH171" s="76">
        <v>14933</v>
      </c>
      <c r="AI171" s="76">
        <v>3</v>
      </c>
      <c r="AJ171" s="76">
        <v>782</v>
      </c>
      <c r="AK171" s="76">
        <v>210</v>
      </c>
      <c r="AL171" s="76" t="b">
        <v>0</v>
      </c>
      <c r="AM171" s="78">
        <v>40829.61969907407</v>
      </c>
      <c r="AN171" s="76" t="s">
        <v>1946</v>
      </c>
      <c r="AO171" s="76" t="s">
        <v>2204</v>
      </c>
      <c r="AP171" s="76"/>
      <c r="AQ171" s="76"/>
      <c r="AR171" s="76"/>
      <c r="AS171" s="76"/>
      <c r="AT171" s="76"/>
      <c r="AU171" s="76"/>
      <c r="AV171" s="76">
        <v>1.03054909601508E+18</v>
      </c>
      <c r="AW171" s="76"/>
      <c r="AX171" s="76" t="b">
        <v>0</v>
      </c>
      <c r="AY171" s="76"/>
      <c r="AZ171" s="76"/>
      <c r="BA171" s="76" t="b">
        <v>0</v>
      </c>
      <c r="BB171" s="76" t="b">
        <v>0</v>
      </c>
      <c r="BC171" s="76" t="b">
        <v>0</v>
      </c>
      <c r="BD171" s="76" t="b">
        <v>0</v>
      </c>
      <c r="BE171" s="76" t="b">
        <v>1</v>
      </c>
      <c r="BF171" s="76" t="b">
        <v>0</v>
      </c>
      <c r="BG171" s="76" t="b">
        <v>0</v>
      </c>
      <c r="BH171" s="82" t="str">
        <f>HYPERLINK("https://pbs.twimg.com/profile_banners/390149103/1683472293")</f>
        <v>https://pbs.twimg.com/profile_banners/390149103/1683472293</v>
      </c>
      <c r="BI171" s="76"/>
      <c r="BJ171" s="76" t="s">
        <v>2656</v>
      </c>
      <c r="BK171" s="76" t="b">
        <v>0</v>
      </c>
      <c r="BL171" s="76"/>
      <c r="BM171" s="76" t="s">
        <v>66</v>
      </c>
      <c r="BN171" s="76" t="s">
        <v>2657</v>
      </c>
      <c r="BO171" s="82" t="str">
        <f>HYPERLINK("https://twitter.com/diiityaardhi")</f>
        <v>https://twitter.com/diiityaardhi</v>
      </c>
      <c r="BP171" s="76" t="str">
        <f>REPLACE(INDEX(GroupVertices[Group],MATCH(Vertices[[#This Row],[Vertex]],GroupVertices[Vertex],0)),1,1,"")</f>
        <v>11</v>
      </c>
      <c r="BQ171" s="45">
        <v>0</v>
      </c>
      <c r="BR171" s="46">
        <v>0</v>
      </c>
      <c r="BS171" s="45">
        <v>0</v>
      </c>
      <c r="BT171" s="46">
        <v>0</v>
      </c>
      <c r="BU171" s="45">
        <v>0</v>
      </c>
      <c r="BV171" s="46">
        <v>0</v>
      </c>
      <c r="BW171" s="45">
        <v>8</v>
      </c>
      <c r="BX171" s="46">
        <v>33.333333333333336</v>
      </c>
      <c r="BY171" s="45">
        <v>24</v>
      </c>
      <c r="BZ171" s="45" t="s">
        <v>11241</v>
      </c>
      <c r="CA171" s="45" t="s">
        <v>11241</v>
      </c>
      <c r="CB171" s="45" t="s">
        <v>740</v>
      </c>
      <c r="CC171" s="45" t="s">
        <v>740</v>
      </c>
      <c r="CD171" s="45"/>
      <c r="CE171" s="45"/>
      <c r="CF171" s="112" t="s">
        <v>11597</v>
      </c>
      <c r="CG171" s="112" t="s">
        <v>11597</v>
      </c>
      <c r="CH171" s="112" t="s">
        <v>11652</v>
      </c>
      <c r="CI171" s="112" t="s">
        <v>11652</v>
      </c>
      <c r="CJ171" s="2"/>
    </row>
    <row r="172" spans="1:88" ht="15">
      <c r="A172" s="61" t="s">
        <v>233</v>
      </c>
      <c r="B172" s="62"/>
      <c r="C172" s="62"/>
      <c r="D172" s="63">
        <v>535</v>
      </c>
      <c r="E172" s="65"/>
      <c r="F172" s="100" t="str">
        <f>HYPERLINK("https://pbs.twimg.com/profile_images/378800000342936560/e4402efad1269fe86c47766d74ede55e_normal.png")</f>
        <v>https://pbs.twimg.com/profile_images/378800000342936560/e4402efad1269fe86c47766d74ede55e_normal.png</v>
      </c>
      <c r="G172" s="62"/>
      <c r="H172" s="66" t="s">
        <v>233</v>
      </c>
      <c r="I172" s="67"/>
      <c r="J172" s="67" t="s">
        <v>159</v>
      </c>
      <c r="K172" s="66" t="s">
        <v>2826</v>
      </c>
      <c r="L172" s="70">
        <v>477.0952380952381</v>
      </c>
      <c r="M172" s="71">
        <v>7305.53271484375</v>
      </c>
      <c r="N172" s="71">
        <v>416.6246643066406</v>
      </c>
      <c r="O172" s="72"/>
      <c r="P172" s="73"/>
      <c r="Q172" s="73"/>
      <c r="R172" s="86"/>
      <c r="S172" s="45">
        <v>1</v>
      </c>
      <c r="T172" s="45">
        <v>1</v>
      </c>
      <c r="U172" s="46">
        <v>0</v>
      </c>
      <c r="V172" s="46">
        <v>0</v>
      </c>
      <c r="W172" s="46">
        <v>0</v>
      </c>
      <c r="X172" s="46">
        <v>0.003165</v>
      </c>
      <c r="Y172" s="46">
        <v>0</v>
      </c>
      <c r="Z172" s="46">
        <v>0</v>
      </c>
      <c r="AA172" s="68">
        <v>172</v>
      </c>
      <c r="AB172" s="68"/>
      <c r="AC172" s="69"/>
      <c r="AD172" s="76" t="s">
        <v>1417</v>
      </c>
      <c r="AE172" s="80" t="s">
        <v>1723</v>
      </c>
      <c r="AF172" s="76">
        <v>219</v>
      </c>
      <c r="AG172" s="76">
        <v>317</v>
      </c>
      <c r="AH172" s="76">
        <v>3256</v>
      </c>
      <c r="AI172" s="76">
        <v>4</v>
      </c>
      <c r="AJ172" s="76">
        <v>1738</v>
      </c>
      <c r="AK172" s="76">
        <v>2164</v>
      </c>
      <c r="AL172" s="76" t="b">
        <v>0</v>
      </c>
      <c r="AM172" s="78">
        <v>40922.22167824074</v>
      </c>
      <c r="AN172" s="76"/>
      <c r="AO172" s="76" t="s">
        <v>2205</v>
      </c>
      <c r="AP172" s="82" t="str">
        <f>HYPERLINK("https://t.co/oSP9KkaSPX")</f>
        <v>https://t.co/oSP9KkaSPX</v>
      </c>
      <c r="AQ172" s="82" t="str">
        <f>HYPERLINK("http://www.prodomosua.it")</f>
        <v>http://www.prodomosua.it</v>
      </c>
      <c r="AR172" s="76" t="s">
        <v>2475</v>
      </c>
      <c r="AS172" s="76"/>
      <c r="AT172" s="76"/>
      <c r="AU172" s="76"/>
      <c r="AV172" s="76"/>
      <c r="AW172" s="82" t="str">
        <f>HYPERLINK("https://t.co/oSP9KkaSPX")</f>
        <v>https://t.co/oSP9KkaSPX</v>
      </c>
      <c r="AX172" s="76" t="b">
        <v>0</v>
      </c>
      <c r="AY172" s="76" t="b">
        <v>1</v>
      </c>
      <c r="AZ172" s="76" t="b">
        <v>1</v>
      </c>
      <c r="BA172" s="76" t="b">
        <v>1</v>
      </c>
      <c r="BB172" s="76" t="b">
        <v>1</v>
      </c>
      <c r="BC172" s="76" t="b">
        <v>0</v>
      </c>
      <c r="BD172" s="76" t="b">
        <v>0</v>
      </c>
      <c r="BE172" s="76" t="b">
        <v>0</v>
      </c>
      <c r="BF172" s="76" t="b">
        <v>0</v>
      </c>
      <c r="BG172" s="76" t="b">
        <v>0</v>
      </c>
      <c r="BH172" s="82" t="str">
        <f>HYPERLINK("https://pbs.twimg.com/profile_banners/463504626/1568690943")</f>
        <v>https://pbs.twimg.com/profile_banners/463504626/1568690943</v>
      </c>
      <c r="BI172" s="76"/>
      <c r="BJ172" s="76" t="s">
        <v>2656</v>
      </c>
      <c r="BK172" s="76" t="b">
        <v>1</v>
      </c>
      <c r="BL172" s="76"/>
      <c r="BM172" s="76" t="s">
        <v>66</v>
      </c>
      <c r="BN172" s="76" t="s">
        <v>2657</v>
      </c>
      <c r="BO172" s="82" t="str">
        <f>HYPERLINK("https://twitter.com/fromalias")</f>
        <v>https://twitter.com/fromalias</v>
      </c>
      <c r="BP172" s="76" t="str">
        <f>REPLACE(INDEX(GroupVertices[Group],MATCH(Vertices[[#This Row],[Vertex]],GroupVertices[Vertex],0)),1,1,"")</f>
        <v>11</v>
      </c>
      <c r="BQ172" s="45">
        <v>0</v>
      </c>
      <c r="BR172" s="46">
        <v>0</v>
      </c>
      <c r="BS172" s="45">
        <v>0</v>
      </c>
      <c r="BT172" s="46">
        <v>0</v>
      </c>
      <c r="BU172" s="45">
        <v>0</v>
      </c>
      <c r="BV172" s="46">
        <v>0</v>
      </c>
      <c r="BW172" s="45">
        <v>12</v>
      </c>
      <c r="BX172" s="46">
        <v>100</v>
      </c>
      <c r="BY172" s="45">
        <v>12</v>
      </c>
      <c r="BZ172" s="45" t="s">
        <v>11542</v>
      </c>
      <c r="CA172" s="45" t="s">
        <v>11542</v>
      </c>
      <c r="CB172" s="45" t="s">
        <v>742</v>
      </c>
      <c r="CC172" s="45" t="s">
        <v>742</v>
      </c>
      <c r="CD172" s="45" t="s">
        <v>11565</v>
      </c>
      <c r="CE172" s="45" t="s">
        <v>11575</v>
      </c>
      <c r="CF172" s="112" t="s">
        <v>11598</v>
      </c>
      <c r="CG172" s="112" t="s">
        <v>11632</v>
      </c>
      <c r="CH172" s="112" t="s">
        <v>11653</v>
      </c>
      <c r="CI172" s="112" t="s">
        <v>11653</v>
      </c>
      <c r="CJ172" s="2"/>
    </row>
    <row r="173" spans="1:88" ht="15">
      <c r="A173" s="61" t="s">
        <v>420</v>
      </c>
      <c r="B173" s="62"/>
      <c r="C173" s="62"/>
      <c r="D173" s="63">
        <v>1000</v>
      </c>
      <c r="E173" s="65"/>
      <c r="F173" s="100" t="str">
        <f>HYPERLINK("https://pbs.twimg.com/profile_images/1249133909071314945/ErFO4P-f_normal.jpg")</f>
        <v>https://pbs.twimg.com/profile_images/1249133909071314945/ErFO4P-f_normal.jpg</v>
      </c>
      <c r="G173" s="62"/>
      <c r="H173" s="66" t="s">
        <v>420</v>
      </c>
      <c r="I173" s="67"/>
      <c r="J173" s="67" t="s">
        <v>159</v>
      </c>
      <c r="K173" s="66" t="s">
        <v>2827</v>
      </c>
      <c r="L173" s="70">
        <v>953.1904761904761</v>
      </c>
      <c r="M173" s="71">
        <v>4635.35546875</v>
      </c>
      <c r="N173" s="71">
        <v>9310.4453125</v>
      </c>
      <c r="O173" s="72"/>
      <c r="P173" s="73"/>
      <c r="Q173" s="73"/>
      <c r="R173" s="86"/>
      <c r="S173" s="45">
        <v>2</v>
      </c>
      <c r="T173" s="45">
        <v>0</v>
      </c>
      <c r="U173" s="46">
        <v>0</v>
      </c>
      <c r="V173" s="46">
        <v>0.254158</v>
      </c>
      <c r="W173" s="46">
        <v>0.007986</v>
      </c>
      <c r="X173" s="46">
        <v>0.002845</v>
      </c>
      <c r="Y173" s="46">
        <v>1</v>
      </c>
      <c r="Z173" s="46">
        <v>0</v>
      </c>
      <c r="AA173" s="68">
        <v>173</v>
      </c>
      <c r="AB173" s="68"/>
      <c r="AC173" s="69"/>
      <c r="AD173" s="76" t="s">
        <v>1418</v>
      </c>
      <c r="AE173" s="80" t="s">
        <v>1724</v>
      </c>
      <c r="AF173" s="76">
        <v>142</v>
      </c>
      <c r="AG173" s="76">
        <v>99</v>
      </c>
      <c r="AH173" s="76">
        <v>282</v>
      </c>
      <c r="AI173" s="76">
        <v>4</v>
      </c>
      <c r="AJ173" s="76">
        <v>253</v>
      </c>
      <c r="AK173" s="76">
        <v>22</v>
      </c>
      <c r="AL173" s="76" t="b">
        <v>0</v>
      </c>
      <c r="AM173" s="78">
        <v>43928.200162037036</v>
      </c>
      <c r="AN173" s="76" t="s">
        <v>1947</v>
      </c>
      <c r="AO173" s="76" t="s">
        <v>2206</v>
      </c>
      <c r="AP173" s="82" t="str">
        <f>HYPERLINK("https://t.co/HFkNGOODqE")</f>
        <v>https://t.co/HFkNGOODqE</v>
      </c>
      <c r="AQ173" s="82" t="str">
        <f>HYPERLINK("https://bit.ly/3dWRkWm")</f>
        <v>https://bit.ly/3dWRkWm</v>
      </c>
      <c r="AR173" s="76" t="s">
        <v>2476</v>
      </c>
      <c r="AS173" s="76"/>
      <c r="AT173" s="76"/>
      <c r="AU173" s="76"/>
      <c r="AV173" s="76"/>
      <c r="AW173" s="82" t="str">
        <f>HYPERLINK("https://t.co/HFkNGOODqE")</f>
        <v>https://t.co/HFkNGOODqE</v>
      </c>
      <c r="AX173" s="76" t="b">
        <v>0</v>
      </c>
      <c r="AY173" s="76"/>
      <c r="AZ173" s="76"/>
      <c r="BA173" s="76" t="b">
        <v>0</v>
      </c>
      <c r="BB173" s="76" t="b">
        <v>1</v>
      </c>
      <c r="BC173" s="76" t="b">
        <v>1</v>
      </c>
      <c r="BD173" s="76" t="b">
        <v>0</v>
      </c>
      <c r="BE173" s="76" t="b">
        <v>1</v>
      </c>
      <c r="BF173" s="76" t="b">
        <v>0</v>
      </c>
      <c r="BG173" s="76" t="b">
        <v>0</v>
      </c>
      <c r="BH173" s="82" t="str">
        <f>HYPERLINK("https://pbs.twimg.com/profile_banners/1247385614720339976/1586235591")</f>
        <v>https://pbs.twimg.com/profile_banners/1247385614720339976/1586235591</v>
      </c>
      <c r="BI173" s="76"/>
      <c r="BJ173" s="76" t="s">
        <v>2656</v>
      </c>
      <c r="BK173" s="76" t="b">
        <v>0</v>
      </c>
      <c r="BL173" s="76"/>
      <c r="BM173" s="76" t="s">
        <v>65</v>
      </c>
      <c r="BN173" s="76" t="s">
        <v>2657</v>
      </c>
      <c r="BO173" s="82" t="str">
        <f>HYPERLINK("https://twitter.com/unosmlre")</f>
        <v>https://twitter.com/unosmlre</v>
      </c>
      <c r="BP173" s="76" t="str">
        <f>REPLACE(INDEX(GroupVertices[Group],MATCH(Vertices[[#This Row],[Vertex]],GroupVertices[Vertex],0)),1,1,"")</f>
        <v>2</v>
      </c>
      <c r="BQ173" s="45"/>
      <c r="BR173" s="46"/>
      <c r="BS173" s="45"/>
      <c r="BT173" s="46"/>
      <c r="BU173" s="45"/>
      <c r="BV173" s="46"/>
      <c r="BW173" s="45"/>
      <c r="BX173" s="46"/>
      <c r="BY173" s="45"/>
      <c r="BZ173" s="45"/>
      <c r="CA173" s="45"/>
      <c r="CB173" s="45"/>
      <c r="CC173" s="45"/>
      <c r="CD173" s="45"/>
      <c r="CE173" s="45"/>
      <c r="CF173" s="45"/>
      <c r="CG173" s="45"/>
      <c r="CH173" s="45"/>
      <c r="CI173" s="45"/>
      <c r="CJ173" s="2"/>
    </row>
    <row r="174" spans="1:88" ht="15">
      <c r="A174" s="61" t="s">
        <v>235</v>
      </c>
      <c r="B174" s="62"/>
      <c r="C174" s="62"/>
      <c r="D174" s="63">
        <v>1000</v>
      </c>
      <c r="E174" s="65"/>
      <c r="F174" s="100" t="str">
        <f>HYPERLINK("https://pbs.twimg.com/profile_images/912667889395798022/pMoB2qc8_normal.jpg")</f>
        <v>https://pbs.twimg.com/profile_images/912667889395798022/pMoB2qc8_normal.jpg</v>
      </c>
      <c r="G174" s="62"/>
      <c r="H174" s="66" t="s">
        <v>235</v>
      </c>
      <c r="I174" s="67"/>
      <c r="J174" s="67" t="s">
        <v>159</v>
      </c>
      <c r="K174" s="66" t="s">
        <v>2828</v>
      </c>
      <c r="L174" s="70">
        <v>1429.2857142857142</v>
      </c>
      <c r="M174" s="71">
        <v>5229.5927734375</v>
      </c>
      <c r="N174" s="71">
        <v>8472.490234375</v>
      </c>
      <c r="O174" s="72"/>
      <c r="P174" s="73"/>
      <c r="Q174" s="73"/>
      <c r="R174" s="86"/>
      <c r="S174" s="45">
        <v>3</v>
      </c>
      <c r="T174" s="45">
        <v>7</v>
      </c>
      <c r="U174" s="46">
        <v>3282.624191</v>
      </c>
      <c r="V174" s="46">
        <v>0.347509</v>
      </c>
      <c r="W174" s="46">
        <v>0.048244</v>
      </c>
      <c r="X174" s="46">
        <v>0.003659</v>
      </c>
      <c r="Y174" s="46">
        <v>0.11904761904761904</v>
      </c>
      <c r="Z174" s="46">
        <v>0.42857142857142855</v>
      </c>
      <c r="AA174" s="68">
        <v>174</v>
      </c>
      <c r="AB174" s="68"/>
      <c r="AC174" s="69"/>
      <c r="AD174" s="76" t="s">
        <v>1419</v>
      </c>
      <c r="AE174" s="80" t="s">
        <v>1177</v>
      </c>
      <c r="AF174" s="76">
        <v>6464</v>
      </c>
      <c r="AG174" s="76">
        <v>1444</v>
      </c>
      <c r="AH174" s="76">
        <v>167337</v>
      </c>
      <c r="AI174" s="76">
        <v>505</v>
      </c>
      <c r="AJ174" s="76">
        <v>49359</v>
      </c>
      <c r="AK174" s="76">
        <v>19516</v>
      </c>
      <c r="AL174" s="76" t="b">
        <v>0</v>
      </c>
      <c r="AM174" s="78">
        <v>39456.03121527778</v>
      </c>
      <c r="AN174" s="76" t="s">
        <v>1948</v>
      </c>
      <c r="AO174" s="76" t="s">
        <v>2207</v>
      </c>
      <c r="AP174" s="82" t="str">
        <f>HYPERLINK("https://t.co/FXF8LWikG0")</f>
        <v>https://t.co/FXF8LWikG0</v>
      </c>
      <c r="AQ174" s="82" t="str">
        <f>HYPERLINK("https://amzn.to/3DHnuRf")</f>
        <v>https://amzn.to/3DHnuRf</v>
      </c>
      <c r="AR174" s="76" t="s">
        <v>2477</v>
      </c>
      <c r="AS174" s="82" t="str">
        <f>HYPERLINK("https://t.co/AXr4S186OC")</f>
        <v>https://t.co/AXr4S186OC</v>
      </c>
      <c r="AT174" s="82" t="str">
        <f>HYPERLINK("http://amzn.to/2UaIVcv")</f>
        <v>http://amzn.to/2UaIVcv</v>
      </c>
      <c r="AU174" s="76" t="s">
        <v>2633</v>
      </c>
      <c r="AV174" s="76">
        <v>1.68135640857337E+18</v>
      </c>
      <c r="AW174" s="82" t="str">
        <f>HYPERLINK("https://t.co/FXF8LWikG0")</f>
        <v>https://t.co/FXF8LWikG0</v>
      </c>
      <c r="AX174" s="76" t="b">
        <v>1</v>
      </c>
      <c r="AY174" s="76"/>
      <c r="AZ174" s="76" t="b">
        <v>1</v>
      </c>
      <c r="BA174" s="76" t="b">
        <v>0</v>
      </c>
      <c r="BB174" s="76" t="b">
        <v>1</v>
      </c>
      <c r="BC174" s="76" t="b">
        <v>0</v>
      </c>
      <c r="BD174" s="76" t="b">
        <v>0</v>
      </c>
      <c r="BE174" s="76" t="b">
        <v>1</v>
      </c>
      <c r="BF174" s="76" t="b">
        <v>0</v>
      </c>
      <c r="BG174" s="76" t="b">
        <v>0</v>
      </c>
      <c r="BH174" s="82" t="str">
        <f>HYPERLINK("https://pbs.twimg.com/profile_banners/12006842/1693589509")</f>
        <v>https://pbs.twimg.com/profile_banners/12006842/1693589509</v>
      </c>
      <c r="BI174" s="76"/>
      <c r="BJ174" s="76" t="s">
        <v>2656</v>
      </c>
      <c r="BK174" s="76" t="b">
        <v>1</v>
      </c>
      <c r="BL174" s="76"/>
      <c r="BM174" s="76" t="s">
        <v>66</v>
      </c>
      <c r="BN174" s="76" t="s">
        <v>2657</v>
      </c>
      <c r="BO174" s="82" t="str">
        <f>HYPERLINK("https://twitter.com/jeremyhl")</f>
        <v>https://twitter.com/jeremyhl</v>
      </c>
      <c r="BP174" s="76" t="str">
        <f>REPLACE(INDEX(GroupVertices[Group],MATCH(Vertices[[#This Row],[Vertex]],GroupVertices[Vertex],0)),1,1,"")</f>
        <v>2</v>
      </c>
      <c r="BQ174" s="45">
        <v>2</v>
      </c>
      <c r="BR174" s="46">
        <v>4.166666666666667</v>
      </c>
      <c r="BS174" s="45">
        <v>0</v>
      </c>
      <c r="BT174" s="46">
        <v>0</v>
      </c>
      <c r="BU174" s="45">
        <v>0</v>
      </c>
      <c r="BV174" s="46">
        <v>0</v>
      </c>
      <c r="BW174" s="45">
        <v>35</v>
      </c>
      <c r="BX174" s="46">
        <v>72.91666666666667</v>
      </c>
      <c r="BY174" s="45">
        <v>48</v>
      </c>
      <c r="BZ174" s="45" t="s">
        <v>11240</v>
      </c>
      <c r="CA174" s="45" t="s">
        <v>11240</v>
      </c>
      <c r="CB174" s="45" t="s">
        <v>744</v>
      </c>
      <c r="CC174" s="45" t="s">
        <v>744</v>
      </c>
      <c r="CD174" s="45" t="s">
        <v>11566</v>
      </c>
      <c r="CE174" s="45" t="s">
        <v>11576</v>
      </c>
      <c r="CF174" s="112" t="s">
        <v>11599</v>
      </c>
      <c r="CG174" s="112" t="s">
        <v>11633</v>
      </c>
      <c r="CH174" s="112" t="s">
        <v>11654</v>
      </c>
      <c r="CI174" s="112" t="s">
        <v>11686</v>
      </c>
      <c r="CJ174" s="2"/>
    </row>
    <row r="175" spans="1:88" ht="15">
      <c r="A175" s="61" t="s">
        <v>421</v>
      </c>
      <c r="B175" s="62"/>
      <c r="C175" s="62"/>
      <c r="D175" s="63">
        <v>1000</v>
      </c>
      <c r="E175" s="65"/>
      <c r="F175" s="100" t="str">
        <f>HYPERLINK("https://pbs.twimg.com/profile_images/1675345468073672705/ni_T9j9m_normal.jpg")</f>
        <v>https://pbs.twimg.com/profile_images/1675345468073672705/ni_T9j9m_normal.jpg</v>
      </c>
      <c r="G175" s="62"/>
      <c r="H175" s="66" t="s">
        <v>421</v>
      </c>
      <c r="I175" s="67"/>
      <c r="J175" s="67" t="s">
        <v>159</v>
      </c>
      <c r="K175" s="66" t="s">
        <v>2829</v>
      </c>
      <c r="L175" s="70">
        <v>953.1904761904761</v>
      </c>
      <c r="M175" s="71">
        <v>5143.41455078125</v>
      </c>
      <c r="N175" s="71">
        <v>9809.3125</v>
      </c>
      <c r="O175" s="72"/>
      <c r="P175" s="73"/>
      <c r="Q175" s="73"/>
      <c r="R175" s="86"/>
      <c r="S175" s="45">
        <v>2</v>
      </c>
      <c r="T175" s="45">
        <v>0</v>
      </c>
      <c r="U175" s="46">
        <v>0</v>
      </c>
      <c r="V175" s="46">
        <v>0.254158</v>
      </c>
      <c r="W175" s="46">
        <v>0.007986</v>
      </c>
      <c r="X175" s="46">
        <v>0.002845</v>
      </c>
      <c r="Y175" s="46">
        <v>1</v>
      </c>
      <c r="Z175" s="46">
        <v>0</v>
      </c>
      <c r="AA175" s="68">
        <v>175</v>
      </c>
      <c r="AB175" s="68"/>
      <c r="AC175" s="69"/>
      <c r="AD175" s="76" t="s">
        <v>1420</v>
      </c>
      <c r="AE175" s="80" t="s">
        <v>1725</v>
      </c>
      <c r="AF175" s="76">
        <v>926</v>
      </c>
      <c r="AG175" s="76">
        <v>1158</v>
      </c>
      <c r="AH175" s="76">
        <v>10639</v>
      </c>
      <c r="AI175" s="76">
        <v>52</v>
      </c>
      <c r="AJ175" s="76">
        <v>1488</v>
      </c>
      <c r="AK175" s="76">
        <v>1990</v>
      </c>
      <c r="AL175" s="76" t="b">
        <v>0</v>
      </c>
      <c r="AM175" s="78">
        <v>39858.732766203706</v>
      </c>
      <c r="AN175" s="76" t="s">
        <v>996</v>
      </c>
      <c r="AO175" s="76" t="s">
        <v>2208</v>
      </c>
      <c r="AP175" s="82" t="str">
        <f>HYPERLINK("https://t.co/FGKvVH1iSY")</f>
        <v>https://t.co/FGKvVH1iSY</v>
      </c>
      <c r="AQ175" s="82" t="str">
        <f>HYPERLINK("http://truescope.com/contact")</f>
        <v>http://truescope.com/contact</v>
      </c>
      <c r="AR175" s="76" t="s">
        <v>2478</v>
      </c>
      <c r="AS175" s="76"/>
      <c r="AT175" s="76"/>
      <c r="AU175" s="76"/>
      <c r="AV175" s="76"/>
      <c r="AW175" s="82" t="str">
        <f>HYPERLINK("https://t.co/FGKvVH1iSY")</f>
        <v>https://t.co/FGKvVH1iSY</v>
      </c>
      <c r="AX175" s="76" t="b">
        <v>0</v>
      </c>
      <c r="AY175" s="76"/>
      <c r="AZ175" s="76"/>
      <c r="BA175" s="76" t="b">
        <v>1</v>
      </c>
      <c r="BB175" s="76" t="b">
        <v>1</v>
      </c>
      <c r="BC175" s="76" t="b">
        <v>0</v>
      </c>
      <c r="BD175" s="76" t="b">
        <v>0</v>
      </c>
      <c r="BE175" s="76" t="b">
        <v>0</v>
      </c>
      <c r="BF175" s="76" t="b">
        <v>0</v>
      </c>
      <c r="BG175" s="76" t="b">
        <v>0</v>
      </c>
      <c r="BH175" s="82" t="str">
        <f>HYPERLINK("https://pbs.twimg.com/profile_banners/20859669/1674930599")</f>
        <v>https://pbs.twimg.com/profile_banners/20859669/1674930599</v>
      </c>
      <c r="BI175" s="76"/>
      <c r="BJ175" s="76" t="s">
        <v>2656</v>
      </c>
      <c r="BK175" s="76" t="b">
        <v>0</v>
      </c>
      <c r="BL175" s="76"/>
      <c r="BM175" s="76" t="s">
        <v>65</v>
      </c>
      <c r="BN175" s="76" t="s">
        <v>2657</v>
      </c>
      <c r="BO175" s="82" t="str">
        <f>HYPERLINK("https://twitter.com/truescope_na")</f>
        <v>https://twitter.com/truescope_na</v>
      </c>
      <c r="BP175" s="76" t="str">
        <f>REPLACE(INDEX(GroupVertices[Group],MATCH(Vertices[[#This Row],[Vertex]],GroupVertices[Vertex],0)),1,1,"")</f>
        <v>2</v>
      </c>
      <c r="BQ175" s="45"/>
      <c r="BR175" s="46"/>
      <c r="BS175" s="45"/>
      <c r="BT175" s="46"/>
      <c r="BU175" s="45"/>
      <c r="BV175" s="46"/>
      <c r="BW175" s="45"/>
      <c r="BX175" s="46"/>
      <c r="BY175" s="45"/>
      <c r="BZ175" s="45"/>
      <c r="CA175" s="45"/>
      <c r="CB175" s="45"/>
      <c r="CC175" s="45"/>
      <c r="CD175" s="45"/>
      <c r="CE175" s="45"/>
      <c r="CF175" s="45"/>
      <c r="CG175" s="45"/>
      <c r="CH175" s="45"/>
      <c r="CI175" s="45"/>
      <c r="CJ175" s="2"/>
    </row>
    <row r="176" spans="1:88" ht="15">
      <c r="A176" s="61" t="s">
        <v>422</v>
      </c>
      <c r="B176" s="62"/>
      <c r="C176" s="62"/>
      <c r="D176" s="63">
        <v>1000</v>
      </c>
      <c r="E176" s="65"/>
      <c r="F176" s="100" t="str">
        <f>HYPERLINK("https://pbs.twimg.com/profile_images/1689349298691948544/gtSPd8ph_normal.jpg")</f>
        <v>https://pbs.twimg.com/profile_images/1689349298691948544/gtSPd8ph_normal.jpg</v>
      </c>
      <c r="G176" s="62"/>
      <c r="H176" s="66" t="s">
        <v>422</v>
      </c>
      <c r="I176" s="67"/>
      <c r="J176" s="67" t="s">
        <v>159</v>
      </c>
      <c r="K176" s="66" t="s">
        <v>2830</v>
      </c>
      <c r="L176" s="70">
        <v>953.1904761904761</v>
      </c>
      <c r="M176" s="71">
        <v>4320.16259765625</v>
      </c>
      <c r="N176" s="71">
        <v>8579.1376953125</v>
      </c>
      <c r="O176" s="72"/>
      <c r="P176" s="73"/>
      <c r="Q176" s="73"/>
      <c r="R176" s="86"/>
      <c r="S176" s="45">
        <v>2</v>
      </c>
      <c r="T176" s="45">
        <v>0</v>
      </c>
      <c r="U176" s="46">
        <v>0</v>
      </c>
      <c r="V176" s="46">
        <v>0.254158</v>
      </c>
      <c r="W176" s="46">
        <v>0.007986</v>
      </c>
      <c r="X176" s="46">
        <v>0.002845</v>
      </c>
      <c r="Y176" s="46">
        <v>1</v>
      </c>
      <c r="Z176" s="46">
        <v>0</v>
      </c>
      <c r="AA176" s="68">
        <v>176</v>
      </c>
      <c r="AB176" s="68"/>
      <c r="AC176" s="69"/>
      <c r="AD176" s="76" t="s">
        <v>1421</v>
      </c>
      <c r="AE176" s="80" t="s">
        <v>1726</v>
      </c>
      <c r="AF176" s="76">
        <v>39505</v>
      </c>
      <c r="AG176" s="76">
        <v>16951</v>
      </c>
      <c r="AH176" s="76">
        <v>74535</v>
      </c>
      <c r="AI176" s="76">
        <v>1884</v>
      </c>
      <c r="AJ176" s="76">
        <v>23815</v>
      </c>
      <c r="AK176" s="76">
        <v>20258</v>
      </c>
      <c r="AL176" s="76" t="b">
        <v>0</v>
      </c>
      <c r="AM176" s="78">
        <v>40074.50418981481</v>
      </c>
      <c r="AN176" s="76" t="s">
        <v>1888</v>
      </c>
      <c r="AO176" s="76" t="s">
        <v>2209</v>
      </c>
      <c r="AP176" s="82" t="str">
        <f>HYPERLINK("https://t.co/ZQEECh4fWK")</f>
        <v>https://t.co/ZQEECh4fWK</v>
      </c>
      <c r="AQ176" s="82" t="str">
        <f>HYPERLINK("https://sprinklr.com/contact-us/")</f>
        <v>https://sprinklr.com/contact-us/</v>
      </c>
      <c r="AR176" s="76" t="s">
        <v>2479</v>
      </c>
      <c r="AS176" s="76"/>
      <c r="AT176" s="76"/>
      <c r="AU176" s="76"/>
      <c r="AV176" s="76"/>
      <c r="AW176" s="82" t="str">
        <f>HYPERLINK("https://t.co/ZQEECh4fWK")</f>
        <v>https://t.co/ZQEECh4fWK</v>
      </c>
      <c r="AX176" s="76" t="b">
        <v>0</v>
      </c>
      <c r="AY176" s="76"/>
      <c r="AZ176" s="76"/>
      <c r="BA176" s="76" t="b">
        <v>1</v>
      </c>
      <c r="BB176" s="76" t="b">
        <v>1</v>
      </c>
      <c r="BC176" s="76" t="b">
        <v>0</v>
      </c>
      <c r="BD176" s="76" t="b">
        <v>0</v>
      </c>
      <c r="BE176" s="76" t="b">
        <v>1</v>
      </c>
      <c r="BF176" s="76" t="b">
        <v>0</v>
      </c>
      <c r="BG176" s="76" t="b">
        <v>0</v>
      </c>
      <c r="BH176" s="82" t="str">
        <f>HYPERLINK("https://pbs.twimg.com/profile_banners/75263523/1691600823")</f>
        <v>https://pbs.twimg.com/profile_banners/75263523/1691600823</v>
      </c>
      <c r="BI176" s="76"/>
      <c r="BJ176" s="76" t="s">
        <v>2656</v>
      </c>
      <c r="BK176" s="76" t="b">
        <v>0</v>
      </c>
      <c r="BL176" s="76"/>
      <c r="BM176" s="76" t="s">
        <v>65</v>
      </c>
      <c r="BN176" s="76" t="s">
        <v>2657</v>
      </c>
      <c r="BO176" s="82" t="str">
        <f>HYPERLINK("https://twitter.com/sprinklr")</f>
        <v>https://twitter.com/sprinklr</v>
      </c>
      <c r="BP176" s="76" t="str">
        <f>REPLACE(INDEX(GroupVertices[Group],MATCH(Vertices[[#This Row],[Vertex]],GroupVertices[Vertex],0)),1,1,"")</f>
        <v>2</v>
      </c>
      <c r="BQ176" s="45"/>
      <c r="BR176" s="46"/>
      <c r="BS176" s="45"/>
      <c r="BT176" s="46"/>
      <c r="BU176" s="45"/>
      <c r="BV176" s="46"/>
      <c r="BW176" s="45"/>
      <c r="BX176" s="46"/>
      <c r="BY176" s="45"/>
      <c r="BZ176" s="45"/>
      <c r="CA176" s="45"/>
      <c r="CB176" s="45"/>
      <c r="CC176" s="45"/>
      <c r="CD176" s="45"/>
      <c r="CE176" s="45"/>
      <c r="CF176" s="45"/>
      <c r="CG176" s="45"/>
      <c r="CH176" s="45"/>
      <c r="CI176" s="45"/>
      <c r="CJ176" s="2"/>
    </row>
    <row r="177" spans="1:88" ht="15">
      <c r="A177" s="61" t="s">
        <v>236</v>
      </c>
      <c r="B177" s="62"/>
      <c r="C177" s="62"/>
      <c r="D177" s="63">
        <v>535</v>
      </c>
      <c r="E177" s="65"/>
      <c r="F177" s="100" t="str">
        <f>HYPERLINK("https://pbs.twimg.com/profile_images/1684389369912893440/cpA93-OT_normal.jpg")</f>
        <v>https://pbs.twimg.com/profile_images/1684389369912893440/cpA93-OT_normal.jpg</v>
      </c>
      <c r="G177" s="62"/>
      <c r="H177" s="66" t="s">
        <v>236</v>
      </c>
      <c r="I177" s="67"/>
      <c r="J177" s="67" t="s">
        <v>159</v>
      </c>
      <c r="K177" s="66" t="s">
        <v>2831</v>
      </c>
      <c r="L177" s="70">
        <v>477.0952380952381</v>
      </c>
      <c r="M177" s="71">
        <v>6854.40966796875</v>
      </c>
      <c r="N177" s="71">
        <v>416.6246643066406</v>
      </c>
      <c r="O177" s="72"/>
      <c r="P177" s="73"/>
      <c r="Q177" s="73"/>
      <c r="R177" s="86"/>
      <c r="S177" s="45">
        <v>1</v>
      </c>
      <c r="T177" s="45">
        <v>1</v>
      </c>
      <c r="U177" s="46">
        <v>0</v>
      </c>
      <c r="V177" s="46">
        <v>0</v>
      </c>
      <c r="W177" s="46">
        <v>0</v>
      </c>
      <c r="X177" s="46">
        <v>0.003165</v>
      </c>
      <c r="Y177" s="46">
        <v>0</v>
      </c>
      <c r="Z177" s="46">
        <v>0</v>
      </c>
      <c r="AA177" s="68">
        <v>177</v>
      </c>
      <c r="AB177" s="68"/>
      <c r="AC177" s="69"/>
      <c r="AD177" s="76" t="s">
        <v>1422</v>
      </c>
      <c r="AE177" s="80" t="s">
        <v>1203</v>
      </c>
      <c r="AF177" s="76">
        <v>0</v>
      </c>
      <c r="AG177" s="76">
        <v>2</v>
      </c>
      <c r="AH177" s="76">
        <v>8</v>
      </c>
      <c r="AI177" s="76">
        <v>0</v>
      </c>
      <c r="AJ177" s="76">
        <v>0</v>
      </c>
      <c r="AK177" s="76">
        <v>0</v>
      </c>
      <c r="AL177" s="76" t="b">
        <v>0</v>
      </c>
      <c r="AM177" s="78">
        <v>45134.09743055556</v>
      </c>
      <c r="AN177" s="76"/>
      <c r="AO177" s="76"/>
      <c r="AP177" s="76"/>
      <c r="AQ177" s="76"/>
      <c r="AR177" s="76"/>
      <c r="AS177" s="76"/>
      <c r="AT177" s="76"/>
      <c r="AU177" s="76"/>
      <c r="AV177" s="76"/>
      <c r="AW177" s="76"/>
      <c r="AX177" s="76" t="b">
        <v>0</v>
      </c>
      <c r="AY177" s="76"/>
      <c r="AZ177" s="76"/>
      <c r="BA177" s="76" t="b">
        <v>0</v>
      </c>
      <c r="BB177" s="76" t="b">
        <v>1</v>
      </c>
      <c r="BC177" s="76" t="b">
        <v>1</v>
      </c>
      <c r="BD177" s="76" t="b">
        <v>0</v>
      </c>
      <c r="BE177" s="76" t="b">
        <v>0</v>
      </c>
      <c r="BF177" s="76" t="b">
        <v>0</v>
      </c>
      <c r="BG177" s="76" t="b">
        <v>0</v>
      </c>
      <c r="BH177" s="76"/>
      <c r="BI177" s="76"/>
      <c r="BJ177" s="76" t="s">
        <v>2656</v>
      </c>
      <c r="BK177" s="76" t="b">
        <v>0</v>
      </c>
      <c r="BL177" s="76"/>
      <c r="BM177" s="76" t="s">
        <v>66</v>
      </c>
      <c r="BN177" s="76" t="s">
        <v>2657</v>
      </c>
      <c r="BO177" s="82" t="str">
        <f>HYPERLINK("https://twitter.com/haokun_guo")</f>
        <v>https://twitter.com/haokun_guo</v>
      </c>
      <c r="BP177" s="76" t="str">
        <f>REPLACE(INDEX(GroupVertices[Group],MATCH(Vertices[[#This Row],[Vertex]],GroupVertices[Vertex],0)),1,1,"")</f>
        <v>11</v>
      </c>
      <c r="BQ177" s="45">
        <v>0</v>
      </c>
      <c r="BR177" s="46">
        <v>0</v>
      </c>
      <c r="BS177" s="45">
        <v>1</v>
      </c>
      <c r="BT177" s="46">
        <v>2.380952380952381</v>
      </c>
      <c r="BU177" s="45">
        <v>0</v>
      </c>
      <c r="BV177" s="46">
        <v>0</v>
      </c>
      <c r="BW177" s="45">
        <v>24</v>
      </c>
      <c r="BX177" s="46">
        <v>57.142857142857146</v>
      </c>
      <c r="BY177" s="45">
        <v>42</v>
      </c>
      <c r="BZ177" s="45"/>
      <c r="CA177" s="45"/>
      <c r="CB177" s="45"/>
      <c r="CC177" s="45"/>
      <c r="CD177" s="45" t="s">
        <v>695</v>
      </c>
      <c r="CE177" s="45" t="s">
        <v>695</v>
      </c>
      <c r="CF177" s="112" t="s">
        <v>11600</v>
      </c>
      <c r="CG177" s="112" t="s">
        <v>11600</v>
      </c>
      <c r="CH177" s="112" t="s">
        <v>11655</v>
      </c>
      <c r="CI177" s="112" t="s">
        <v>11655</v>
      </c>
      <c r="CJ177" s="2"/>
    </row>
    <row r="178" spans="1:88" ht="15">
      <c r="A178" s="61" t="s">
        <v>237</v>
      </c>
      <c r="B178" s="62"/>
      <c r="C178" s="62"/>
      <c r="D178" s="63">
        <v>70</v>
      </c>
      <c r="E178" s="65"/>
      <c r="F178" s="100" t="str">
        <f>HYPERLINK("https://pbs.twimg.com/profile_images/932477165307695104/K26IwKCq_normal.jpg")</f>
        <v>https://pbs.twimg.com/profile_images/932477165307695104/K26IwKCq_normal.jpg</v>
      </c>
      <c r="G178" s="62"/>
      <c r="H178" s="66" t="s">
        <v>237</v>
      </c>
      <c r="I178" s="67"/>
      <c r="J178" s="67" t="s">
        <v>159</v>
      </c>
      <c r="K178" s="66" t="s">
        <v>2832</v>
      </c>
      <c r="L178" s="70">
        <v>1</v>
      </c>
      <c r="M178" s="71">
        <v>8990.44140625</v>
      </c>
      <c r="N178" s="71">
        <v>2874.876220703125</v>
      </c>
      <c r="O178" s="72"/>
      <c r="P178" s="73"/>
      <c r="Q178" s="73"/>
      <c r="R178" s="86"/>
      <c r="S178" s="45">
        <v>0</v>
      </c>
      <c r="T178" s="45">
        <v>11</v>
      </c>
      <c r="U178" s="46">
        <v>5790</v>
      </c>
      <c r="V178" s="46">
        <v>0.321993</v>
      </c>
      <c r="W178" s="46">
        <v>0.02744</v>
      </c>
      <c r="X178" s="46">
        <v>0.006909</v>
      </c>
      <c r="Y178" s="46">
        <v>0</v>
      </c>
      <c r="Z178" s="46">
        <v>0</v>
      </c>
      <c r="AA178" s="68">
        <v>178</v>
      </c>
      <c r="AB178" s="68"/>
      <c r="AC178" s="69"/>
      <c r="AD178" s="76" t="s">
        <v>1423</v>
      </c>
      <c r="AE178" s="80" t="s">
        <v>1204</v>
      </c>
      <c r="AF178" s="76">
        <v>5</v>
      </c>
      <c r="AG178" s="76">
        <v>18</v>
      </c>
      <c r="AH178" s="76">
        <v>10</v>
      </c>
      <c r="AI178" s="76">
        <v>0</v>
      </c>
      <c r="AJ178" s="76">
        <v>24</v>
      </c>
      <c r="AK178" s="76">
        <v>0</v>
      </c>
      <c r="AL178" s="76" t="b">
        <v>0</v>
      </c>
      <c r="AM178" s="78">
        <v>42841.85733796296</v>
      </c>
      <c r="AN178" s="76"/>
      <c r="AO178" s="76"/>
      <c r="AP178" s="76"/>
      <c r="AQ178" s="76"/>
      <c r="AR178" s="76"/>
      <c r="AS178" s="76"/>
      <c r="AT178" s="76"/>
      <c r="AU178" s="76"/>
      <c r="AV178" s="76"/>
      <c r="AW178" s="76"/>
      <c r="AX178" s="76" t="b">
        <v>0</v>
      </c>
      <c r="AY178" s="76"/>
      <c r="AZ178" s="76"/>
      <c r="BA178" s="76" t="b">
        <v>0</v>
      </c>
      <c r="BB178" s="76" t="b">
        <v>1</v>
      </c>
      <c r="BC178" s="76" t="b">
        <v>1</v>
      </c>
      <c r="BD178" s="76" t="b">
        <v>0</v>
      </c>
      <c r="BE178" s="76" t="b">
        <v>0</v>
      </c>
      <c r="BF178" s="76" t="b">
        <v>0</v>
      </c>
      <c r="BG178" s="76" t="b">
        <v>0</v>
      </c>
      <c r="BH178" s="82" t="str">
        <f>HYPERLINK("https://pbs.twimg.com/profile_banners/853708216940716032/1511154911")</f>
        <v>https://pbs.twimg.com/profile_banners/853708216940716032/1511154911</v>
      </c>
      <c r="BI178" s="76"/>
      <c r="BJ178" s="76" t="s">
        <v>2656</v>
      </c>
      <c r="BK178" s="76" t="b">
        <v>0</v>
      </c>
      <c r="BL178" s="76"/>
      <c r="BM178" s="76" t="s">
        <v>66</v>
      </c>
      <c r="BN178" s="76" t="s">
        <v>2657</v>
      </c>
      <c r="BO178" s="82" t="str">
        <f>HYPERLINK("https://twitter.com/yatebyalublyu")</f>
        <v>https://twitter.com/yatebyalublyu</v>
      </c>
      <c r="BP178" s="76" t="str">
        <f>REPLACE(INDEX(GroupVertices[Group],MATCH(Vertices[[#This Row],[Vertex]],GroupVertices[Vertex],0)),1,1,"")</f>
        <v>10</v>
      </c>
      <c r="BQ178" s="45">
        <v>1</v>
      </c>
      <c r="BR178" s="46">
        <v>6.666666666666667</v>
      </c>
      <c r="BS178" s="45">
        <v>0</v>
      </c>
      <c r="BT178" s="46">
        <v>0</v>
      </c>
      <c r="BU178" s="45">
        <v>0</v>
      </c>
      <c r="BV178" s="46">
        <v>0</v>
      </c>
      <c r="BW178" s="45">
        <v>13</v>
      </c>
      <c r="BX178" s="46">
        <v>86.66666666666667</v>
      </c>
      <c r="BY178" s="45">
        <v>15</v>
      </c>
      <c r="BZ178" s="45"/>
      <c r="CA178" s="45"/>
      <c r="CB178" s="45"/>
      <c r="CC178" s="45"/>
      <c r="CD178" s="45"/>
      <c r="CE178" s="45"/>
      <c r="CF178" s="112" t="s">
        <v>11601</v>
      </c>
      <c r="CG178" s="112" t="s">
        <v>11601</v>
      </c>
      <c r="CH178" s="112" t="s">
        <v>11656</v>
      </c>
      <c r="CI178" s="112" t="s">
        <v>11656</v>
      </c>
      <c r="CJ178" s="2"/>
    </row>
    <row r="179" spans="1:88" ht="15">
      <c r="A179" s="61" t="s">
        <v>423</v>
      </c>
      <c r="B179" s="62"/>
      <c r="C179" s="62"/>
      <c r="D179" s="63">
        <v>535</v>
      </c>
      <c r="E179" s="65"/>
      <c r="F179" s="100" t="str">
        <f>HYPERLINK("https://pbs.twimg.com/profile_images/1268380835260047361/pKovkYaF_normal.jpg")</f>
        <v>https://pbs.twimg.com/profile_images/1268380835260047361/pKovkYaF_normal.jpg</v>
      </c>
      <c r="G179" s="62"/>
      <c r="H179" s="66" t="s">
        <v>423</v>
      </c>
      <c r="I179" s="67"/>
      <c r="J179" s="67" t="s">
        <v>159</v>
      </c>
      <c r="K179" s="66" t="s">
        <v>2833</v>
      </c>
      <c r="L179" s="70">
        <v>477.0952380952381</v>
      </c>
      <c r="M179" s="71">
        <v>8178.42041015625</v>
      </c>
      <c r="N179" s="71">
        <v>2503.50244140625</v>
      </c>
      <c r="O179" s="72"/>
      <c r="P179" s="73"/>
      <c r="Q179" s="73"/>
      <c r="R179" s="86"/>
      <c r="S179" s="45">
        <v>1</v>
      </c>
      <c r="T179" s="45">
        <v>0</v>
      </c>
      <c r="U179" s="46">
        <v>0</v>
      </c>
      <c r="V179" s="46">
        <v>0.239818</v>
      </c>
      <c r="W179" s="46">
        <v>0.002465</v>
      </c>
      <c r="X179" s="46">
        <v>0.002784</v>
      </c>
      <c r="Y179" s="46">
        <v>0</v>
      </c>
      <c r="Z179" s="46">
        <v>0</v>
      </c>
      <c r="AA179" s="68">
        <v>179</v>
      </c>
      <c r="AB179" s="68"/>
      <c r="AC179" s="69"/>
      <c r="AD179" s="76" t="s">
        <v>1424</v>
      </c>
      <c r="AE179" s="80" t="s">
        <v>1727</v>
      </c>
      <c r="AF179" s="76">
        <v>3893</v>
      </c>
      <c r="AG179" s="76">
        <v>2910</v>
      </c>
      <c r="AH179" s="76">
        <v>5846</v>
      </c>
      <c r="AI179" s="76">
        <v>43</v>
      </c>
      <c r="AJ179" s="76">
        <v>9195</v>
      </c>
      <c r="AK179" s="76">
        <v>269</v>
      </c>
      <c r="AL179" s="76" t="b">
        <v>0</v>
      </c>
      <c r="AM179" s="78">
        <v>39953.82871527778</v>
      </c>
      <c r="AN179" s="76" t="s">
        <v>1949</v>
      </c>
      <c r="AO179" s="76" t="s">
        <v>2210</v>
      </c>
      <c r="AP179" s="82" t="str">
        <f>HYPERLINK("https://t.co/GynjIoqmEM")</f>
        <v>https://t.co/GynjIoqmEM</v>
      </c>
      <c r="AQ179" s="82" t="str">
        <f>HYPERLINK("https://www.researchgate.net/profile/Rosa_De_Simone?ev=hdr_xprf")</f>
        <v>https://www.researchgate.net/profile/Rosa_De_Simone?ev=hdr_xprf</v>
      </c>
      <c r="AR179" s="76" t="s">
        <v>2480</v>
      </c>
      <c r="AS179" s="76"/>
      <c r="AT179" s="76"/>
      <c r="AU179" s="76"/>
      <c r="AV179" s="76">
        <v>1.46568273083911E+18</v>
      </c>
      <c r="AW179" s="82" t="str">
        <f>HYPERLINK("https://t.co/GynjIoqmEM")</f>
        <v>https://t.co/GynjIoqmEM</v>
      </c>
      <c r="AX179" s="76" t="b">
        <v>0</v>
      </c>
      <c r="AY179" s="76"/>
      <c r="AZ179" s="76"/>
      <c r="BA179" s="76" t="b">
        <v>0</v>
      </c>
      <c r="BB179" s="76" t="b">
        <v>0</v>
      </c>
      <c r="BC179" s="76" t="b">
        <v>0</v>
      </c>
      <c r="BD179" s="76" t="b">
        <v>0</v>
      </c>
      <c r="BE179" s="76" t="b">
        <v>1</v>
      </c>
      <c r="BF179" s="76" t="b">
        <v>0</v>
      </c>
      <c r="BG179" s="76" t="b">
        <v>0</v>
      </c>
      <c r="BH179" s="82" t="str">
        <f>HYPERLINK("https://pbs.twimg.com/profile_banners/41434585/1578507453")</f>
        <v>https://pbs.twimg.com/profile_banners/41434585/1578507453</v>
      </c>
      <c r="BI179" s="76"/>
      <c r="BJ179" s="76" t="s">
        <v>2656</v>
      </c>
      <c r="BK179" s="76" t="b">
        <v>0</v>
      </c>
      <c r="BL179" s="76"/>
      <c r="BM179" s="76" t="s">
        <v>65</v>
      </c>
      <c r="BN179" s="76" t="s">
        <v>2657</v>
      </c>
      <c r="BO179" s="82" t="str">
        <f>HYPERLINK("https://twitter.com/lldesimone")</f>
        <v>https://twitter.com/lldesimone</v>
      </c>
      <c r="BP179" s="76" t="str">
        <f>REPLACE(INDEX(GroupVertices[Group],MATCH(Vertices[[#This Row],[Vertex]],GroupVertices[Vertex],0)),1,1,"")</f>
        <v>10</v>
      </c>
      <c r="BQ179" s="45"/>
      <c r="BR179" s="46"/>
      <c r="BS179" s="45"/>
      <c r="BT179" s="46"/>
      <c r="BU179" s="45"/>
      <c r="BV179" s="46"/>
      <c r="BW179" s="45"/>
      <c r="BX179" s="46"/>
      <c r="BY179" s="45"/>
      <c r="BZ179" s="45"/>
      <c r="CA179" s="45"/>
      <c r="CB179" s="45"/>
      <c r="CC179" s="45"/>
      <c r="CD179" s="45"/>
      <c r="CE179" s="45"/>
      <c r="CF179" s="45"/>
      <c r="CG179" s="45"/>
      <c r="CH179" s="45"/>
      <c r="CI179" s="45"/>
      <c r="CJ179" s="2"/>
    </row>
    <row r="180" spans="1:88" ht="15">
      <c r="A180" s="61" t="s">
        <v>424</v>
      </c>
      <c r="B180" s="62"/>
      <c r="C180" s="62"/>
      <c r="D180" s="63">
        <v>535</v>
      </c>
      <c r="E180" s="65"/>
      <c r="F180" s="100" t="str">
        <f>HYPERLINK("https://pbs.twimg.com/profile_images/1585407338990673922/AW1WQ3sA_normal.jpg")</f>
        <v>https://pbs.twimg.com/profile_images/1585407338990673922/AW1WQ3sA_normal.jpg</v>
      </c>
      <c r="G180" s="62"/>
      <c r="H180" s="66" t="s">
        <v>424</v>
      </c>
      <c r="I180" s="67"/>
      <c r="J180" s="67" t="s">
        <v>159</v>
      </c>
      <c r="K180" s="66" t="s">
        <v>2834</v>
      </c>
      <c r="L180" s="70">
        <v>477.0952380952381</v>
      </c>
      <c r="M180" s="71">
        <v>9802.20703125</v>
      </c>
      <c r="N180" s="71">
        <v>3246.12939453125</v>
      </c>
      <c r="O180" s="72"/>
      <c r="P180" s="73"/>
      <c r="Q180" s="73"/>
      <c r="R180" s="86"/>
      <c r="S180" s="45">
        <v>1</v>
      </c>
      <c r="T180" s="45">
        <v>0</v>
      </c>
      <c r="U180" s="46">
        <v>0</v>
      </c>
      <c r="V180" s="46">
        <v>0.239818</v>
      </c>
      <c r="W180" s="46">
        <v>0.002465</v>
      </c>
      <c r="X180" s="46">
        <v>0.002784</v>
      </c>
      <c r="Y180" s="46">
        <v>0</v>
      </c>
      <c r="Z180" s="46">
        <v>0</v>
      </c>
      <c r="AA180" s="68">
        <v>180</v>
      </c>
      <c r="AB180" s="68"/>
      <c r="AC180" s="69"/>
      <c r="AD180" s="76" t="s">
        <v>1425</v>
      </c>
      <c r="AE180" s="80" t="s">
        <v>1728</v>
      </c>
      <c r="AF180" s="76">
        <v>68361</v>
      </c>
      <c r="AG180" s="76">
        <v>2542</v>
      </c>
      <c r="AH180" s="76">
        <v>439505</v>
      </c>
      <c r="AI180" s="76">
        <v>1640</v>
      </c>
      <c r="AJ180" s="76">
        <v>143777</v>
      </c>
      <c r="AK180" s="76">
        <v>28528</v>
      </c>
      <c r="AL180" s="76" t="b">
        <v>0</v>
      </c>
      <c r="AM180" s="78">
        <v>39643.87101851852</v>
      </c>
      <c r="AN180" s="76" t="s">
        <v>1950</v>
      </c>
      <c r="AO180" s="76" t="s">
        <v>2211</v>
      </c>
      <c r="AP180" s="82" t="str">
        <f>HYPERLINK("https://t.co/LRAfoNohxq")</f>
        <v>https://t.co/LRAfoNohxq</v>
      </c>
      <c r="AQ180" s="82" t="str">
        <f>HYPERLINK("http://www.raulpacheco.org")</f>
        <v>http://www.raulpacheco.org</v>
      </c>
      <c r="AR180" s="76" t="s">
        <v>2481</v>
      </c>
      <c r="AS180" s="76"/>
      <c r="AT180" s="76"/>
      <c r="AU180" s="76"/>
      <c r="AV180" s="76">
        <v>4.89429169085116E+17</v>
      </c>
      <c r="AW180" s="82" t="str">
        <f>HYPERLINK("https://t.co/LRAfoNohxq")</f>
        <v>https://t.co/LRAfoNohxq</v>
      </c>
      <c r="AX180" s="76" t="b">
        <v>0</v>
      </c>
      <c r="AY180" s="76"/>
      <c r="AZ180" s="76"/>
      <c r="BA180" s="76" t="b">
        <v>0</v>
      </c>
      <c r="BB180" s="76" t="b">
        <v>0</v>
      </c>
      <c r="BC180" s="76" t="b">
        <v>0</v>
      </c>
      <c r="BD180" s="76" t="b">
        <v>0</v>
      </c>
      <c r="BE180" s="76" t="b">
        <v>1</v>
      </c>
      <c r="BF180" s="76" t="b">
        <v>0</v>
      </c>
      <c r="BG180" s="76" t="b">
        <v>0</v>
      </c>
      <c r="BH180" s="82" t="str">
        <f>HYPERLINK("https://pbs.twimg.com/profile_banners/15432179/1398193808")</f>
        <v>https://pbs.twimg.com/profile_banners/15432179/1398193808</v>
      </c>
      <c r="BI180" s="76"/>
      <c r="BJ180" s="76" t="s">
        <v>2656</v>
      </c>
      <c r="BK180" s="76" t="b">
        <v>0</v>
      </c>
      <c r="BL180" s="76"/>
      <c r="BM180" s="76" t="s">
        <v>65</v>
      </c>
      <c r="BN180" s="76" t="s">
        <v>2657</v>
      </c>
      <c r="BO180" s="82" t="str">
        <f>HYPERLINK("https://twitter.com/raulpacheco")</f>
        <v>https://twitter.com/raulpacheco</v>
      </c>
      <c r="BP180" s="76" t="str">
        <f>REPLACE(INDEX(GroupVertices[Group],MATCH(Vertices[[#This Row],[Vertex]],GroupVertices[Vertex],0)),1,1,"")</f>
        <v>10</v>
      </c>
      <c r="BQ180" s="45"/>
      <c r="BR180" s="46"/>
      <c r="BS180" s="45"/>
      <c r="BT180" s="46"/>
      <c r="BU180" s="45"/>
      <c r="BV180" s="46"/>
      <c r="BW180" s="45"/>
      <c r="BX180" s="46"/>
      <c r="BY180" s="45"/>
      <c r="BZ180" s="45"/>
      <c r="CA180" s="45"/>
      <c r="CB180" s="45"/>
      <c r="CC180" s="45"/>
      <c r="CD180" s="45"/>
      <c r="CE180" s="45"/>
      <c r="CF180" s="45"/>
      <c r="CG180" s="45"/>
      <c r="CH180" s="45"/>
      <c r="CI180" s="45"/>
      <c r="CJ180" s="2"/>
    </row>
    <row r="181" spans="1:88" ht="15">
      <c r="A181" s="61" t="s">
        <v>425</v>
      </c>
      <c r="B181" s="62"/>
      <c r="C181" s="62"/>
      <c r="D181" s="63">
        <v>535</v>
      </c>
      <c r="E181" s="65"/>
      <c r="F181" s="100" t="str">
        <f>HYPERLINK("https://pbs.twimg.com/profile_images/1293657839970508805/clFFnxZG_normal.jpg")</f>
        <v>https://pbs.twimg.com/profile_images/1293657839970508805/clFFnxZG_normal.jpg</v>
      </c>
      <c r="G181" s="62"/>
      <c r="H181" s="66" t="s">
        <v>425</v>
      </c>
      <c r="I181" s="67"/>
      <c r="J181" s="67" t="s">
        <v>159</v>
      </c>
      <c r="K181" s="66" t="s">
        <v>2835</v>
      </c>
      <c r="L181" s="70">
        <v>477.0952380952381</v>
      </c>
      <c r="M181" s="71">
        <v>9638.353515625</v>
      </c>
      <c r="N181" s="71">
        <v>2303.107177734375</v>
      </c>
      <c r="O181" s="72"/>
      <c r="P181" s="73"/>
      <c r="Q181" s="73"/>
      <c r="R181" s="86"/>
      <c r="S181" s="45">
        <v>1</v>
      </c>
      <c r="T181" s="45">
        <v>0</v>
      </c>
      <c r="U181" s="46">
        <v>0</v>
      </c>
      <c r="V181" s="46">
        <v>0.239818</v>
      </c>
      <c r="W181" s="46">
        <v>0.002465</v>
      </c>
      <c r="X181" s="46">
        <v>0.002784</v>
      </c>
      <c r="Y181" s="46">
        <v>0</v>
      </c>
      <c r="Z181" s="46">
        <v>0</v>
      </c>
      <c r="AA181" s="68">
        <v>181</v>
      </c>
      <c r="AB181" s="68"/>
      <c r="AC181" s="69"/>
      <c r="AD181" s="76" t="s">
        <v>1426</v>
      </c>
      <c r="AE181" s="80" t="s">
        <v>1729</v>
      </c>
      <c r="AF181" s="76">
        <v>113</v>
      </c>
      <c r="AG181" s="76">
        <v>109</v>
      </c>
      <c r="AH181" s="76">
        <v>484</v>
      </c>
      <c r="AI181" s="76">
        <v>1</v>
      </c>
      <c r="AJ181" s="76">
        <v>2476</v>
      </c>
      <c r="AK181" s="76">
        <v>39</v>
      </c>
      <c r="AL181" s="76" t="b">
        <v>0</v>
      </c>
      <c r="AM181" s="78">
        <v>44037.74236111111</v>
      </c>
      <c r="AN181" s="76"/>
      <c r="AO181" s="76" t="s">
        <v>2212</v>
      </c>
      <c r="AP181" s="76"/>
      <c r="AQ181" s="76"/>
      <c r="AR181" s="76"/>
      <c r="AS181" s="76"/>
      <c r="AT181" s="76"/>
      <c r="AU181" s="76"/>
      <c r="AV181" s="76"/>
      <c r="AW181" s="76"/>
      <c r="AX181" s="76" t="b">
        <v>0</v>
      </c>
      <c r="AY181" s="76"/>
      <c r="AZ181" s="76"/>
      <c r="BA181" s="76" t="b">
        <v>0</v>
      </c>
      <c r="BB181" s="76" t="b">
        <v>1</v>
      </c>
      <c r="BC181" s="76" t="b">
        <v>1</v>
      </c>
      <c r="BD181" s="76" t="b">
        <v>0</v>
      </c>
      <c r="BE181" s="76" t="b">
        <v>0</v>
      </c>
      <c r="BF181" s="76" t="b">
        <v>0</v>
      </c>
      <c r="BG181" s="76" t="b">
        <v>0</v>
      </c>
      <c r="BH181" s="82" t="str">
        <f>HYPERLINK("https://pbs.twimg.com/profile_banners/1287082380914720768/1638695511")</f>
        <v>https://pbs.twimg.com/profile_banners/1287082380914720768/1638695511</v>
      </c>
      <c r="BI181" s="76"/>
      <c r="BJ181" s="76" t="s">
        <v>2656</v>
      </c>
      <c r="BK181" s="76" t="b">
        <v>0</v>
      </c>
      <c r="BL181" s="76"/>
      <c r="BM181" s="76" t="s">
        <v>65</v>
      </c>
      <c r="BN181" s="76" t="s">
        <v>2657</v>
      </c>
      <c r="BO181" s="82" t="str">
        <f>HYPERLINK("https://twitter.com/magdamraza")</f>
        <v>https://twitter.com/magdamraza</v>
      </c>
      <c r="BP181" s="76" t="str">
        <f>REPLACE(INDEX(GroupVertices[Group],MATCH(Vertices[[#This Row],[Vertex]],GroupVertices[Vertex],0)),1,1,"")</f>
        <v>10</v>
      </c>
      <c r="BQ181" s="45"/>
      <c r="BR181" s="46"/>
      <c r="BS181" s="45"/>
      <c r="BT181" s="46"/>
      <c r="BU181" s="45"/>
      <c r="BV181" s="46"/>
      <c r="BW181" s="45"/>
      <c r="BX181" s="46"/>
      <c r="BY181" s="45"/>
      <c r="BZ181" s="45"/>
      <c r="CA181" s="45"/>
      <c r="CB181" s="45"/>
      <c r="CC181" s="45"/>
      <c r="CD181" s="45"/>
      <c r="CE181" s="45"/>
      <c r="CF181" s="45"/>
      <c r="CG181" s="45"/>
      <c r="CH181" s="45"/>
      <c r="CI181" s="45"/>
      <c r="CJ181" s="2"/>
    </row>
    <row r="182" spans="1:88" ht="15">
      <c r="A182" s="61" t="s">
        <v>426</v>
      </c>
      <c r="B182" s="62"/>
      <c r="C182" s="62"/>
      <c r="D182" s="63">
        <v>535</v>
      </c>
      <c r="E182" s="65"/>
      <c r="F182" s="100" t="str">
        <f>HYPERLINK("https://pbs.twimg.com/profile_images/1544069578325721090/8INlQ5PT_normal.jpg")</f>
        <v>https://pbs.twimg.com/profile_images/1544069578325721090/8INlQ5PT_normal.jpg</v>
      </c>
      <c r="G182" s="62"/>
      <c r="H182" s="66" t="s">
        <v>426</v>
      </c>
      <c r="I182" s="67"/>
      <c r="J182" s="67" t="s">
        <v>159</v>
      </c>
      <c r="K182" s="66" t="s">
        <v>2836</v>
      </c>
      <c r="L182" s="70">
        <v>477.0952380952381</v>
      </c>
      <c r="M182" s="71">
        <v>8844.2216796875</v>
      </c>
      <c r="N182" s="71">
        <v>3676.10302734375</v>
      </c>
      <c r="O182" s="72"/>
      <c r="P182" s="73"/>
      <c r="Q182" s="73"/>
      <c r="R182" s="86"/>
      <c r="S182" s="45">
        <v>1</v>
      </c>
      <c r="T182" s="45">
        <v>0</v>
      </c>
      <c r="U182" s="46">
        <v>0</v>
      </c>
      <c r="V182" s="46">
        <v>0.239818</v>
      </c>
      <c r="W182" s="46">
        <v>0.002465</v>
      </c>
      <c r="X182" s="46">
        <v>0.002784</v>
      </c>
      <c r="Y182" s="46">
        <v>0</v>
      </c>
      <c r="Z182" s="46">
        <v>0</v>
      </c>
      <c r="AA182" s="68">
        <v>182</v>
      </c>
      <c r="AB182" s="68"/>
      <c r="AC182" s="69"/>
      <c r="AD182" s="76" t="s">
        <v>1427</v>
      </c>
      <c r="AE182" s="80" t="s">
        <v>1730</v>
      </c>
      <c r="AF182" s="76">
        <v>2872</v>
      </c>
      <c r="AG182" s="76">
        <v>1583</v>
      </c>
      <c r="AH182" s="76">
        <v>2705</v>
      </c>
      <c r="AI182" s="76">
        <v>12</v>
      </c>
      <c r="AJ182" s="76">
        <v>24288</v>
      </c>
      <c r="AK182" s="76">
        <v>390</v>
      </c>
      <c r="AL182" s="76" t="b">
        <v>0</v>
      </c>
      <c r="AM182" s="78">
        <v>42512.60267361111</v>
      </c>
      <c r="AN182" s="76" t="s">
        <v>1951</v>
      </c>
      <c r="AO182" s="76" t="s">
        <v>2213</v>
      </c>
      <c r="AP182" s="76"/>
      <c r="AQ182" s="76"/>
      <c r="AR182" s="76"/>
      <c r="AS182" s="76"/>
      <c r="AT182" s="76"/>
      <c r="AU182" s="76"/>
      <c r="AV182" s="76"/>
      <c r="AW182" s="76"/>
      <c r="AX182" s="76" t="b">
        <v>0</v>
      </c>
      <c r="AY182" s="76"/>
      <c r="AZ182" s="76"/>
      <c r="BA182" s="76" t="b">
        <v>0</v>
      </c>
      <c r="BB182" s="76" t="b">
        <v>1</v>
      </c>
      <c r="BC182" s="76" t="b">
        <v>1</v>
      </c>
      <c r="BD182" s="76" t="b">
        <v>0</v>
      </c>
      <c r="BE182" s="76" t="b">
        <v>1</v>
      </c>
      <c r="BF182" s="76" t="b">
        <v>0</v>
      </c>
      <c r="BG182" s="76" t="b">
        <v>0</v>
      </c>
      <c r="BH182" s="82" t="str">
        <f>HYPERLINK("https://pbs.twimg.com/profile_banners/734390322084622338/1536575973")</f>
        <v>https://pbs.twimg.com/profile_banners/734390322084622338/1536575973</v>
      </c>
      <c r="BI182" s="76"/>
      <c r="BJ182" s="76" t="s">
        <v>2656</v>
      </c>
      <c r="BK182" s="76" t="b">
        <v>0</v>
      </c>
      <c r="BL182" s="76"/>
      <c r="BM182" s="76" t="s">
        <v>65</v>
      </c>
      <c r="BN182" s="76" t="s">
        <v>2657</v>
      </c>
      <c r="BO182" s="82" t="str">
        <f>HYPERLINK("https://twitter.com/georgette_eaton")</f>
        <v>https://twitter.com/georgette_eaton</v>
      </c>
      <c r="BP182" s="76" t="str">
        <f>REPLACE(INDEX(GroupVertices[Group],MATCH(Vertices[[#This Row],[Vertex]],GroupVertices[Vertex],0)),1,1,"")</f>
        <v>10</v>
      </c>
      <c r="BQ182" s="45"/>
      <c r="BR182" s="46"/>
      <c r="BS182" s="45"/>
      <c r="BT182" s="46"/>
      <c r="BU182" s="45"/>
      <c r="BV182" s="46"/>
      <c r="BW182" s="45"/>
      <c r="BX182" s="46"/>
      <c r="BY182" s="45"/>
      <c r="BZ182" s="45"/>
      <c r="CA182" s="45"/>
      <c r="CB182" s="45"/>
      <c r="CC182" s="45"/>
      <c r="CD182" s="45"/>
      <c r="CE182" s="45"/>
      <c r="CF182" s="45"/>
      <c r="CG182" s="45"/>
      <c r="CH182" s="45"/>
      <c r="CI182" s="45"/>
      <c r="CJ182" s="2"/>
    </row>
    <row r="183" spans="1:88" ht="15">
      <c r="A183" s="61" t="s">
        <v>427</v>
      </c>
      <c r="B183" s="62"/>
      <c r="C183" s="62"/>
      <c r="D183" s="63">
        <v>535</v>
      </c>
      <c r="E183" s="65"/>
      <c r="F183" s="100" t="str">
        <f>HYPERLINK("https://pbs.twimg.com/profile_images/965583234108182529/pTg1KI6p_normal.jpg")</f>
        <v>https://pbs.twimg.com/profile_images/965583234108182529/pTg1KI6p_normal.jpg</v>
      </c>
      <c r="G183" s="62"/>
      <c r="H183" s="66" t="s">
        <v>427</v>
      </c>
      <c r="I183" s="67"/>
      <c r="J183" s="67" t="s">
        <v>159</v>
      </c>
      <c r="K183" s="66" t="s">
        <v>2837</v>
      </c>
      <c r="L183" s="70">
        <v>477.0952380952381</v>
      </c>
      <c r="M183" s="71">
        <v>8088.36328125</v>
      </c>
      <c r="N183" s="71">
        <v>2998.81201171875</v>
      </c>
      <c r="O183" s="72"/>
      <c r="P183" s="73"/>
      <c r="Q183" s="73"/>
      <c r="R183" s="86"/>
      <c r="S183" s="45">
        <v>1</v>
      </c>
      <c r="T183" s="45">
        <v>0</v>
      </c>
      <c r="U183" s="46">
        <v>0</v>
      </c>
      <c r="V183" s="46">
        <v>0.239818</v>
      </c>
      <c r="W183" s="46">
        <v>0.002465</v>
      </c>
      <c r="X183" s="46">
        <v>0.002784</v>
      </c>
      <c r="Y183" s="46">
        <v>0</v>
      </c>
      <c r="Z183" s="46">
        <v>0</v>
      </c>
      <c r="AA183" s="68">
        <v>183</v>
      </c>
      <c r="AB183" s="68"/>
      <c r="AC183" s="69"/>
      <c r="AD183" s="76" t="s">
        <v>1428</v>
      </c>
      <c r="AE183" s="80" t="s">
        <v>1731</v>
      </c>
      <c r="AF183" s="76">
        <v>3847</v>
      </c>
      <c r="AG183" s="76">
        <v>2312</v>
      </c>
      <c r="AH183" s="76">
        <v>10856</v>
      </c>
      <c r="AI183" s="76">
        <v>329</v>
      </c>
      <c r="AJ183" s="76">
        <v>3722</v>
      </c>
      <c r="AK183" s="76">
        <v>1057</v>
      </c>
      <c r="AL183" s="76" t="b">
        <v>0</v>
      </c>
      <c r="AM183" s="78">
        <v>39988.86230324074</v>
      </c>
      <c r="AN183" s="76" t="s">
        <v>1952</v>
      </c>
      <c r="AO183" s="76" t="s">
        <v>2214</v>
      </c>
      <c r="AP183" s="82" t="str">
        <f>HYPERLINK("https://t.co/dV7WEd637Z")</f>
        <v>https://t.co/dV7WEd637Z</v>
      </c>
      <c r="AQ183" s="82" t="str">
        <f>HYPERLINK("http://mastersindigitalmarketing.org/book/")</f>
        <v>http://mastersindigitalmarketing.org/book/</v>
      </c>
      <c r="AR183" s="76" t="s">
        <v>2482</v>
      </c>
      <c r="AS183" s="76"/>
      <c r="AT183" s="76"/>
      <c r="AU183" s="76"/>
      <c r="AV183" s="76">
        <v>1.59327122471254E+18</v>
      </c>
      <c r="AW183" s="82" t="str">
        <f>HYPERLINK("https://t.co/dV7WEd637Z")</f>
        <v>https://t.co/dV7WEd637Z</v>
      </c>
      <c r="AX183" s="76" t="b">
        <v>0</v>
      </c>
      <c r="AY183" s="76"/>
      <c r="AZ183" s="76"/>
      <c r="BA183" s="76" t="b">
        <v>0</v>
      </c>
      <c r="BB183" s="76" t="b">
        <v>1</v>
      </c>
      <c r="BC183" s="76" t="b">
        <v>0</v>
      </c>
      <c r="BD183" s="76" t="b">
        <v>0</v>
      </c>
      <c r="BE183" s="76" t="b">
        <v>1</v>
      </c>
      <c r="BF183" s="76" t="b">
        <v>0</v>
      </c>
      <c r="BG183" s="76" t="b">
        <v>0</v>
      </c>
      <c r="BH183" s="82" t="str">
        <f>HYPERLINK("https://pbs.twimg.com/profile_banners/50429484/1587068068")</f>
        <v>https://pbs.twimg.com/profile_banners/50429484/1587068068</v>
      </c>
      <c r="BI183" s="76"/>
      <c r="BJ183" s="76" t="s">
        <v>2656</v>
      </c>
      <c r="BK183" s="76" t="b">
        <v>0</v>
      </c>
      <c r="BL183" s="76"/>
      <c r="BM183" s="76" t="s">
        <v>65</v>
      </c>
      <c r="BN183" s="76" t="s">
        <v>2657</v>
      </c>
      <c r="BO183" s="82" t="str">
        <f>HYPERLINK("https://twitter.com/aleksejheinze")</f>
        <v>https://twitter.com/aleksejheinze</v>
      </c>
      <c r="BP183" s="76" t="str">
        <f>REPLACE(INDEX(GroupVertices[Group],MATCH(Vertices[[#This Row],[Vertex]],GroupVertices[Vertex],0)),1,1,"")</f>
        <v>10</v>
      </c>
      <c r="BQ183" s="45"/>
      <c r="BR183" s="46"/>
      <c r="BS183" s="45"/>
      <c r="BT183" s="46"/>
      <c r="BU183" s="45"/>
      <c r="BV183" s="46"/>
      <c r="BW183" s="45"/>
      <c r="BX183" s="46"/>
      <c r="BY183" s="45"/>
      <c r="BZ183" s="45"/>
      <c r="CA183" s="45"/>
      <c r="CB183" s="45"/>
      <c r="CC183" s="45"/>
      <c r="CD183" s="45"/>
      <c r="CE183" s="45"/>
      <c r="CF183" s="45"/>
      <c r="CG183" s="45"/>
      <c r="CH183" s="45"/>
      <c r="CI183" s="45"/>
      <c r="CJ183" s="2"/>
    </row>
    <row r="184" spans="1:88" ht="15">
      <c r="A184" s="61" t="s">
        <v>428</v>
      </c>
      <c r="B184" s="62"/>
      <c r="C184" s="62"/>
      <c r="D184" s="63">
        <v>535</v>
      </c>
      <c r="E184" s="65"/>
      <c r="F184" s="100" t="str">
        <f>HYPERLINK("https://pbs.twimg.com/profile_images/1686776427788824576/pU3inQuA_normal.jpg")</f>
        <v>https://pbs.twimg.com/profile_images/1686776427788824576/pU3inQuA_normal.jpg</v>
      </c>
      <c r="G184" s="62"/>
      <c r="H184" s="66" t="s">
        <v>428</v>
      </c>
      <c r="I184" s="67"/>
      <c r="J184" s="67" t="s">
        <v>159</v>
      </c>
      <c r="K184" s="66" t="s">
        <v>2838</v>
      </c>
      <c r="L184" s="70">
        <v>477.0952380952381</v>
      </c>
      <c r="M184" s="71">
        <v>9136.7236328125</v>
      </c>
      <c r="N184" s="71">
        <v>2073.322021484375</v>
      </c>
      <c r="O184" s="72"/>
      <c r="P184" s="73"/>
      <c r="Q184" s="73"/>
      <c r="R184" s="86"/>
      <c r="S184" s="45">
        <v>1</v>
      </c>
      <c r="T184" s="45">
        <v>0</v>
      </c>
      <c r="U184" s="46">
        <v>0</v>
      </c>
      <c r="V184" s="46">
        <v>0.239818</v>
      </c>
      <c r="W184" s="46">
        <v>0.002465</v>
      </c>
      <c r="X184" s="46">
        <v>0.002784</v>
      </c>
      <c r="Y184" s="46">
        <v>0</v>
      </c>
      <c r="Z184" s="46">
        <v>0</v>
      </c>
      <c r="AA184" s="68">
        <v>184</v>
      </c>
      <c r="AB184" s="68"/>
      <c r="AC184" s="69"/>
      <c r="AD184" s="76" t="s">
        <v>1429</v>
      </c>
      <c r="AE184" s="80" t="s">
        <v>1732</v>
      </c>
      <c r="AF184" s="76">
        <v>5152</v>
      </c>
      <c r="AG184" s="76">
        <v>631</v>
      </c>
      <c r="AH184" s="76">
        <v>5506</v>
      </c>
      <c r="AI184" s="76">
        <v>229</v>
      </c>
      <c r="AJ184" s="76">
        <v>4528</v>
      </c>
      <c r="AK184" s="76">
        <v>343</v>
      </c>
      <c r="AL184" s="76" t="b">
        <v>0</v>
      </c>
      <c r="AM184" s="78">
        <v>39582.498136574075</v>
      </c>
      <c r="AN184" s="76" t="s">
        <v>1953</v>
      </c>
      <c r="AO184" s="76" t="s">
        <v>2215</v>
      </c>
      <c r="AP184" s="82" t="str">
        <f>HYPERLINK("https://t.co/RXGjCB0Zrl")</f>
        <v>https://t.co/RXGjCB0Zrl</v>
      </c>
      <c r="AQ184" s="82" t="str">
        <f>HYPERLINK("https://annenberg.usc.edu/faculty/journalism/robert-kozinets")</f>
        <v>https://annenberg.usc.edu/faculty/journalism/robert-kozinets</v>
      </c>
      <c r="AR184" s="76" t="s">
        <v>2483</v>
      </c>
      <c r="AS184" s="76"/>
      <c r="AT184" s="76"/>
      <c r="AU184" s="76"/>
      <c r="AV184" s="76"/>
      <c r="AW184" s="82" t="str">
        <f>HYPERLINK("https://t.co/RXGjCB0Zrl")</f>
        <v>https://t.co/RXGjCB0Zrl</v>
      </c>
      <c r="AX184" s="76" t="b">
        <v>0</v>
      </c>
      <c r="AY184" s="76"/>
      <c r="AZ184" s="76"/>
      <c r="BA184" s="76" t="b">
        <v>0</v>
      </c>
      <c r="BB184" s="76" t="b">
        <v>1</v>
      </c>
      <c r="BC184" s="76" t="b">
        <v>0</v>
      </c>
      <c r="BD184" s="76" t="b">
        <v>0</v>
      </c>
      <c r="BE184" s="76" t="b">
        <v>1</v>
      </c>
      <c r="BF184" s="76" t="b">
        <v>0</v>
      </c>
      <c r="BG184" s="76" t="b">
        <v>0</v>
      </c>
      <c r="BH184" s="82" t="str">
        <f>HYPERLINK("https://pbs.twimg.com/profile_banners/14772114/1690993907")</f>
        <v>https://pbs.twimg.com/profile_banners/14772114/1690993907</v>
      </c>
      <c r="BI184" s="76"/>
      <c r="BJ184" s="76" t="s">
        <v>2656</v>
      </c>
      <c r="BK184" s="76" t="b">
        <v>0</v>
      </c>
      <c r="BL184" s="76"/>
      <c r="BM184" s="76" t="s">
        <v>65</v>
      </c>
      <c r="BN184" s="76" t="s">
        <v>2657</v>
      </c>
      <c r="BO184" s="82" t="str">
        <f>HYPERLINK("https://twitter.com/kozinets")</f>
        <v>https://twitter.com/kozinets</v>
      </c>
      <c r="BP184" s="76" t="str">
        <f>REPLACE(INDEX(GroupVertices[Group],MATCH(Vertices[[#This Row],[Vertex]],GroupVertices[Vertex],0)),1,1,"")</f>
        <v>10</v>
      </c>
      <c r="BQ184" s="45"/>
      <c r="BR184" s="46"/>
      <c r="BS184" s="45"/>
      <c r="BT184" s="46"/>
      <c r="BU184" s="45"/>
      <c r="BV184" s="46"/>
      <c r="BW184" s="45"/>
      <c r="BX184" s="46"/>
      <c r="BY184" s="45"/>
      <c r="BZ184" s="45"/>
      <c r="CA184" s="45"/>
      <c r="CB184" s="45"/>
      <c r="CC184" s="45"/>
      <c r="CD184" s="45"/>
      <c r="CE184" s="45"/>
      <c r="CF184" s="45"/>
      <c r="CG184" s="45"/>
      <c r="CH184" s="45"/>
      <c r="CI184" s="45"/>
      <c r="CJ184" s="2"/>
    </row>
    <row r="185" spans="1:88" ht="15">
      <c r="A185" s="61" t="s">
        <v>429</v>
      </c>
      <c r="B185" s="62"/>
      <c r="C185" s="62"/>
      <c r="D185" s="63">
        <v>535</v>
      </c>
      <c r="E185" s="65"/>
      <c r="F185" s="100" t="str">
        <f>HYPERLINK("https://pbs.twimg.com/profile_images/1399096973903515650/4jJWNLNj_normal.jpg")</f>
        <v>https://pbs.twimg.com/profile_images/1399096973903515650/4jJWNLNj_normal.jpg</v>
      </c>
      <c r="G185" s="62"/>
      <c r="H185" s="66" t="s">
        <v>429</v>
      </c>
      <c r="I185" s="67"/>
      <c r="J185" s="67" t="s">
        <v>159</v>
      </c>
      <c r="K185" s="66" t="s">
        <v>2839</v>
      </c>
      <c r="L185" s="70">
        <v>477.0952380952381</v>
      </c>
      <c r="M185" s="71">
        <v>9884.892578125</v>
      </c>
      <c r="N185" s="71">
        <v>2750.901611328125</v>
      </c>
      <c r="O185" s="72"/>
      <c r="P185" s="73"/>
      <c r="Q185" s="73"/>
      <c r="R185" s="86"/>
      <c r="S185" s="45">
        <v>1</v>
      </c>
      <c r="T185" s="45">
        <v>0</v>
      </c>
      <c r="U185" s="46">
        <v>0</v>
      </c>
      <c r="V185" s="46">
        <v>0.239818</v>
      </c>
      <c r="W185" s="46">
        <v>0.002465</v>
      </c>
      <c r="X185" s="46">
        <v>0.002784</v>
      </c>
      <c r="Y185" s="46">
        <v>0</v>
      </c>
      <c r="Z185" s="46">
        <v>0</v>
      </c>
      <c r="AA185" s="68">
        <v>185</v>
      </c>
      <c r="AB185" s="68"/>
      <c r="AC185" s="69"/>
      <c r="AD185" s="76" t="s">
        <v>1430</v>
      </c>
      <c r="AE185" s="80" t="s">
        <v>1733</v>
      </c>
      <c r="AF185" s="76">
        <v>2064</v>
      </c>
      <c r="AG185" s="76">
        <v>1902</v>
      </c>
      <c r="AH185" s="76">
        <v>8943</v>
      </c>
      <c r="AI185" s="76">
        <v>62</v>
      </c>
      <c r="AJ185" s="76">
        <v>9201</v>
      </c>
      <c r="AK185" s="76">
        <v>862</v>
      </c>
      <c r="AL185" s="76" t="b">
        <v>0</v>
      </c>
      <c r="AM185" s="78">
        <v>39873.66135416667</v>
      </c>
      <c r="AN185" s="76" t="s">
        <v>1954</v>
      </c>
      <c r="AO185" s="76" t="s">
        <v>2216</v>
      </c>
      <c r="AP185" s="76"/>
      <c r="AQ185" s="76"/>
      <c r="AR185" s="76"/>
      <c r="AS185" s="76"/>
      <c r="AT185" s="76"/>
      <c r="AU185" s="76"/>
      <c r="AV185" s="76">
        <v>1.0149641759012E+18</v>
      </c>
      <c r="AW185" s="76"/>
      <c r="AX185" s="76" t="b">
        <v>0</v>
      </c>
      <c r="AY185" s="76"/>
      <c r="AZ185" s="76"/>
      <c r="BA185" s="76" t="b">
        <v>0</v>
      </c>
      <c r="BB185" s="76" t="b">
        <v>1</v>
      </c>
      <c r="BC185" s="76" t="b">
        <v>0</v>
      </c>
      <c r="BD185" s="76" t="b">
        <v>0</v>
      </c>
      <c r="BE185" s="76" t="b">
        <v>1</v>
      </c>
      <c r="BF185" s="76" t="b">
        <v>0</v>
      </c>
      <c r="BG185" s="76" t="b">
        <v>0</v>
      </c>
      <c r="BH185" s="82" t="str">
        <f>HYPERLINK("https://pbs.twimg.com/profile_banners/22373301/1548758118")</f>
        <v>https://pbs.twimg.com/profile_banners/22373301/1548758118</v>
      </c>
      <c r="BI185" s="76"/>
      <c r="BJ185" s="76" t="s">
        <v>2656</v>
      </c>
      <c r="BK185" s="76" t="b">
        <v>0</v>
      </c>
      <c r="BL185" s="76"/>
      <c r="BM185" s="76" t="s">
        <v>65</v>
      </c>
      <c r="BN185" s="76" t="s">
        <v>2657</v>
      </c>
      <c r="BO185" s="82" t="str">
        <f>HYPERLINK("https://twitter.com/cristinavas")</f>
        <v>https://twitter.com/cristinavas</v>
      </c>
      <c r="BP185" s="76" t="str">
        <f>REPLACE(INDEX(GroupVertices[Group],MATCH(Vertices[[#This Row],[Vertex]],GroupVertices[Vertex],0)),1,1,"")</f>
        <v>10</v>
      </c>
      <c r="BQ185" s="45"/>
      <c r="BR185" s="46"/>
      <c r="BS185" s="45"/>
      <c r="BT185" s="46"/>
      <c r="BU185" s="45"/>
      <c r="BV185" s="46"/>
      <c r="BW185" s="45"/>
      <c r="BX185" s="46"/>
      <c r="BY185" s="45"/>
      <c r="BZ185" s="45"/>
      <c r="CA185" s="45"/>
      <c r="CB185" s="45"/>
      <c r="CC185" s="45"/>
      <c r="CD185" s="45"/>
      <c r="CE185" s="45"/>
      <c r="CF185" s="45"/>
      <c r="CG185" s="45"/>
      <c r="CH185" s="45"/>
      <c r="CI185" s="45"/>
      <c r="CJ185" s="2"/>
    </row>
    <row r="186" spans="1:88" ht="15">
      <c r="A186" s="61" t="s">
        <v>430</v>
      </c>
      <c r="B186" s="62"/>
      <c r="C186" s="62"/>
      <c r="D186" s="63">
        <v>535</v>
      </c>
      <c r="E186" s="65"/>
      <c r="F186" s="100" t="str">
        <f>HYPERLINK("https://pbs.twimg.com/profile_images/614400415069769728/t6ZBxhIg_normal.jpg")</f>
        <v>https://pbs.twimg.com/profile_images/614400415069769728/t6ZBxhIg_normal.jpg</v>
      </c>
      <c r="G186" s="62"/>
      <c r="H186" s="66" t="s">
        <v>430</v>
      </c>
      <c r="I186" s="67"/>
      <c r="J186" s="67" t="s">
        <v>159</v>
      </c>
      <c r="K186" s="66" t="s">
        <v>2840</v>
      </c>
      <c r="L186" s="70">
        <v>477.0952380952381</v>
      </c>
      <c r="M186" s="71">
        <v>8342.2841796875</v>
      </c>
      <c r="N186" s="71">
        <v>3446.8828125</v>
      </c>
      <c r="O186" s="72"/>
      <c r="P186" s="73"/>
      <c r="Q186" s="73"/>
      <c r="R186" s="86"/>
      <c r="S186" s="45">
        <v>1</v>
      </c>
      <c r="T186" s="45">
        <v>0</v>
      </c>
      <c r="U186" s="46">
        <v>0</v>
      </c>
      <c r="V186" s="46">
        <v>0.239818</v>
      </c>
      <c r="W186" s="46">
        <v>0.002465</v>
      </c>
      <c r="X186" s="46">
        <v>0.002784</v>
      </c>
      <c r="Y186" s="46">
        <v>0</v>
      </c>
      <c r="Z186" s="46">
        <v>0</v>
      </c>
      <c r="AA186" s="68">
        <v>186</v>
      </c>
      <c r="AB186" s="68"/>
      <c r="AC186" s="69"/>
      <c r="AD186" s="76" t="s">
        <v>1431</v>
      </c>
      <c r="AE186" s="80" t="s">
        <v>1734</v>
      </c>
      <c r="AF186" s="76">
        <v>4245</v>
      </c>
      <c r="AG186" s="76">
        <v>3811</v>
      </c>
      <c r="AH186" s="76">
        <v>17439</v>
      </c>
      <c r="AI186" s="76">
        <v>152</v>
      </c>
      <c r="AJ186" s="76">
        <v>30660</v>
      </c>
      <c r="AK186" s="76">
        <v>1423</v>
      </c>
      <c r="AL186" s="76" t="b">
        <v>0</v>
      </c>
      <c r="AM186" s="78">
        <v>39654.57077546296</v>
      </c>
      <c r="AN186" s="76"/>
      <c r="AO186" s="76" t="s">
        <v>2217</v>
      </c>
      <c r="AP186" s="82" t="str">
        <f>HYPERLINK("https://t.co/8alAQzb6pp")</f>
        <v>https://t.co/8alAQzb6pp</v>
      </c>
      <c r="AQ186" s="82" t="str">
        <f>HYPERLINK("http://www.alexfenton.co.uk")</f>
        <v>http://www.alexfenton.co.uk</v>
      </c>
      <c r="AR186" s="76" t="s">
        <v>2484</v>
      </c>
      <c r="AS186" s="76"/>
      <c r="AT186" s="76"/>
      <c r="AU186" s="76"/>
      <c r="AV186" s="76">
        <v>1.6882112781777E+18</v>
      </c>
      <c r="AW186" s="82" t="str">
        <f>HYPERLINK("https://t.co/8alAQzb6pp")</f>
        <v>https://t.co/8alAQzb6pp</v>
      </c>
      <c r="AX186" s="76" t="b">
        <v>0</v>
      </c>
      <c r="AY186" s="76" t="b">
        <v>1</v>
      </c>
      <c r="AZ186" s="76" t="b">
        <v>1</v>
      </c>
      <c r="BA186" s="76" t="b">
        <v>1</v>
      </c>
      <c r="BB186" s="76" t="b">
        <v>1</v>
      </c>
      <c r="BC186" s="76" t="b">
        <v>0</v>
      </c>
      <c r="BD186" s="76" t="b">
        <v>0</v>
      </c>
      <c r="BE186" s="76" t="b">
        <v>1</v>
      </c>
      <c r="BF186" s="76" t="b">
        <v>0</v>
      </c>
      <c r="BG186" s="76" t="b">
        <v>0</v>
      </c>
      <c r="BH186" s="82" t="str">
        <f>HYPERLINK("https://pbs.twimg.com/profile_banners/15597847/1648069132")</f>
        <v>https://pbs.twimg.com/profile_banners/15597847/1648069132</v>
      </c>
      <c r="BI186" s="76"/>
      <c r="BJ186" s="76" t="s">
        <v>2656</v>
      </c>
      <c r="BK186" s="76" t="b">
        <v>1</v>
      </c>
      <c r="BL186" s="76"/>
      <c r="BM186" s="76" t="s">
        <v>65</v>
      </c>
      <c r="BN186" s="76" t="s">
        <v>2657</v>
      </c>
      <c r="BO186" s="82" t="str">
        <f>HYPERLINK("https://twitter.com/alexfenton")</f>
        <v>https://twitter.com/alexfenton</v>
      </c>
      <c r="BP186" s="76" t="str">
        <f>REPLACE(INDEX(GroupVertices[Group],MATCH(Vertices[[#This Row],[Vertex]],GroupVertices[Vertex],0)),1,1,"")</f>
        <v>10</v>
      </c>
      <c r="BQ186" s="45"/>
      <c r="BR186" s="46"/>
      <c r="BS186" s="45"/>
      <c r="BT186" s="46"/>
      <c r="BU186" s="45"/>
      <c r="BV186" s="46"/>
      <c r="BW186" s="45"/>
      <c r="BX186" s="46"/>
      <c r="BY186" s="45"/>
      <c r="BZ186" s="45"/>
      <c r="CA186" s="45"/>
      <c r="CB186" s="45"/>
      <c r="CC186" s="45"/>
      <c r="CD186" s="45"/>
      <c r="CE186" s="45"/>
      <c r="CF186" s="45"/>
      <c r="CG186" s="45"/>
      <c r="CH186" s="45"/>
      <c r="CI186" s="45"/>
      <c r="CJ186" s="2"/>
    </row>
    <row r="187" spans="1:88" ht="15">
      <c r="A187" s="61" t="s">
        <v>431</v>
      </c>
      <c r="B187" s="62"/>
      <c r="C187" s="62"/>
      <c r="D187" s="63">
        <v>535</v>
      </c>
      <c r="E187" s="65"/>
      <c r="F187" s="100" t="str">
        <f>HYPERLINK("https://pbs.twimg.com/profile_images/1572991372528963584/LGwlzYyV_normal.jpg")</f>
        <v>https://pbs.twimg.com/profile_images/1572991372528963584/LGwlzYyV_normal.jpg</v>
      </c>
      <c r="G187" s="62"/>
      <c r="H187" s="66" t="s">
        <v>431</v>
      </c>
      <c r="I187" s="67"/>
      <c r="J187" s="67" t="s">
        <v>159</v>
      </c>
      <c r="K187" s="66" t="s">
        <v>2841</v>
      </c>
      <c r="L187" s="70">
        <v>477.0952380952381</v>
      </c>
      <c r="M187" s="71">
        <v>9401.900390625</v>
      </c>
      <c r="N187" s="71">
        <v>3599.725341796875</v>
      </c>
      <c r="O187" s="72"/>
      <c r="P187" s="73"/>
      <c r="Q187" s="73"/>
      <c r="R187" s="86"/>
      <c r="S187" s="45">
        <v>1</v>
      </c>
      <c r="T187" s="45">
        <v>0</v>
      </c>
      <c r="U187" s="46">
        <v>0</v>
      </c>
      <c r="V187" s="46">
        <v>0.239818</v>
      </c>
      <c r="W187" s="46">
        <v>0.002465</v>
      </c>
      <c r="X187" s="46">
        <v>0.002784</v>
      </c>
      <c r="Y187" s="46">
        <v>0</v>
      </c>
      <c r="Z187" s="46">
        <v>0</v>
      </c>
      <c r="AA187" s="68">
        <v>187</v>
      </c>
      <c r="AB187" s="68"/>
      <c r="AC187" s="69"/>
      <c r="AD187" s="76" t="s">
        <v>1432</v>
      </c>
      <c r="AE187" s="80" t="s">
        <v>1735</v>
      </c>
      <c r="AF187" s="76">
        <v>217</v>
      </c>
      <c r="AG187" s="76">
        <v>312</v>
      </c>
      <c r="AH187" s="76">
        <v>240</v>
      </c>
      <c r="AI187" s="76">
        <v>1</v>
      </c>
      <c r="AJ187" s="76">
        <v>576</v>
      </c>
      <c r="AK187" s="76">
        <v>21</v>
      </c>
      <c r="AL187" s="76" t="b">
        <v>0</v>
      </c>
      <c r="AM187" s="78">
        <v>44826.69994212963</v>
      </c>
      <c r="AN187" s="76"/>
      <c r="AO187" s="76" t="s">
        <v>2218</v>
      </c>
      <c r="AP187" s="76"/>
      <c r="AQ187" s="76"/>
      <c r="AR187" s="76"/>
      <c r="AS187" s="76"/>
      <c r="AT187" s="76"/>
      <c r="AU187" s="76"/>
      <c r="AV187" s="76">
        <v>1.66711492516719E+18</v>
      </c>
      <c r="AW187" s="76"/>
      <c r="AX187" s="76" t="b">
        <v>0</v>
      </c>
      <c r="AY187" s="76"/>
      <c r="AZ187" s="76" t="b">
        <v>1</v>
      </c>
      <c r="BA187" s="76" t="b">
        <v>0</v>
      </c>
      <c r="BB187" s="76" t="b">
        <v>1</v>
      </c>
      <c r="BC187" s="76" t="b">
        <v>1</v>
      </c>
      <c r="BD187" s="76" t="b">
        <v>0</v>
      </c>
      <c r="BE187" s="76" t="b">
        <v>0</v>
      </c>
      <c r="BF187" s="76" t="b">
        <v>0</v>
      </c>
      <c r="BG187" s="76" t="b">
        <v>0</v>
      </c>
      <c r="BH187" s="82" t="str">
        <f>HYPERLINK("https://pbs.twimg.com/profile_banners/1572991031578066946/1663865343")</f>
        <v>https://pbs.twimg.com/profile_banners/1572991031578066946/1663865343</v>
      </c>
      <c r="BI187" s="76"/>
      <c r="BJ187" s="76" t="s">
        <v>2656</v>
      </c>
      <c r="BK187" s="76" t="b">
        <v>1</v>
      </c>
      <c r="BL187" s="76"/>
      <c r="BM187" s="76" t="s">
        <v>65</v>
      </c>
      <c r="BN187" s="76" t="s">
        <v>2657</v>
      </c>
      <c r="BO187" s="82" t="str">
        <f>HYPERLINK("https://twitter.com/netnocon")</f>
        <v>https://twitter.com/netnocon</v>
      </c>
      <c r="BP187" s="76" t="str">
        <f>REPLACE(INDEX(GroupVertices[Group],MATCH(Vertices[[#This Row],[Vertex]],GroupVertices[Vertex],0)),1,1,"")</f>
        <v>10</v>
      </c>
      <c r="BQ187" s="45"/>
      <c r="BR187" s="46"/>
      <c r="BS187" s="45"/>
      <c r="BT187" s="46"/>
      <c r="BU187" s="45"/>
      <c r="BV187" s="46"/>
      <c r="BW187" s="45"/>
      <c r="BX187" s="46"/>
      <c r="BY187" s="45"/>
      <c r="BZ187" s="45"/>
      <c r="CA187" s="45"/>
      <c r="CB187" s="45"/>
      <c r="CC187" s="45"/>
      <c r="CD187" s="45"/>
      <c r="CE187" s="45"/>
      <c r="CF187" s="45"/>
      <c r="CG187" s="45"/>
      <c r="CH187" s="45"/>
      <c r="CI187" s="45"/>
      <c r="CJ187" s="2"/>
    </row>
    <row r="188" spans="1:88" ht="15">
      <c r="A188" s="61" t="s">
        <v>432</v>
      </c>
      <c r="B188" s="62"/>
      <c r="C188" s="62"/>
      <c r="D188" s="63">
        <v>535</v>
      </c>
      <c r="E188" s="65"/>
      <c r="F188" s="100" t="str">
        <f>HYPERLINK("https://pbs.twimg.com/profile_images/1504548201638076423/yeE_wfuu_normal.jpg")</f>
        <v>https://pbs.twimg.com/profile_images/1504548201638076423/yeE_wfuu_normal.jpg</v>
      </c>
      <c r="G188" s="62"/>
      <c r="H188" s="66" t="s">
        <v>432</v>
      </c>
      <c r="I188" s="67"/>
      <c r="J188" s="67" t="s">
        <v>159</v>
      </c>
      <c r="K188" s="66" t="s">
        <v>2842</v>
      </c>
      <c r="L188" s="70">
        <v>477.0952380952381</v>
      </c>
      <c r="M188" s="71">
        <v>8579.1162109375</v>
      </c>
      <c r="N188" s="71">
        <v>2150.241943359375</v>
      </c>
      <c r="O188" s="72"/>
      <c r="P188" s="73"/>
      <c r="Q188" s="73"/>
      <c r="R188" s="86"/>
      <c r="S188" s="45">
        <v>1</v>
      </c>
      <c r="T188" s="45">
        <v>0</v>
      </c>
      <c r="U188" s="46">
        <v>0</v>
      </c>
      <c r="V188" s="46">
        <v>0.239818</v>
      </c>
      <c r="W188" s="46">
        <v>0.002465</v>
      </c>
      <c r="X188" s="46">
        <v>0.002784</v>
      </c>
      <c r="Y188" s="46">
        <v>0</v>
      </c>
      <c r="Z188" s="46">
        <v>0</v>
      </c>
      <c r="AA188" s="68">
        <v>188</v>
      </c>
      <c r="AB188" s="68"/>
      <c r="AC188" s="69"/>
      <c r="AD188" s="76" t="s">
        <v>1433</v>
      </c>
      <c r="AE188" s="80" t="s">
        <v>1178</v>
      </c>
      <c r="AF188" s="76">
        <v>1713</v>
      </c>
      <c r="AG188" s="76">
        <v>2770</v>
      </c>
      <c r="AH188" s="76">
        <v>3880</v>
      </c>
      <c r="AI188" s="76">
        <v>47</v>
      </c>
      <c r="AJ188" s="76">
        <v>3949</v>
      </c>
      <c r="AK188" s="76">
        <v>536</v>
      </c>
      <c r="AL188" s="76" t="b">
        <v>0</v>
      </c>
      <c r="AM188" s="78">
        <v>42588.75003472222</v>
      </c>
      <c r="AN188" s="76" t="s">
        <v>1955</v>
      </c>
      <c r="AO188" s="76" t="s">
        <v>2219</v>
      </c>
      <c r="AP188" s="82" t="str">
        <f>HYPERLINK("https://t.co/1ryS7K0oDL")</f>
        <v>https://t.co/1ryS7K0oDL</v>
      </c>
      <c r="AQ188" s="82" t="str">
        <f>HYPERLINK("https://www.eventbrite.com/o/social-media-research-foundation-32778163177")</f>
        <v>https://www.eventbrite.com/o/social-media-research-foundation-32778163177</v>
      </c>
      <c r="AR188" s="76" t="s">
        <v>2485</v>
      </c>
      <c r="AS188" s="76"/>
      <c r="AT188" s="76"/>
      <c r="AU188" s="76"/>
      <c r="AV188" s="76">
        <v>1.6276286754987E+18</v>
      </c>
      <c r="AW188" s="82" t="str">
        <f>HYPERLINK("https://t.co/1ryS7K0oDL")</f>
        <v>https://t.co/1ryS7K0oDL</v>
      </c>
      <c r="AX188" s="76" t="b">
        <v>0</v>
      </c>
      <c r="AY188" s="76" t="b">
        <v>1</v>
      </c>
      <c r="AZ188" s="76" t="b">
        <v>1</v>
      </c>
      <c r="BA188" s="76" t="b">
        <v>1</v>
      </c>
      <c r="BB188" s="76" t="b">
        <v>1</v>
      </c>
      <c r="BC188" s="76" t="b">
        <v>0</v>
      </c>
      <c r="BD188" s="76" t="b">
        <v>0</v>
      </c>
      <c r="BE188" s="76" t="b">
        <v>0</v>
      </c>
      <c r="BF188" s="76" t="b">
        <v>0</v>
      </c>
      <c r="BG188" s="76" t="b">
        <v>0</v>
      </c>
      <c r="BH188" s="82" t="str">
        <f>HYPERLINK("https://pbs.twimg.com/profile_banners/761985198967914496/1647547131")</f>
        <v>https://pbs.twimg.com/profile_banners/761985198967914496/1647547131</v>
      </c>
      <c r="BI188" s="76"/>
      <c r="BJ188" s="76" t="s">
        <v>2656</v>
      </c>
      <c r="BK188" s="76" t="b">
        <v>1</v>
      </c>
      <c r="BL188" s="76"/>
      <c r="BM188" s="76" t="s">
        <v>65</v>
      </c>
      <c r="BN188" s="76" t="s">
        <v>2657</v>
      </c>
      <c r="BO188" s="82" t="str">
        <f>HYPERLINK("https://twitter.com/nodexlacademy")</f>
        <v>https://twitter.com/nodexlacademy</v>
      </c>
      <c r="BP188" s="76" t="str">
        <f>REPLACE(INDEX(GroupVertices[Group],MATCH(Vertices[[#This Row],[Vertex]],GroupVertices[Vertex],0)),1,1,"")</f>
        <v>10</v>
      </c>
      <c r="BQ188" s="45"/>
      <c r="BR188" s="46"/>
      <c r="BS188" s="45"/>
      <c r="BT188" s="46"/>
      <c r="BU188" s="45"/>
      <c r="BV188" s="46"/>
      <c r="BW188" s="45"/>
      <c r="BX188" s="46"/>
      <c r="BY188" s="45"/>
      <c r="BZ188" s="45"/>
      <c r="CA188" s="45"/>
      <c r="CB188" s="45"/>
      <c r="CC188" s="45"/>
      <c r="CD188" s="45"/>
      <c r="CE188" s="45"/>
      <c r="CF188" s="45"/>
      <c r="CG188" s="45"/>
      <c r="CH188" s="45"/>
      <c r="CI188" s="45"/>
      <c r="CJ188" s="2"/>
    </row>
    <row r="189" spans="1:88" ht="15">
      <c r="A189" s="61" t="s">
        <v>238</v>
      </c>
      <c r="B189" s="62"/>
      <c r="C189" s="62"/>
      <c r="D189" s="63">
        <v>1000</v>
      </c>
      <c r="E189" s="65"/>
      <c r="F189" s="100" t="str">
        <f>HYPERLINK("https://pbs.twimg.com/profile_images/849133030237061120/6hUrNP0a_normal.jpg")</f>
        <v>https://pbs.twimg.com/profile_images/849133030237061120/6hUrNP0a_normal.jpg</v>
      </c>
      <c r="G189" s="62"/>
      <c r="H189" s="66" t="s">
        <v>238</v>
      </c>
      <c r="I189" s="67"/>
      <c r="J189" s="67" t="s">
        <v>159</v>
      </c>
      <c r="K189" s="66" t="s">
        <v>2843</v>
      </c>
      <c r="L189" s="70">
        <v>1429.2857142857142</v>
      </c>
      <c r="M189" s="71">
        <v>2143.760986328125</v>
      </c>
      <c r="N189" s="71">
        <v>1487.8272705078125</v>
      </c>
      <c r="O189" s="72"/>
      <c r="P189" s="73"/>
      <c r="Q189" s="73"/>
      <c r="R189" s="86"/>
      <c r="S189" s="45">
        <v>3</v>
      </c>
      <c r="T189" s="45">
        <v>41</v>
      </c>
      <c r="U189" s="46">
        <v>20742.338655</v>
      </c>
      <c r="V189" s="46">
        <v>0.351042</v>
      </c>
      <c r="W189" s="46">
        <v>0.127039</v>
      </c>
      <c r="X189" s="46">
        <v>0.018226</v>
      </c>
      <c r="Y189" s="46">
        <v>0</v>
      </c>
      <c r="Z189" s="46">
        <v>0.024390243902439025</v>
      </c>
      <c r="AA189" s="68">
        <v>189</v>
      </c>
      <c r="AB189" s="68"/>
      <c r="AC189" s="69"/>
      <c r="AD189" s="76" t="s">
        <v>1434</v>
      </c>
      <c r="AE189" s="80" t="s">
        <v>1179</v>
      </c>
      <c r="AF189" s="76">
        <v>2596</v>
      </c>
      <c r="AG189" s="76">
        <v>2261</v>
      </c>
      <c r="AH189" s="76">
        <v>3415</v>
      </c>
      <c r="AI189" s="76">
        <v>207</v>
      </c>
      <c r="AJ189" s="76">
        <v>51664</v>
      </c>
      <c r="AK189" s="76">
        <v>121</v>
      </c>
      <c r="AL189" s="76" t="b">
        <v>0</v>
      </c>
      <c r="AM189" s="78">
        <v>40333.691087962965</v>
      </c>
      <c r="AN189" s="76" t="s">
        <v>1956</v>
      </c>
      <c r="AO189" s="76" t="s">
        <v>2220</v>
      </c>
      <c r="AP189" s="82" t="str">
        <f>HYPERLINK("https://t.co/FKKr76FLpx")</f>
        <v>https://t.co/FKKr76FLpx</v>
      </c>
      <c r="AQ189" s="82" t="str">
        <f>HYPERLINK("http://www.smrfoundation.org")</f>
        <v>http://www.smrfoundation.org</v>
      </c>
      <c r="AR189" s="76" t="s">
        <v>741</v>
      </c>
      <c r="AS189" s="76"/>
      <c r="AT189" s="76"/>
      <c r="AU189" s="76"/>
      <c r="AV189" s="76"/>
      <c r="AW189" s="82" t="str">
        <f>HYPERLINK("https://t.co/FKKr76FLpx")</f>
        <v>https://t.co/FKKr76FLpx</v>
      </c>
      <c r="AX189" s="76" t="b">
        <v>0</v>
      </c>
      <c r="AY189" s="76" t="b">
        <v>1</v>
      </c>
      <c r="AZ189" s="76" t="b">
        <v>1</v>
      </c>
      <c r="BA189" s="76" t="b">
        <v>1</v>
      </c>
      <c r="BB189" s="76" t="b">
        <v>1</v>
      </c>
      <c r="BC189" s="76" t="b">
        <v>1</v>
      </c>
      <c r="BD189" s="76" t="b">
        <v>0</v>
      </c>
      <c r="BE189" s="76" t="b">
        <v>1</v>
      </c>
      <c r="BF189" s="76" t="b">
        <v>0</v>
      </c>
      <c r="BG189" s="76" t="b">
        <v>0</v>
      </c>
      <c r="BH189" s="82" t="str">
        <f>HYPERLINK("https://pbs.twimg.com/profile_banners/151934168/1391403981")</f>
        <v>https://pbs.twimg.com/profile_banners/151934168/1391403981</v>
      </c>
      <c r="BI189" s="76"/>
      <c r="BJ189" s="76" t="s">
        <v>2656</v>
      </c>
      <c r="BK189" s="76" t="b">
        <v>1</v>
      </c>
      <c r="BL189" s="76"/>
      <c r="BM189" s="76" t="s">
        <v>66</v>
      </c>
      <c r="BN189" s="76" t="s">
        <v>2657</v>
      </c>
      <c r="BO189" s="82" t="str">
        <f>HYPERLINK("https://twitter.com/smr_foundation")</f>
        <v>https://twitter.com/smr_foundation</v>
      </c>
      <c r="BP189" s="76" t="str">
        <f>REPLACE(INDEX(GroupVertices[Group],MATCH(Vertices[[#This Row],[Vertex]],GroupVertices[Vertex],0)),1,1,"")</f>
        <v>3</v>
      </c>
      <c r="BQ189" s="45">
        <v>4</v>
      </c>
      <c r="BR189" s="46">
        <v>3.669724770642202</v>
      </c>
      <c r="BS189" s="45">
        <v>0</v>
      </c>
      <c r="BT189" s="46">
        <v>0</v>
      </c>
      <c r="BU189" s="45">
        <v>0</v>
      </c>
      <c r="BV189" s="46">
        <v>0</v>
      </c>
      <c r="BW189" s="45">
        <v>99</v>
      </c>
      <c r="BX189" s="46">
        <v>90.8256880733945</v>
      </c>
      <c r="BY189" s="45">
        <v>109</v>
      </c>
      <c r="BZ189" s="45" t="s">
        <v>11543</v>
      </c>
      <c r="CA189" s="45" t="s">
        <v>11551</v>
      </c>
      <c r="CB189" s="45" t="s">
        <v>11331</v>
      </c>
      <c r="CC189" s="45" t="s">
        <v>11559</v>
      </c>
      <c r="CD189" s="45" t="s">
        <v>11567</v>
      </c>
      <c r="CE189" s="45" t="s">
        <v>11577</v>
      </c>
      <c r="CF189" s="112" t="s">
        <v>11602</v>
      </c>
      <c r="CG189" s="112" t="s">
        <v>11634</v>
      </c>
      <c r="CH189" s="112" t="s">
        <v>11657</v>
      </c>
      <c r="CI189" s="112" t="s">
        <v>11687</v>
      </c>
      <c r="CJ189" s="2"/>
    </row>
    <row r="190" spans="1:88" ht="15">
      <c r="A190" s="61" t="s">
        <v>433</v>
      </c>
      <c r="B190" s="62"/>
      <c r="C190" s="62"/>
      <c r="D190" s="63">
        <v>535</v>
      </c>
      <c r="E190" s="65"/>
      <c r="F190" s="100" t="str">
        <f>HYPERLINK("https://pbs.twimg.com/profile_images/1693738809374949376/iqQypybO_normal.jpg")</f>
        <v>https://pbs.twimg.com/profile_images/1693738809374949376/iqQypybO_normal.jpg</v>
      </c>
      <c r="G190" s="62"/>
      <c r="H190" s="66" t="s">
        <v>433</v>
      </c>
      <c r="I190" s="67"/>
      <c r="J190" s="67" t="s">
        <v>159</v>
      </c>
      <c r="K190" s="66" t="s">
        <v>2844</v>
      </c>
      <c r="L190" s="70">
        <v>477.0952380952381</v>
      </c>
      <c r="M190" s="71">
        <v>2196.109619140625</v>
      </c>
      <c r="N190" s="71">
        <v>965.9229736328125</v>
      </c>
      <c r="O190" s="72"/>
      <c r="P190" s="73"/>
      <c r="Q190" s="73"/>
      <c r="R190" s="86"/>
      <c r="S190" s="45">
        <v>1</v>
      </c>
      <c r="T190" s="45">
        <v>0</v>
      </c>
      <c r="U190" s="46">
        <v>0</v>
      </c>
      <c r="V190" s="46">
        <v>0.255569</v>
      </c>
      <c r="W190" s="46">
        <v>0.011412</v>
      </c>
      <c r="X190" s="46">
        <v>0.002755</v>
      </c>
      <c r="Y190" s="46">
        <v>0</v>
      </c>
      <c r="Z190" s="46">
        <v>0</v>
      </c>
      <c r="AA190" s="68">
        <v>190</v>
      </c>
      <c r="AB190" s="68"/>
      <c r="AC190" s="69"/>
      <c r="AD190" s="76" t="s">
        <v>1435</v>
      </c>
      <c r="AE190" s="80" t="s">
        <v>1736</v>
      </c>
      <c r="AF190" s="76">
        <v>15273</v>
      </c>
      <c r="AG190" s="76">
        <v>9859</v>
      </c>
      <c r="AH190" s="76">
        <v>465</v>
      </c>
      <c r="AI190" s="76">
        <v>2</v>
      </c>
      <c r="AJ190" s="76">
        <v>107018</v>
      </c>
      <c r="AK190" s="76">
        <v>33</v>
      </c>
      <c r="AL190" s="76" t="b">
        <v>0</v>
      </c>
      <c r="AM190" s="78">
        <v>40983.722766203704</v>
      </c>
      <c r="AN190" s="76" t="s">
        <v>1957</v>
      </c>
      <c r="AO190" s="76" t="s">
        <v>2221</v>
      </c>
      <c r="AP190" s="82" t="str">
        <f>HYPERLINK("https://t.co/OEzIrrLYKG")</f>
        <v>https://t.co/OEzIrrLYKG</v>
      </c>
      <c r="AQ190" s="82" t="str">
        <f>HYPERLINK("http://www.nedamaghbouleh.com")</f>
        <v>http://www.nedamaghbouleh.com</v>
      </c>
      <c r="AR190" s="76" t="s">
        <v>2486</v>
      </c>
      <c r="AS190" s="76"/>
      <c r="AT190" s="76"/>
      <c r="AU190" s="76"/>
      <c r="AV190" s="76">
        <v>1.6951249541851E+18</v>
      </c>
      <c r="AW190" s="82" t="str">
        <f>HYPERLINK("https://t.co/OEzIrrLYKG")</f>
        <v>https://t.co/OEzIrrLYKG</v>
      </c>
      <c r="AX190" s="76" t="b">
        <v>0</v>
      </c>
      <c r="AY190" s="76"/>
      <c r="AZ190" s="76"/>
      <c r="BA190" s="76" t="b">
        <v>0</v>
      </c>
      <c r="BB190" s="76" t="b">
        <v>0</v>
      </c>
      <c r="BC190" s="76" t="b">
        <v>0</v>
      </c>
      <c r="BD190" s="76" t="b">
        <v>0</v>
      </c>
      <c r="BE190" s="76" t="b">
        <v>1</v>
      </c>
      <c r="BF190" s="76" t="b">
        <v>0</v>
      </c>
      <c r="BG190" s="76" t="b">
        <v>0</v>
      </c>
      <c r="BH190" s="82" t="str">
        <f>HYPERLINK("https://pbs.twimg.com/profile_banners/525564333/1666189951")</f>
        <v>https://pbs.twimg.com/profile_banners/525564333/1666189951</v>
      </c>
      <c r="BI190" s="76"/>
      <c r="BJ190" s="76" t="s">
        <v>2656</v>
      </c>
      <c r="BK190" s="76" t="b">
        <v>0</v>
      </c>
      <c r="BL190" s="76"/>
      <c r="BM190" s="76" t="s">
        <v>65</v>
      </c>
      <c r="BN190" s="76" t="s">
        <v>2657</v>
      </c>
      <c r="BO190" s="82" t="str">
        <f>HYPERLINK("https://twitter.com/nedasoc")</f>
        <v>https://twitter.com/nedasoc</v>
      </c>
      <c r="BP190" s="76" t="str">
        <f>REPLACE(INDEX(GroupVertices[Group],MATCH(Vertices[[#This Row],[Vertex]],GroupVertices[Vertex],0)),1,1,"")</f>
        <v>3</v>
      </c>
      <c r="BQ190" s="45"/>
      <c r="BR190" s="46"/>
      <c r="BS190" s="45"/>
      <c r="BT190" s="46"/>
      <c r="BU190" s="45"/>
      <c r="BV190" s="46"/>
      <c r="BW190" s="45"/>
      <c r="BX190" s="46"/>
      <c r="BY190" s="45"/>
      <c r="BZ190" s="45"/>
      <c r="CA190" s="45"/>
      <c r="CB190" s="45"/>
      <c r="CC190" s="45"/>
      <c r="CD190" s="45"/>
      <c r="CE190" s="45"/>
      <c r="CF190" s="45"/>
      <c r="CG190" s="45"/>
      <c r="CH190" s="45"/>
      <c r="CI190" s="45"/>
      <c r="CJ190" s="2"/>
    </row>
    <row r="191" spans="1:88" ht="15">
      <c r="A191" s="61" t="s">
        <v>434</v>
      </c>
      <c r="B191" s="62"/>
      <c r="C191" s="62"/>
      <c r="D191" s="63">
        <v>535</v>
      </c>
      <c r="E191" s="65"/>
      <c r="F191" s="100" t="str">
        <f>HYPERLINK("https://pbs.twimg.com/profile_images/1689124901775380480/RIFTXjop_normal.jpg")</f>
        <v>https://pbs.twimg.com/profile_images/1689124901775380480/RIFTXjop_normal.jpg</v>
      </c>
      <c r="G191" s="62"/>
      <c r="H191" s="66" t="s">
        <v>434</v>
      </c>
      <c r="I191" s="67"/>
      <c r="J191" s="67" t="s">
        <v>159</v>
      </c>
      <c r="K191" s="66" t="s">
        <v>2845</v>
      </c>
      <c r="L191" s="70">
        <v>477.0952380952381</v>
      </c>
      <c r="M191" s="71">
        <v>3035.1044921875</v>
      </c>
      <c r="N191" s="71">
        <v>268.2011413574219</v>
      </c>
      <c r="O191" s="72"/>
      <c r="P191" s="73"/>
      <c r="Q191" s="73"/>
      <c r="R191" s="86"/>
      <c r="S191" s="45">
        <v>1</v>
      </c>
      <c r="T191" s="45">
        <v>0</v>
      </c>
      <c r="U191" s="46">
        <v>0</v>
      </c>
      <c r="V191" s="46">
        <v>0.255569</v>
      </c>
      <c r="W191" s="46">
        <v>0.011412</v>
      </c>
      <c r="X191" s="46">
        <v>0.002755</v>
      </c>
      <c r="Y191" s="46">
        <v>0</v>
      </c>
      <c r="Z191" s="46">
        <v>0</v>
      </c>
      <c r="AA191" s="68">
        <v>191</v>
      </c>
      <c r="AB191" s="68"/>
      <c r="AC191" s="69"/>
      <c r="AD191" s="76" t="s">
        <v>1436</v>
      </c>
      <c r="AE191" s="80" t="s">
        <v>1737</v>
      </c>
      <c r="AF191" s="76">
        <v>2867</v>
      </c>
      <c r="AG191" s="76">
        <v>3793</v>
      </c>
      <c r="AH191" s="76">
        <v>22254</v>
      </c>
      <c r="AI191" s="76">
        <v>24</v>
      </c>
      <c r="AJ191" s="76">
        <v>66896</v>
      </c>
      <c r="AK191" s="76">
        <v>645</v>
      </c>
      <c r="AL191" s="76" t="b">
        <v>0</v>
      </c>
      <c r="AM191" s="78">
        <v>42048.864340277774</v>
      </c>
      <c r="AN191" s="76" t="s">
        <v>1958</v>
      </c>
      <c r="AO191" s="76" t="s">
        <v>2222</v>
      </c>
      <c r="AP191" s="82" t="str">
        <f>HYPERLINK("https://t.co/ymjAqpwhr8")</f>
        <v>https://t.co/ymjAqpwhr8</v>
      </c>
      <c r="AQ191" s="82" t="str">
        <f>HYPERLINK("http://michaelrosino.com")</f>
        <v>http://michaelrosino.com</v>
      </c>
      <c r="AR191" s="76" t="s">
        <v>2487</v>
      </c>
      <c r="AS191" s="82" t="str">
        <f>HYPERLINK("https://t.co/bAOJB05RJC")</f>
        <v>https://t.co/bAOJB05RJC</v>
      </c>
      <c r="AT191" s="82" t="str">
        <f>HYPERLINK("http://bit.ly/3iHzoCB")</f>
        <v>http://bit.ly/3iHzoCB</v>
      </c>
      <c r="AU191" s="76" t="s">
        <v>2634</v>
      </c>
      <c r="AV191" s="76">
        <v>1.55487227034624E+18</v>
      </c>
      <c r="AW191" s="82" t="str">
        <f>HYPERLINK("https://t.co/ymjAqpwhr8")</f>
        <v>https://t.co/ymjAqpwhr8</v>
      </c>
      <c r="AX191" s="76" t="b">
        <v>0</v>
      </c>
      <c r="AY191" s="76"/>
      <c r="AZ191" s="76"/>
      <c r="BA191" s="76" t="b">
        <v>0</v>
      </c>
      <c r="BB191" s="76" t="b">
        <v>1</v>
      </c>
      <c r="BC191" s="76" t="b">
        <v>0</v>
      </c>
      <c r="BD191" s="76" t="b">
        <v>0</v>
      </c>
      <c r="BE191" s="76" t="b">
        <v>0</v>
      </c>
      <c r="BF191" s="76" t="b">
        <v>0</v>
      </c>
      <c r="BG191" s="76" t="b">
        <v>0</v>
      </c>
      <c r="BH191" s="82" t="str">
        <f>HYPERLINK("https://pbs.twimg.com/profile_banners/3035412473/1615987547")</f>
        <v>https://pbs.twimg.com/profile_banners/3035412473/1615987547</v>
      </c>
      <c r="BI191" s="76"/>
      <c r="BJ191" s="76" t="s">
        <v>2656</v>
      </c>
      <c r="BK191" s="76" t="b">
        <v>0</v>
      </c>
      <c r="BL191" s="76"/>
      <c r="BM191" s="76" t="s">
        <v>65</v>
      </c>
      <c r="BN191" s="76" t="s">
        <v>2657</v>
      </c>
      <c r="BO191" s="82" t="str">
        <f>HYPERLINK("https://twitter.com/michaelrosino")</f>
        <v>https://twitter.com/michaelrosino</v>
      </c>
      <c r="BP191" s="76" t="str">
        <f>REPLACE(INDEX(GroupVertices[Group],MATCH(Vertices[[#This Row],[Vertex]],GroupVertices[Vertex],0)),1,1,"")</f>
        <v>3</v>
      </c>
      <c r="BQ191" s="45"/>
      <c r="BR191" s="46"/>
      <c r="BS191" s="45"/>
      <c r="BT191" s="46"/>
      <c r="BU191" s="45"/>
      <c r="BV191" s="46"/>
      <c r="BW191" s="45"/>
      <c r="BX191" s="46"/>
      <c r="BY191" s="45"/>
      <c r="BZ191" s="45"/>
      <c r="CA191" s="45"/>
      <c r="CB191" s="45"/>
      <c r="CC191" s="45"/>
      <c r="CD191" s="45"/>
      <c r="CE191" s="45"/>
      <c r="CF191" s="45"/>
      <c r="CG191" s="45"/>
      <c r="CH191" s="45"/>
      <c r="CI191" s="45"/>
      <c r="CJ191" s="2"/>
    </row>
    <row r="192" spans="1:88" ht="15">
      <c r="A192" s="61" t="s">
        <v>435</v>
      </c>
      <c r="B192" s="62"/>
      <c r="C192" s="62"/>
      <c r="D192" s="63">
        <v>535</v>
      </c>
      <c r="E192" s="65"/>
      <c r="F192" s="100" t="str">
        <f>HYPERLINK("https://pbs.twimg.com/profile_images/1192453099090259968/O9Uic468_normal.jpg")</f>
        <v>https://pbs.twimg.com/profile_images/1192453099090259968/O9Uic468_normal.jpg</v>
      </c>
      <c r="G192" s="62"/>
      <c r="H192" s="66" t="s">
        <v>435</v>
      </c>
      <c r="I192" s="67"/>
      <c r="J192" s="67" t="s">
        <v>159</v>
      </c>
      <c r="K192" s="66" t="s">
        <v>2846</v>
      </c>
      <c r="L192" s="70">
        <v>477.0952380952381</v>
      </c>
      <c r="M192" s="71">
        <v>1458.4776611328125</v>
      </c>
      <c r="N192" s="71">
        <v>207.2429962158203</v>
      </c>
      <c r="O192" s="72"/>
      <c r="P192" s="73"/>
      <c r="Q192" s="73"/>
      <c r="R192" s="86"/>
      <c r="S192" s="45">
        <v>1</v>
      </c>
      <c r="T192" s="45">
        <v>0</v>
      </c>
      <c r="U192" s="46">
        <v>0</v>
      </c>
      <c r="V192" s="46">
        <v>0.255569</v>
      </c>
      <c r="W192" s="46">
        <v>0.011412</v>
      </c>
      <c r="X192" s="46">
        <v>0.002755</v>
      </c>
      <c r="Y192" s="46">
        <v>0</v>
      </c>
      <c r="Z192" s="46">
        <v>0</v>
      </c>
      <c r="AA192" s="68">
        <v>192</v>
      </c>
      <c r="AB192" s="68"/>
      <c r="AC192" s="69"/>
      <c r="AD192" s="76" t="s">
        <v>1437</v>
      </c>
      <c r="AE192" s="80" t="s">
        <v>1738</v>
      </c>
      <c r="AF192" s="76">
        <v>938</v>
      </c>
      <c r="AG192" s="76">
        <v>503</v>
      </c>
      <c r="AH192" s="76">
        <v>9145</v>
      </c>
      <c r="AI192" s="76">
        <v>22</v>
      </c>
      <c r="AJ192" s="76">
        <v>100952</v>
      </c>
      <c r="AK192" s="76">
        <v>312</v>
      </c>
      <c r="AL192" s="76" t="b">
        <v>0</v>
      </c>
      <c r="AM192" s="78">
        <v>39923.616006944445</v>
      </c>
      <c r="AN192" s="76"/>
      <c r="AO192" s="76" t="s">
        <v>2223</v>
      </c>
      <c r="AP192" s="82" t="str">
        <f>HYPERLINK("https://t.co/IwGto2orIl")</f>
        <v>https://t.co/IwGto2orIl</v>
      </c>
      <c r="AQ192" s="82" t="str">
        <f>HYPERLINK("http://timrecuber.com")</f>
        <v>http://timrecuber.com</v>
      </c>
      <c r="AR192" s="76" t="s">
        <v>2488</v>
      </c>
      <c r="AS192" s="76"/>
      <c r="AT192" s="76"/>
      <c r="AU192" s="76"/>
      <c r="AV192" s="76">
        <v>1.64653086649821E+18</v>
      </c>
      <c r="AW192" s="82" t="str">
        <f>HYPERLINK("https://t.co/IwGto2orIl")</f>
        <v>https://t.co/IwGto2orIl</v>
      </c>
      <c r="AX192" s="76" t="b">
        <v>0</v>
      </c>
      <c r="AY192" s="76"/>
      <c r="AZ192" s="76"/>
      <c r="BA192" s="76" t="b">
        <v>0</v>
      </c>
      <c r="BB192" s="76" t="b">
        <v>1</v>
      </c>
      <c r="BC192" s="76" t="b">
        <v>1</v>
      </c>
      <c r="BD192" s="76" t="b">
        <v>0</v>
      </c>
      <c r="BE192" s="76" t="b">
        <v>1</v>
      </c>
      <c r="BF192" s="76" t="b">
        <v>0</v>
      </c>
      <c r="BG192" s="76" t="b">
        <v>0</v>
      </c>
      <c r="BH192" s="82" t="str">
        <f>HYPERLINK("https://pbs.twimg.com/profile_banners/33534274/1648672467")</f>
        <v>https://pbs.twimg.com/profile_banners/33534274/1648672467</v>
      </c>
      <c r="BI192" s="76"/>
      <c r="BJ192" s="76" t="s">
        <v>2656</v>
      </c>
      <c r="BK192" s="76" t="b">
        <v>0</v>
      </c>
      <c r="BL192" s="76"/>
      <c r="BM192" s="76" t="s">
        <v>65</v>
      </c>
      <c r="BN192" s="76" t="s">
        <v>2657</v>
      </c>
      <c r="BO192" s="82" t="str">
        <f>HYPERLINK("https://twitter.com/timr100")</f>
        <v>https://twitter.com/timr100</v>
      </c>
      <c r="BP192" s="76" t="str">
        <f>REPLACE(INDEX(GroupVertices[Group],MATCH(Vertices[[#This Row],[Vertex]],GroupVertices[Vertex],0)),1,1,"")</f>
        <v>3</v>
      </c>
      <c r="BQ192" s="45"/>
      <c r="BR192" s="46"/>
      <c r="BS192" s="45"/>
      <c r="BT192" s="46"/>
      <c r="BU192" s="45"/>
      <c r="BV192" s="46"/>
      <c r="BW192" s="45"/>
      <c r="BX192" s="46"/>
      <c r="BY192" s="45"/>
      <c r="BZ192" s="45"/>
      <c r="CA192" s="45"/>
      <c r="CB192" s="45"/>
      <c r="CC192" s="45"/>
      <c r="CD192" s="45"/>
      <c r="CE192" s="45"/>
      <c r="CF192" s="45"/>
      <c r="CG192" s="45"/>
      <c r="CH192" s="45"/>
      <c r="CI192" s="45"/>
      <c r="CJ192" s="2"/>
    </row>
    <row r="193" spans="1:88" ht="15">
      <c r="A193" s="61" t="s">
        <v>436</v>
      </c>
      <c r="B193" s="62"/>
      <c r="C193" s="62"/>
      <c r="D193" s="63">
        <v>535</v>
      </c>
      <c r="E193" s="65"/>
      <c r="F193" s="100" t="str">
        <f>HYPERLINK("https://pbs.twimg.com/profile_images/1618285374492622848/Xl_EXNJG_normal.jpg")</f>
        <v>https://pbs.twimg.com/profile_images/1618285374492622848/Xl_EXNJG_normal.jpg</v>
      </c>
      <c r="G193" s="62"/>
      <c r="H193" s="66" t="s">
        <v>436</v>
      </c>
      <c r="I193" s="67"/>
      <c r="J193" s="67" t="s">
        <v>159</v>
      </c>
      <c r="K193" s="66" t="s">
        <v>2847</v>
      </c>
      <c r="L193" s="70">
        <v>477.0952380952381</v>
      </c>
      <c r="M193" s="71">
        <v>2924.022216796875</v>
      </c>
      <c r="N193" s="71">
        <v>1449.0701904296875</v>
      </c>
      <c r="O193" s="72"/>
      <c r="P193" s="73"/>
      <c r="Q193" s="73"/>
      <c r="R193" s="86"/>
      <c r="S193" s="45">
        <v>1</v>
      </c>
      <c r="T193" s="45">
        <v>0</v>
      </c>
      <c r="U193" s="46">
        <v>0</v>
      </c>
      <c r="V193" s="46">
        <v>0.255569</v>
      </c>
      <c r="W193" s="46">
        <v>0.011412</v>
      </c>
      <c r="X193" s="46">
        <v>0.002755</v>
      </c>
      <c r="Y193" s="46">
        <v>0</v>
      </c>
      <c r="Z193" s="46">
        <v>0</v>
      </c>
      <c r="AA193" s="68">
        <v>193</v>
      </c>
      <c r="AB193" s="68"/>
      <c r="AC193" s="69"/>
      <c r="AD193" s="76" t="s">
        <v>1438</v>
      </c>
      <c r="AE193" s="80" t="s">
        <v>1739</v>
      </c>
      <c r="AF193" s="76">
        <v>20841</v>
      </c>
      <c r="AG193" s="76">
        <v>868</v>
      </c>
      <c r="AH193" s="76">
        <v>12398</v>
      </c>
      <c r="AI193" s="76">
        <v>436</v>
      </c>
      <c r="AJ193" s="76">
        <v>9335</v>
      </c>
      <c r="AK193" s="76">
        <v>443</v>
      </c>
      <c r="AL193" s="76" t="b">
        <v>0</v>
      </c>
      <c r="AM193" s="78">
        <v>40925.0865625</v>
      </c>
      <c r="AN193" s="76" t="s">
        <v>1862</v>
      </c>
      <c r="AO193" s="76" t="s">
        <v>2224</v>
      </c>
      <c r="AP193" s="82" t="str">
        <f>HYPERLINK("https://t.co/Yqb9bwUVcO")</f>
        <v>https://t.co/Yqb9bwUVcO</v>
      </c>
      <c r="AQ193" s="82" t="str">
        <f>HYPERLINK("http://www.ericklinenberg.com")</f>
        <v>http://www.ericklinenberg.com</v>
      </c>
      <c r="AR193" s="76" t="s">
        <v>2489</v>
      </c>
      <c r="AS193" s="76"/>
      <c r="AT193" s="76"/>
      <c r="AU193" s="76"/>
      <c r="AV193" s="76">
        <v>1.03857664537077E+18</v>
      </c>
      <c r="AW193" s="82" t="str">
        <f>HYPERLINK("https://t.co/Yqb9bwUVcO")</f>
        <v>https://t.co/Yqb9bwUVcO</v>
      </c>
      <c r="AX193" s="76" t="b">
        <v>0</v>
      </c>
      <c r="AY193" s="76"/>
      <c r="AZ193" s="76"/>
      <c r="BA193" s="76" t="b">
        <v>1</v>
      </c>
      <c r="BB193" s="76" t="b">
        <v>1</v>
      </c>
      <c r="BC193" s="76" t="b">
        <v>0</v>
      </c>
      <c r="BD193" s="76" t="b">
        <v>0</v>
      </c>
      <c r="BE193" s="76" t="b">
        <v>0</v>
      </c>
      <c r="BF193" s="76" t="b">
        <v>0</v>
      </c>
      <c r="BG193" s="76" t="b">
        <v>0</v>
      </c>
      <c r="BH193" s="82" t="str">
        <f>HYPERLINK("https://pbs.twimg.com/profile_banners/466096296/1568036971")</f>
        <v>https://pbs.twimg.com/profile_banners/466096296/1568036971</v>
      </c>
      <c r="BI193" s="76"/>
      <c r="BJ193" s="76" t="s">
        <v>2656</v>
      </c>
      <c r="BK193" s="76" t="b">
        <v>0</v>
      </c>
      <c r="BL193" s="76"/>
      <c r="BM193" s="76" t="s">
        <v>65</v>
      </c>
      <c r="BN193" s="76" t="s">
        <v>2657</v>
      </c>
      <c r="BO193" s="82" t="str">
        <f>HYPERLINK("https://twitter.com/ericklinenberg")</f>
        <v>https://twitter.com/ericklinenberg</v>
      </c>
      <c r="BP193" s="76" t="str">
        <f>REPLACE(INDEX(GroupVertices[Group],MATCH(Vertices[[#This Row],[Vertex]],GroupVertices[Vertex],0)),1,1,"")</f>
        <v>3</v>
      </c>
      <c r="BQ193" s="45"/>
      <c r="BR193" s="46"/>
      <c r="BS193" s="45"/>
      <c r="BT193" s="46"/>
      <c r="BU193" s="45"/>
      <c r="BV193" s="46"/>
      <c r="BW193" s="45"/>
      <c r="BX193" s="46"/>
      <c r="BY193" s="45"/>
      <c r="BZ193" s="45"/>
      <c r="CA193" s="45"/>
      <c r="CB193" s="45"/>
      <c r="CC193" s="45"/>
      <c r="CD193" s="45"/>
      <c r="CE193" s="45"/>
      <c r="CF193" s="45"/>
      <c r="CG193" s="45"/>
      <c r="CH193" s="45"/>
      <c r="CI193" s="45"/>
      <c r="CJ193" s="2"/>
    </row>
    <row r="194" spans="1:88" ht="15">
      <c r="A194" s="61" t="s">
        <v>437</v>
      </c>
      <c r="B194" s="62"/>
      <c r="C194" s="62"/>
      <c r="D194" s="63">
        <v>535</v>
      </c>
      <c r="E194" s="65"/>
      <c r="F194" s="100" t="str">
        <f>HYPERLINK("https://pbs.twimg.com/profile_images/1268069888943198208/lIyDogY-_normal.jpg")</f>
        <v>https://pbs.twimg.com/profile_images/1268069888943198208/lIyDogY-_normal.jpg</v>
      </c>
      <c r="G194" s="62"/>
      <c r="H194" s="66" t="s">
        <v>437</v>
      </c>
      <c r="I194" s="67"/>
      <c r="J194" s="67" t="s">
        <v>159</v>
      </c>
      <c r="K194" s="66" t="s">
        <v>2848</v>
      </c>
      <c r="L194" s="70">
        <v>477.0952380952381</v>
      </c>
      <c r="M194" s="71">
        <v>2081.30517578125</v>
      </c>
      <c r="N194" s="71">
        <v>2398.21826171875</v>
      </c>
      <c r="O194" s="72"/>
      <c r="P194" s="73"/>
      <c r="Q194" s="73"/>
      <c r="R194" s="86"/>
      <c r="S194" s="45">
        <v>1</v>
      </c>
      <c r="T194" s="45">
        <v>0</v>
      </c>
      <c r="U194" s="46">
        <v>0</v>
      </c>
      <c r="V194" s="46">
        <v>0.255569</v>
      </c>
      <c r="W194" s="46">
        <v>0.011412</v>
      </c>
      <c r="X194" s="46">
        <v>0.002755</v>
      </c>
      <c r="Y194" s="46">
        <v>0</v>
      </c>
      <c r="Z194" s="46">
        <v>0</v>
      </c>
      <c r="AA194" s="68">
        <v>194</v>
      </c>
      <c r="AB194" s="68"/>
      <c r="AC194" s="69"/>
      <c r="AD194" s="76" t="s">
        <v>1439</v>
      </c>
      <c r="AE194" s="80" t="s">
        <v>1740</v>
      </c>
      <c r="AF194" s="76">
        <v>7461</v>
      </c>
      <c r="AG194" s="76">
        <v>2118</v>
      </c>
      <c r="AH194" s="76">
        <v>10145</v>
      </c>
      <c r="AI194" s="76">
        <v>83</v>
      </c>
      <c r="AJ194" s="76">
        <v>18057</v>
      </c>
      <c r="AK194" s="76">
        <v>139</v>
      </c>
      <c r="AL194" s="76" t="b">
        <v>0</v>
      </c>
      <c r="AM194" s="78">
        <v>41512.71824074074</v>
      </c>
      <c r="AN194" s="76" t="s">
        <v>1959</v>
      </c>
      <c r="AO194" s="76" t="s">
        <v>2225</v>
      </c>
      <c r="AP194" s="76"/>
      <c r="AQ194" s="76"/>
      <c r="AR194" s="76"/>
      <c r="AS194" s="76"/>
      <c r="AT194" s="76"/>
      <c r="AU194" s="76"/>
      <c r="AV194" s="76"/>
      <c r="AW194" s="76"/>
      <c r="AX194" s="76" t="b">
        <v>0</v>
      </c>
      <c r="AY194" s="76"/>
      <c r="AZ194" s="76"/>
      <c r="BA194" s="76" t="b">
        <v>0</v>
      </c>
      <c r="BB194" s="76" t="b">
        <v>0</v>
      </c>
      <c r="BC194" s="76" t="b">
        <v>1</v>
      </c>
      <c r="BD194" s="76" t="b">
        <v>0</v>
      </c>
      <c r="BE194" s="76" t="b">
        <v>1</v>
      </c>
      <c r="BF194" s="76" t="b">
        <v>0</v>
      </c>
      <c r="BG194" s="76" t="b">
        <v>0</v>
      </c>
      <c r="BH194" s="82" t="str">
        <f>HYPERLINK("https://pbs.twimg.com/profile_banners/1702425324/1680274076")</f>
        <v>https://pbs.twimg.com/profile_banners/1702425324/1680274076</v>
      </c>
      <c r="BI194" s="76"/>
      <c r="BJ194" s="76" t="s">
        <v>2656</v>
      </c>
      <c r="BK194" s="76" t="b">
        <v>0</v>
      </c>
      <c r="BL194" s="76"/>
      <c r="BM194" s="76" t="s">
        <v>65</v>
      </c>
      <c r="BN194" s="76" t="s">
        <v>2657</v>
      </c>
      <c r="BO194" s="82" t="str">
        <f>HYPERLINK("https://twitter.com/prudencelcarter")</f>
        <v>https://twitter.com/prudencelcarter</v>
      </c>
      <c r="BP194" s="76" t="str">
        <f>REPLACE(INDEX(GroupVertices[Group],MATCH(Vertices[[#This Row],[Vertex]],GroupVertices[Vertex],0)),1,1,"")</f>
        <v>3</v>
      </c>
      <c r="BQ194" s="45"/>
      <c r="BR194" s="46"/>
      <c r="BS194" s="45"/>
      <c r="BT194" s="46"/>
      <c r="BU194" s="45"/>
      <c r="BV194" s="46"/>
      <c r="BW194" s="45"/>
      <c r="BX194" s="46"/>
      <c r="BY194" s="45"/>
      <c r="BZ194" s="45"/>
      <c r="CA194" s="45"/>
      <c r="CB194" s="45"/>
      <c r="CC194" s="45"/>
      <c r="CD194" s="45"/>
      <c r="CE194" s="45"/>
      <c r="CF194" s="45"/>
      <c r="CG194" s="45"/>
      <c r="CH194" s="45"/>
      <c r="CI194" s="45"/>
      <c r="CJ194" s="2"/>
    </row>
    <row r="195" spans="1:88" ht="15">
      <c r="A195" s="61" t="s">
        <v>438</v>
      </c>
      <c r="B195" s="62"/>
      <c r="C195" s="62"/>
      <c r="D195" s="63">
        <v>535</v>
      </c>
      <c r="E195" s="65"/>
      <c r="F195" s="100" t="str">
        <f>HYPERLINK("https://pbs.twimg.com/profile_images/1676722478415224832/HcuM1fGG_normal.jpg")</f>
        <v>https://pbs.twimg.com/profile_images/1676722478415224832/HcuM1fGG_normal.jpg</v>
      </c>
      <c r="G195" s="62"/>
      <c r="H195" s="66" t="s">
        <v>438</v>
      </c>
      <c r="I195" s="67"/>
      <c r="J195" s="67" t="s">
        <v>159</v>
      </c>
      <c r="K195" s="66" t="s">
        <v>2849</v>
      </c>
      <c r="L195" s="70">
        <v>477.0952380952381</v>
      </c>
      <c r="M195" s="71">
        <v>2814.2451171875</v>
      </c>
      <c r="N195" s="71">
        <v>2754.105712890625</v>
      </c>
      <c r="O195" s="72"/>
      <c r="P195" s="73"/>
      <c r="Q195" s="73"/>
      <c r="R195" s="86"/>
      <c r="S195" s="45">
        <v>1</v>
      </c>
      <c r="T195" s="45">
        <v>0</v>
      </c>
      <c r="U195" s="46">
        <v>0</v>
      </c>
      <c r="V195" s="46">
        <v>0.255569</v>
      </c>
      <c r="W195" s="46">
        <v>0.011412</v>
      </c>
      <c r="X195" s="46">
        <v>0.002755</v>
      </c>
      <c r="Y195" s="46">
        <v>0</v>
      </c>
      <c r="Z195" s="46">
        <v>0</v>
      </c>
      <c r="AA195" s="68">
        <v>195</v>
      </c>
      <c r="AB195" s="68"/>
      <c r="AC195" s="69"/>
      <c r="AD195" s="76" t="s">
        <v>1440</v>
      </c>
      <c r="AE195" s="80" t="s">
        <v>1741</v>
      </c>
      <c r="AF195" s="76">
        <v>24307</v>
      </c>
      <c r="AG195" s="76">
        <v>4963</v>
      </c>
      <c r="AH195" s="76">
        <v>31756</v>
      </c>
      <c r="AI195" s="76">
        <v>921</v>
      </c>
      <c r="AJ195" s="76">
        <v>8616</v>
      </c>
      <c r="AK195" s="76">
        <v>4841</v>
      </c>
      <c r="AL195" s="76" t="b">
        <v>0</v>
      </c>
      <c r="AM195" s="78">
        <v>39799.850648148145</v>
      </c>
      <c r="AN195" s="76" t="s">
        <v>1960</v>
      </c>
      <c r="AO195" s="76" t="s">
        <v>2226</v>
      </c>
      <c r="AP195" s="82" t="str">
        <f>HYPERLINK("https://t.co/BdWLZVwLpw")</f>
        <v>https://t.co/BdWLZVwLpw</v>
      </c>
      <c r="AQ195" s="82" t="str">
        <f>HYPERLINK("https://linktr.ee/ucpress")</f>
        <v>https://linktr.ee/ucpress</v>
      </c>
      <c r="AR195" s="76" t="s">
        <v>2490</v>
      </c>
      <c r="AS195" s="76"/>
      <c r="AT195" s="76"/>
      <c r="AU195" s="76"/>
      <c r="AV195" s="76">
        <v>1.45849225230988E+18</v>
      </c>
      <c r="AW195" s="82" t="str">
        <f>HYPERLINK("https://t.co/BdWLZVwLpw")</f>
        <v>https://t.co/BdWLZVwLpw</v>
      </c>
      <c r="AX195" s="76" t="b">
        <v>0</v>
      </c>
      <c r="AY195" s="76"/>
      <c r="AZ195" s="76"/>
      <c r="BA195" s="76" t="b">
        <v>0</v>
      </c>
      <c r="BB195" s="76" t="b">
        <v>1</v>
      </c>
      <c r="BC195" s="76" t="b">
        <v>0</v>
      </c>
      <c r="BD195" s="76" t="b">
        <v>0</v>
      </c>
      <c r="BE195" s="76" t="b">
        <v>1</v>
      </c>
      <c r="BF195" s="76" t="b">
        <v>0</v>
      </c>
      <c r="BG195" s="76" t="b">
        <v>0</v>
      </c>
      <c r="BH195" s="82" t="str">
        <f>HYPERLINK("https://pbs.twimg.com/profile_banners/18198603/1693509368")</f>
        <v>https://pbs.twimg.com/profile_banners/18198603/1693509368</v>
      </c>
      <c r="BI195" s="76"/>
      <c r="BJ195" s="76" t="s">
        <v>2656</v>
      </c>
      <c r="BK195" s="76" t="b">
        <v>0</v>
      </c>
      <c r="BL195" s="76"/>
      <c r="BM195" s="76" t="s">
        <v>65</v>
      </c>
      <c r="BN195" s="76" t="s">
        <v>2657</v>
      </c>
      <c r="BO195" s="82" t="str">
        <f>HYPERLINK("https://twitter.com/ucpress")</f>
        <v>https://twitter.com/ucpress</v>
      </c>
      <c r="BP195" s="76" t="str">
        <f>REPLACE(INDEX(GroupVertices[Group],MATCH(Vertices[[#This Row],[Vertex]],GroupVertices[Vertex],0)),1,1,"")</f>
        <v>3</v>
      </c>
      <c r="BQ195" s="45"/>
      <c r="BR195" s="46"/>
      <c r="BS195" s="45"/>
      <c r="BT195" s="46"/>
      <c r="BU195" s="45"/>
      <c r="BV195" s="46"/>
      <c r="BW195" s="45"/>
      <c r="BX195" s="46"/>
      <c r="BY195" s="45"/>
      <c r="BZ195" s="45"/>
      <c r="CA195" s="45"/>
      <c r="CB195" s="45"/>
      <c r="CC195" s="45"/>
      <c r="CD195" s="45"/>
      <c r="CE195" s="45"/>
      <c r="CF195" s="45"/>
      <c r="CG195" s="45"/>
      <c r="CH195" s="45"/>
      <c r="CI195" s="45"/>
      <c r="CJ195" s="2"/>
    </row>
    <row r="196" spans="1:88" ht="15">
      <c r="A196" s="61" t="s">
        <v>439</v>
      </c>
      <c r="B196" s="62"/>
      <c r="C196" s="62"/>
      <c r="D196" s="63">
        <v>535</v>
      </c>
      <c r="E196" s="65"/>
      <c r="F196" s="100" t="str">
        <f>HYPERLINK("https://pbs.twimg.com/profile_images/1447169837386633227/pJmVzpTd_normal.jpg")</f>
        <v>https://pbs.twimg.com/profile_images/1447169837386633227/pJmVzpTd_normal.jpg</v>
      </c>
      <c r="G196" s="62"/>
      <c r="H196" s="66" t="s">
        <v>439</v>
      </c>
      <c r="I196" s="67"/>
      <c r="J196" s="67" t="s">
        <v>159</v>
      </c>
      <c r="K196" s="66" t="s">
        <v>2850</v>
      </c>
      <c r="L196" s="70">
        <v>477.0952380952381</v>
      </c>
      <c r="M196" s="71">
        <v>4115.5849609375</v>
      </c>
      <c r="N196" s="71">
        <v>1795.3768310546875</v>
      </c>
      <c r="O196" s="72"/>
      <c r="P196" s="73"/>
      <c r="Q196" s="73"/>
      <c r="R196" s="86"/>
      <c r="S196" s="45">
        <v>1</v>
      </c>
      <c r="T196" s="45">
        <v>0</v>
      </c>
      <c r="U196" s="46">
        <v>0</v>
      </c>
      <c r="V196" s="46">
        <v>0.255569</v>
      </c>
      <c r="W196" s="46">
        <v>0.011412</v>
      </c>
      <c r="X196" s="46">
        <v>0.002755</v>
      </c>
      <c r="Y196" s="46">
        <v>0</v>
      </c>
      <c r="Z196" s="46">
        <v>0</v>
      </c>
      <c r="AA196" s="68">
        <v>196</v>
      </c>
      <c r="AB196" s="68"/>
      <c r="AC196" s="69"/>
      <c r="AD196" s="76" t="s">
        <v>1441</v>
      </c>
      <c r="AE196" s="80" t="s">
        <v>1742</v>
      </c>
      <c r="AF196" s="76">
        <v>25863</v>
      </c>
      <c r="AG196" s="76">
        <v>3225</v>
      </c>
      <c r="AH196" s="76">
        <v>59193</v>
      </c>
      <c r="AI196" s="76">
        <v>180</v>
      </c>
      <c r="AJ196" s="76">
        <v>126240</v>
      </c>
      <c r="AK196" s="76">
        <v>276</v>
      </c>
      <c r="AL196" s="76" t="b">
        <v>0</v>
      </c>
      <c r="AM196" s="78">
        <v>41681.12464120371</v>
      </c>
      <c r="AN196" s="76" t="s">
        <v>1961</v>
      </c>
      <c r="AO196" s="76" t="s">
        <v>2227</v>
      </c>
      <c r="AP196" s="76"/>
      <c r="AQ196" s="76"/>
      <c r="AR196" s="76"/>
      <c r="AS196" s="76"/>
      <c r="AT196" s="76"/>
      <c r="AU196" s="76"/>
      <c r="AV196" s="76">
        <v>1.52121033050814E+18</v>
      </c>
      <c r="AW196" s="76"/>
      <c r="AX196" s="76" t="b">
        <v>0</v>
      </c>
      <c r="AY196" s="76"/>
      <c r="AZ196" s="76"/>
      <c r="BA196" s="76" t="b">
        <v>1</v>
      </c>
      <c r="BB196" s="76" t="b">
        <v>0</v>
      </c>
      <c r="BC196" s="76" t="b">
        <v>0</v>
      </c>
      <c r="BD196" s="76" t="b">
        <v>0</v>
      </c>
      <c r="BE196" s="76" t="b">
        <v>1</v>
      </c>
      <c r="BF196" s="76" t="b">
        <v>0</v>
      </c>
      <c r="BG196" s="76" t="b">
        <v>0</v>
      </c>
      <c r="BH196" s="82" t="str">
        <f>HYPERLINK("https://pbs.twimg.com/profile_banners/2336915086/1653141731")</f>
        <v>https://pbs.twimg.com/profile_banners/2336915086/1653141731</v>
      </c>
      <c r="BI196" s="76"/>
      <c r="BJ196" s="76" t="s">
        <v>2656</v>
      </c>
      <c r="BK196" s="76" t="b">
        <v>0</v>
      </c>
      <c r="BL196" s="76"/>
      <c r="BM196" s="76" t="s">
        <v>65</v>
      </c>
      <c r="BN196" s="76" t="s">
        <v>2657</v>
      </c>
      <c r="BO196" s="82" t="str">
        <f>HYPERLINK("https://twitter.com/victorerikray")</f>
        <v>https://twitter.com/victorerikray</v>
      </c>
      <c r="BP196" s="76" t="str">
        <f>REPLACE(INDEX(GroupVertices[Group],MATCH(Vertices[[#This Row],[Vertex]],GroupVertices[Vertex],0)),1,1,"")</f>
        <v>3</v>
      </c>
      <c r="BQ196" s="45"/>
      <c r="BR196" s="46"/>
      <c r="BS196" s="45"/>
      <c r="BT196" s="46"/>
      <c r="BU196" s="45"/>
      <c r="BV196" s="46"/>
      <c r="BW196" s="45"/>
      <c r="BX196" s="46"/>
      <c r="BY196" s="45"/>
      <c r="BZ196" s="45"/>
      <c r="CA196" s="45"/>
      <c r="CB196" s="45"/>
      <c r="CC196" s="45"/>
      <c r="CD196" s="45"/>
      <c r="CE196" s="45"/>
      <c r="CF196" s="45"/>
      <c r="CG196" s="45"/>
      <c r="CH196" s="45"/>
      <c r="CI196" s="45"/>
      <c r="CJ196" s="2"/>
    </row>
    <row r="197" spans="1:88" ht="15">
      <c r="A197" s="61" t="s">
        <v>440</v>
      </c>
      <c r="B197" s="62"/>
      <c r="C197" s="62"/>
      <c r="D197" s="63">
        <v>535</v>
      </c>
      <c r="E197" s="65"/>
      <c r="F197" s="100" t="str">
        <f>HYPERLINK("https://pbs.twimg.com/profile_images/1485693381422497796/1eUGEigp_normal.jpg")</f>
        <v>https://pbs.twimg.com/profile_images/1485693381422497796/1eUGEigp_normal.jpg</v>
      </c>
      <c r="G197" s="62"/>
      <c r="H197" s="66" t="s">
        <v>440</v>
      </c>
      <c r="I197" s="67"/>
      <c r="J197" s="67" t="s">
        <v>159</v>
      </c>
      <c r="K197" s="66" t="s">
        <v>2851</v>
      </c>
      <c r="L197" s="70">
        <v>477.0952380952381</v>
      </c>
      <c r="M197" s="71">
        <v>2489.899169921875</v>
      </c>
      <c r="N197" s="71">
        <v>158.0724334716797</v>
      </c>
      <c r="O197" s="72"/>
      <c r="P197" s="73"/>
      <c r="Q197" s="73"/>
      <c r="R197" s="86"/>
      <c r="S197" s="45">
        <v>1</v>
      </c>
      <c r="T197" s="45">
        <v>0</v>
      </c>
      <c r="U197" s="46">
        <v>0</v>
      </c>
      <c r="V197" s="46">
        <v>0.255569</v>
      </c>
      <c r="W197" s="46">
        <v>0.011412</v>
      </c>
      <c r="X197" s="46">
        <v>0.002755</v>
      </c>
      <c r="Y197" s="46">
        <v>0</v>
      </c>
      <c r="Z197" s="46">
        <v>0</v>
      </c>
      <c r="AA197" s="68">
        <v>197</v>
      </c>
      <c r="AB197" s="68"/>
      <c r="AC197" s="69"/>
      <c r="AD197" s="76" t="s">
        <v>1442</v>
      </c>
      <c r="AE197" s="80" t="s">
        <v>1743</v>
      </c>
      <c r="AF197" s="76">
        <v>1104</v>
      </c>
      <c r="AG197" s="76">
        <v>2589</v>
      </c>
      <c r="AH197" s="76">
        <v>25032</v>
      </c>
      <c r="AI197" s="76">
        <v>1</v>
      </c>
      <c r="AJ197" s="76">
        <v>1061</v>
      </c>
      <c r="AK197" s="76">
        <v>405</v>
      </c>
      <c r="AL197" s="76" t="b">
        <v>0</v>
      </c>
      <c r="AM197" s="78">
        <v>44497.90894675926</v>
      </c>
      <c r="AN197" s="76"/>
      <c r="AO197" s="76" t="s">
        <v>2228</v>
      </c>
      <c r="AP197" s="82" t="str">
        <f>HYPERLINK("https://t.co/a48SaFMdj3")</f>
        <v>https://t.co/a48SaFMdj3</v>
      </c>
      <c r="AQ197" s="82" t="str">
        <f>HYPERLINK("https://emancipatorysciences.ucsf.edu/")</f>
        <v>https://emancipatorysciences.ucsf.edu/</v>
      </c>
      <c r="AR197" s="76" t="s">
        <v>2491</v>
      </c>
      <c r="AS197" s="76"/>
      <c r="AT197" s="76"/>
      <c r="AU197" s="76"/>
      <c r="AV197" s="76">
        <v>1.68678271737835E+18</v>
      </c>
      <c r="AW197" s="82" t="str">
        <f>HYPERLINK("https://t.co/a48SaFMdj3")</f>
        <v>https://t.co/a48SaFMdj3</v>
      </c>
      <c r="AX197" s="76" t="b">
        <v>0</v>
      </c>
      <c r="AY197" s="76"/>
      <c r="AZ197" s="76"/>
      <c r="BA197" s="76" t="b">
        <v>0</v>
      </c>
      <c r="BB197" s="76" t="b">
        <v>1</v>
      </c>
      <c r="BC197" s="76" t="b">
        <v>1</v>
      </c>
      <c r="BD197" s="76" t="b">
        <v>0</v>
      </c>
      <c r="BE197" s="76" t="b">
        <v>0</v>
      </c>
      <c r="BF197" s="76" t="b">
        <v>0</v>
      </c>
      <c r="BG197" s="76" t="b">
        <v>0</v>
      </c>
      <c r="BH197" s="82" t="str">
        <f>HYPERLINK("https://pbs.twimg.com/profile_banners/1453840838023319554/1635460549")</f>
        <v>https://pbs.twimg.com/profile_banners/1453840838023319554/1635460549</v>
      </c>
      <c r="BI197" s="76"/>
      <c r="BJ197" s="76" t="s">
        <v>2656</v>
      </c>
      <c r="BK197" s="76" t="b">
        <v>0</v>
      </c>
      <c r="BL197" s="76"/>
      <c r="BM197" s="76" t="s">
        <v>65</v>
      </c>
      <c r="BN197" s="76" t="s">
        <v>2657</v>
      </c>
      <c r="BO197" s="82" t="str">
        <f>HYPERLINK("https://twitter.com/emancipatorylab")</f>
        <v>https://twitter.com/emancipatorylab</v>
      </c>
      <c r="BP197" s="76" t="str">
        <f>REPLACE(INDEX(GroupVertices[Group],MATCH(Vertices[[#This Row],[Vertex]],GroupVertices[Vertex],0)),1,1,"")</f>
        <v>3</v>
      </c>
      <c r="BQ197" s="45"/>
      <c r="BR197" s="46"/>
      <c r="BS197" s="45"/>
      <c r="BT197" s="46"/>
      <c r="BU197" s="45"/>
      <c r="BV197" s="46"/>
      <c r="BW197" s="45"/>
      <c r="BX197" s="46"/>
      <c r="BY197" s="45"/>
      <c r="BZ197" s="45"/>
      <c r="CA197" s="45"/>
      <c r="CB197" s="45"/>
      <c r="CC197" s="45"/>
      <c r="CD197" s="45"/>
      <c r="CE197" s="45"/>
      <c r="CF197" s="45"/>
      <c r="CG197" s="45"/>
      <c r="CH197" s="45"/>
      <c r="CI197" s="45"/>
      <c r="CJ197" s="2"/>
    </row>
    <row r="198" spans="1:88" ht="15">
      <c r="A198" s="61" t="s">
        <v>441</v>
      </c>
      <c r="B198" s="62"/>
      <c r="C198" s="62"/>
      <c r="D198" s="63">
        <v>535</v>
      </c>
      <c r="E198" s="65"/>
      <c r="F198" s="100" t="str">
        <f>HYPERLINK("https://pbs.twimg.com/profile_images/1089333235535040518/Zf5NdJRq_normal.jpg")</f>
        <v>https://pbs.twimg.com/profile_images/1089333235535040518/Zf5NdJRq_normal.jpg</v>
      </c>
      <c r="G198" s="62"/>
      <c r="H198" s="66" t="s">
        <v>441</v>
      </c>
      <c r="I198" s="67"/>
      <c r="J198" s="67" t="s">
        <v>159</v>
      </c>
      <c r="K198" s="66" t="s">
        <v>2852</v>
      </c>
      <c r="L198" s="70">
        <v>477.0952380952381</v>
      </c>
      <c r="M198" s="71">
        <v>3830.344970703125</v>
      </c>
      <c r="N198" s="71">
        <v>731.9115600585938</v>
      </c>
      <c r="O198" s="72"/>
      <c r="P198" s="73"/>
      <c r="Q198" s="73"/>
      <c r="R198" s="86"/>
      <c r="S198" s="45">
        <v>1</v>
      </c>
      <c r="T198" s="45">
        <v>0</v>
      </c>
      <c r="U198" s="46">
        <v>0</v>
      </c>
      <c r="V198" s="46">
        <v>0.255569</v>
      </c>
      <c r="W198" s="46">
        <v>0.011412</v>
      </c>
      <c r="X198" s="46">
        <v>0.002755</v>
      </c>
      <c r="Y198" s="46">
        <v>0</v>
      </c>
      <c r="Z198" s="46">
        <v>0</v>
      </c>
      <c r="AA198" s="68">
        <v>198</v>
      </c>
      <c r="AB198" s="68"/>
      <c r="AC198" s="69"/>
      <c r="AD198" s="76" t="s">
        <v>1443</v>
      </c>
      <c r="AE198" s="80" t="s">
        <v>1744</v>
      </c>
      <c r="AF198" s="76">
        <v>4304</v>
      </c>
      <c r="AG198" s="76">
        <v>5001</v>
      </c>
      <c r="AH198" s="76">
        <v>38309</v>
      </c>
      <c r="AI198" s="76">
        <v>122</v>
      </c>
      <c r="AJ198" s="76">
        <v>11231</v>
      </c>
      <c r="AK198" s="76">
        <v>1119</v>
      </c>
      <c r="AL198" s="76" t="b">
        <v>0</v>
      </c>
      <c r="AM198" s="78">
        <v>40580.00895833333</v>
      </c>
      <c r="AN198" s="76" t="s">
        <v>1962</v>
      </c>
      <c r="AO198" s="76" t="s">
        <v>2229</v>
      </c>
      <c r="AP198" s="82" t="str">
        <f>HYPERLINK("https://t.co/SJ9qQWvU5v")</f>
        <v>https://t.co/SJ9qQWvU5v</v>
      </c>
      <c r="AQ198" s="82" t="str">
        <f>HYPERLINK("http://www.sup.org/books/title/?id=24607")</f>
        <v>http://www.sup.org/books/title/?id=24607</v>
      </c>
      <c r="AR198" s="76" t="s">
        <v>2492</v>
      </c>
      <c r="AS198" s="82" t="str">
        <f>HYPERLINK("https://t.co/2nD1S5372W")</f>
        <v>https://t.co/2nD1S5372W</v>
      </c>
      <c r="AT198" s="82" t="str">
        <f>HYPERLINK("http://watson.brown.edu/people/faculty")</f>
        <v>http://watson.brown.edu/people/faculty</v>
      </c>
      <c r="AU198" s="76" t="s">
        <v>2635</v>
      </c>
      <c r="AV198" s="76"/>
      <c r="AW198" s="82" t="str">
        <f>HYPERLINK("https://t.co/SJ9qQWvU5v")</f>
        <v>https://t.co/SJ9qQWvU5v</v>
      </c>
      <c r="AX198" s="76" t="b">
        <v>0</v>
      </c>
      <c r="AY198" s="76"/>
      <c r="AZ198" s="76"/>
      <c r="BA198" s="76" t="b">
        <v>0</v>
      </c>
      <c r="BB198" s="76" t="b">
        <v>1</v>
      </c>
      <c r="BC198" s="76" t="b">
        <v>0</v>
      </c>
      <c r="BD198" s="76" t="b">
        <v>0</v>
      </c>
      <c r="BE198" s="76" t="b">
        <v>1</v>
      </c>
      <c r="BF198" s="76" t="b">
        <v>0</v>
      </c>
      <c r="BG198" s="76" t="b">
        <v>0</v>
      </c>
      <c r="BH198" s="82" t="str">
        <f>HYPERLINK("https://pbs.twimg.com/profile_banners/247975042/1648209118")</f>
        <v>https://pbs.twimg.com/profile_banners/247975042/1648209118</v>
      </c>
      <c r="BI198" s="76"/>
      <c r="BJ198" s="76" t="s">
        <v>2656</v>
      </c>
      <c r="BK198" s="76" t="b">
        <v>0</v>
      </c>
      <c r="BL198" s="76"/>
      <c r="BM198" s="76" t="s">
        <v>65</v>
      </c>
      <c r="BN198" s="76" t="s">
        <v>2657</v>
      </c>
      <c r="BO198" s="82" t="str">
        <f>HYPERLINK("https://twitter.com/prof_kennedy")</f>
        <v>https://twitter.com/prof_kennedy</v>
      </c>
      <c r="BP198" s="76" t="str">
        <f>REPLACE(INDEX(GroupVertices[Group],MATCH(Vertices[[#This Row],[Vertex]],GroupVertices[Vertex],0)),1,1,"")</f>
        <v>3</v>
      </c>
      <c r="BQ198" s="45"/>
      <c r="BR198" s="46"/>
      <c r="BS198" s="45"/>
      <c r="BT198" s="46"/>
      <c r="BU198" s="45"/>
      <c r="BV198" s="46"/>
      <c r="BW198" s="45"/>
      <c r="BX198" s="46"/>
      <c r="BY198" s="45"/>
      <c r="BZ198" s="45"/>
      <c r="CA198" s="45"/>
      <c r="CB198" s="45"/>
      <c r="CC198" s="45"/>
      <c r="CD198" s="45"/>
      <c r="CE198" s="45"/>
      <c r="CF198" s="45"/>
      <c r="CG198" s="45"/>
      <c r="CH198" s="45"/>
      <c r="CI198" s="45"/>
      <c r="CJ198" s="2"/>
    </row>
    <row r="199" spans="1:88" ht="15">
      <c r="A199" s="61" t="s">
        <v>442</v>
      </c>
      <c r="B199" s="62"/>
      <c r="C199" s="62"/>
      <c r="D199" s="63">
        <v>535</v>
      </c>
      <c r="E199" s="65"/>
      <c r="F199" s="100" t="str">
        <f>HYPERLINK("https://pbs.twimg.com/profile_images/1638918264662228995/loQqi_z5_normal.jpg")</f>
        <v>https://pbs.twimg.com/profile_images/1638918264662228995/loQqi_z5_normal.jpg</v>
      </c>
      <c r="G199" s="62"/>
      <c r="H199" s="66" t="s">
        <v>442</v>
      </c>
      <c r="I199" s="67"/>
      <c r="J199" s="67" t="s">
        <v>159</v>
      </c>
      <c r="K199" s="66" t="s">
        <v>2853</v>
      </c>
      <c r="L199" s="70">
        <v>477.0952380952381</v>
      </c>
      <c r="M199" s="71">
        <v>1763.514404296875</v>
      </c>
      <c r="N199" s="71">
        <v>1915.403076171875</v>
      </c>
      <c r="O199" s="72"/>
      <c r="P199" s="73"/>
      <c r="Q199" s="73"/>
      <c r="R199" s="86"/>
      <c r="S199" s="45">
        <v>1</v>
      </c>
      <c r="T199" s="45">
        <v>0</v>
      </c>
      <c r="U199" s="46">
        <v>0</v>
      </c>
      <c r="V199" s="46">
        <v>0.255569</v>
      </c>
      <c r="W199" s="46">
        <v>0.011412</v>
      </c>
      <c r="X199" s="46">
        <v>0.002755</v>
      </c>
      <c r="Y199" s="46">
        <v>0</v>
      </c>
      <c r="Z199" s="46">
        <v>0</v>
      </c>
      <c r="AA199" s="68">
        <v>199</v>
      </c>
      <c r="AB199" s="68"/>
      <c r="AC199" s="69"/>
      <c r="AD199" s="76" t="s">
        <v>1444</v>
      </c>
      <c r="AE199" s="80" t="s">
        <v>1745</v>
      </c>
      <c r="AF199" s="76">
        <v>68359</v>
      </c>
      <c r="AG199" s="76">
        <v>2001</v>
      </c>
      <c r="AH199" s="76">
        <v>14589</v>
      </c>
      <c r="AI199" s="76">
        <v>967</v>
      </c>
      <c r="AJ199" s="76">
        <v>3092</v>
      </c>
      <c r="AK199" s="76">
        <v>987</v>
      </c>
      <c r="AL199" s="76" t="b">
        <v>0</v>
      </c>
      <c r="AM199" s="78">
        <v>39801.846597222226</v>
      </c>
      <c r="AN199" s="76" t="s">
        <v>1864</v>
      </c>
      <c r="AO199" s="76" t="s">
        <v>2230</v>
      </c>
      <c r="AP199" s="82" t="str">
        <f>HYPERLINK("https://t.co/lCucNY8fhB")</f>
        <v>https://t.co/lCucNY8fhB</v>
      </c>
      <c r="AQ199" s="82" t="str">
        <f>HYPERLINK("http://www.asanet.org/")</f>
        <v>http://www.asanet.org/</v>
      </c>
      <c r="AR199" s="76" t="s">
        <v>2493</v>
      </c>
      <c r="AS199" s="82" t="str">
        <f>HYPERLINK("https://t.co/Y9f7A2fzsJ")</f>
        <v>https://t.co/Y9f7A2fzsJ</v>
      </c>
      <c r="AT199" s="82" t="str">
        <f>HYPERLINK("http://threads.net/@asanews")</f>
        <v>http://threads.net/@asanews</v>
      </c>
      <c r="AU199" s="76" t="s">
        <v>2636</v>
      </c>
      <c r="AV199" s="76">
        <v>1.62623348373471E+18</v>
      </c>
      <c r="AW199" s="82" t="str">
        <f>HYPERLINK("https://t.co/lCucNY8fhB")</f>
        <v>https://t.co/lCucNY8fhB</v>
      </c>
      <c r="AX199" s="76" t="b">
        <v>1</v>
      </c>
      <c r="AY199" s="76"/>
      <c r="AZ199" s="76" t="b">
        <v>1</v>
      </c>
      <c r="BA199" s="76" t="b">
        <v>0</v>
      </c>
      <c r="BB199" s="76" t="b">
        <v>0</v>
      </c>
      <c r="BC199" s="76" t="b">
        <v>0</v>
      </c>
      <c r="BD199" s="76" t="b">
        <v>0</v>
      </c>
      <c r="BE199" s="76" t="b">
        <v>0</v>
      </c>
      <c r="BF199" s="76" t="b">
        <v>0</v>
      </c>
      <c r="BG199" s="76" t="b">
        <v>0</v>
      </c>
      <c r="BH199" s="82" t="str">
        <f>HYPERLINK("https://pbs.twimg.com/profile_banners/18250336/1692629581")</f>
        <v>https://pbs.twimg.com/profile_banners/18250336/1692629581</v>
      </c>
      <c r="BI199" s="76"/>
      <c r="BJ199" s="76" t="s">
        <v>2656</v>
      </c>
      <c r="BK199" s="76" t="b">
        <v>1</v>
      </c>
      <c r="BL199" s="76"/>
      <c r="BM199" s="76" t="s">
        <v>65</v>
      </c>
      <c r="BN199" s="76" t="s">
        <v>2657</v>
      </c>
      <c r="BO199" s="82" t="str">
        <f>HYPERLINK("https://twitter.com/asanews")</f>
        <v>https://twitter.com/asanews</v>
      </c>
      <c r="BP199" s="76" t="str">
        <f>REPLACE(INDEX(GroupVertices[Group],MATCH(Vertices[[#This Row],[Vertex]],GroupVertices[Vertex],0)),1,1,"")</f>
        <v>3</v>
      </c>
      <c r="BQ199" s="45"/>
      <c r="BR199" s="46"/>
      <c r="BS199" s="45"/>
      <c r="BT199" s="46"/>
      <c r="BU199" s="45"/>
      <c r="BV199" s="46"/>
      <c r="BW199" s="45"/>
      <c r="BX199" s="46"/>
      <c r="BY199" s="45"/>
      <c r="BZ199" s="45"/>
      <c r="CA199" s="45"/>
      <c r="CB199" s="45"/>
      <c r="CC199" s="45"/>
      <c r="CD199" s="45"/>
      <c r="CE199" s="45"/>
      <c r="CF199" s="45"/>
      <c r="CG199" s="45"/>
      <c r="CH199" s="45"/>
      <c r="CI199" s="45"/>
      <c r="CJ199" s="2"/>
    </row>
    <row r="200" spans="1:88" ht="15">
      <c r="A200" s="61" t="s">
        <v>443</v>
      </c>
      <c r="B200" s="62"/>
      <c r="C200" s="62"/>
      <c r="D200" s="63">
        <v>1000</v>
      </c>
      <c r="E200" s="65"/>
      <c r="F200" s="100" t="str">
        <f>HYPERLINK("https://pbs.twimg.com/profile_images/1700051019525488640/VRqy0bTE_normal.jpg")</f>
        <v>https://pbs.twimg.com/profile_images/1700051019525488640/VRqy0bTE_normal.jpg</v>
      </c>
      <c r="G200" s="62"/>
      <c r="H200" s="66" t="s">
        <v>443</v>
      </c>
      <c r="I200" s="67"/>
      <c r="J200" s="67" t="s">
        <v>159</v>
      </c>
      <c r="K200" s="66" t="s">
        <v>2854</v>
      </c>
      <c r="L200" s="70">
        <v>953.1904761904761</v>
      </c>
      <c r="M200" s="71">
        <v>1802.8905029296875</v>
      </c>
      <c r="N200" s="71">
        <v>2823.2470703125</v>
      </c>
      <c r="O200" s="72"/>
      <c r="P200" s="73"/>
      <c r="Q200" s="73"/>
      <c r="R200" s="86"/>
      <c r="S200" s="45">
        <v>2</v>
      </c>
      <c r="T200" s="45">
        <v>0</v>
      </c>
      <c r="U200" s="46">
        <v>1823.219048</v>
      </c>
      <c r="V200" s="46">
        <v>0.343619</v>
      </c>
      <c r="W200" s="46">
        <v>0.036638</v>
      </c>
      <c r="X200" s="46">
        <v>0.002798</v>
      </c>
      <c r="Y200" s="46">
        <v>0</v>
      </c>
      <c r="Z200" s="46">
        <v>0</v>
      </c>
      <c r="AA200" s="68">
        <v>200</v>
      </c>
      <c r="AB200" s="68"/>
      <c r="AC200" s="69"/>
      <c r="AD200" s="76" t="s">
        <v>1445</v>
      </c>
      <c r="AE200" s="80" t="s">
        <v>1746</v>
      </c>
      <c r="AF200" s="76">
        <v>91669845</v>
      </c>
      <c r="AG200" s="76">
        <v>2598</v>
      </c>
      <c r="AH200" s="76">
        <v>37934</v>
      </c>
      <c r="AI200" s="76">
        <v>30245</v>
      </c>
      <c r="AJ200" s="76">
        <v>0</v>
      </c>
      <c r="AK200" s="76">
        <v>13187</v>
      </c>
      <c r="AL200" s="76" t="b">
        <v>0</v>
      </c>
      <c r="AM200" s="78">
        <v>39823.72148148148</v>
      </c>
      <c r="AN200" s="76" t="s">
        <v>1880</v>
      </c>
      <c r="AO200" s="76" t="s">
        <v>2231</v>
      </c>
      <c r="AP200" s="82" t="str">
        <f>HYPERLINK("https://t.co/m2qxixtyKj")</f>
        <v>https://t.co/m2qxixtyKj</v>
      </c>
      <c r="AQ200" s="82" t="str">
        <f>HYPERLINK("http://www.narendramodi.in")</f>
        <v>http://www.narendramodi.in</v>
      </c>
      <c r="AR200" s="76" t="s">
        <v>2494</v>
      </c>
      <c r="AS200" s="76"/>
      <c r="AT200" s="76"/>
      <c r="AU200" s="76"/>
      <c r="AV200" s="76"/>
      <c r="AW200" s="82" t="str">
        <f>HYPERLINK("https://t.co/m2qxixtyKj")</f>
        <v>https://t.co/m2qxixtyKj</v>
      </c>
      <c r="AX200" s="76" t="b">
        <v>1</v>
      </c>
      <c r="AY200" s="76"/>
      <c r="AZ200" s="76"/>
      <c r="BA200" s="76" t="b">
        <v>0</v>
      </c>
      <c r="BB200" s="76" t="b">
        <v>1</v>
      </c>
      <c r="BC200" s="76" t="b">
        <v>0</v>
      </c>
      <c r="BD200" s="76" t="b">
        <v>0</v>
      </c>
      <c r="BE200" s="76" t="b">
        <v>1</v>
      </c>
      <c r="BF200" s="76" t="b">
        <v>0</v>
      </c>
      <c r="BG200" s="76" t="b">
        <v>0</v>
      </c>
      <c r="BH200" s="82" t="str">
        <f>HYPERLINK("https://pbs.twimg.com/profile_banners/18839785/1694158725")</f>
        <v>https://pbs.twimg.com/profile_banners/18839785/1694158725</v>
      </c>
      <c r="BI200" s="76"/>
      <c r="BJ200" s="76" t="s">
        <v>2655</v>
      </c>
      <c r="BK200" s="76" t="b">
        <v>0</v>
      </c>
      <c r="BL200" s="76"/>
      <c r="BM200" s="76" t="s">
        <v>65</v>
      </c>
      <c r="BN200" s="76" t="s">
        <v>2657</v>
      </c>
      <c r="BO200" s="82" t="str">
        <f>HYPERLINK("https://twitter.com/narendramodi")</f>
        <v>https://twitter.com/narendramodi</v>
      </c>
      <c r="BP200" s="76" t="str">
        <f>REPLACE(INDEX(GroupVertices[Group],MATCH(Vertices[[#This Row],[Vertex]],GroupVertices[Vertex],0)),1,1,"")</f>
        <v>3</v>
      </c>
      <c r="BQ200" s="45"/>
      <c r="BR200" s="46"/>
      <c r="BS200" s="45"/>
      <c r="BT200" s="46"/>
      <c r="BU200" s="45"/>
      <c r="BV200" s="46"/>
      <c r="BW200" s="45"/>
      <c r="BX200" s="46"/>
      <c r="BY200" s="45"/>
      <c r="BZ200" s="45"/>
      <c r="CA200" s="45"/>
      <c r="CB200" s="45"/>
      <c r="CC200" s="45"/>
      <c r="CD200" s="45"/>
      <c r="CE200" s="45"/>
      <c r="CF200" s="45"/>
      <c r="CG200" s="45"/>
      <c r="CH200" s="45"/>
      <c r="CI200" s="45"/>
      <c r="CJ200" s="2"/>
    </row>
    <row r="201" spans="1:88" ht="15">
      <c r="A201" s="61" t="s">
        <v>444</v>
      </c>
      <c r="B201" s="62"/>
      <c r="C201" s="62"/>
      <c r="D201" s="63">
        <v>535</v>
      </c>
      <c r="E201" s="65"/>
      <c r="F201" s="100" t="str">
        <f>HYPERLINK("https://pbs.twimg.com/profile_images/1559752542372122624/6UiH4Ubt_normal.jpg")</f>
        <v>https://pbs.twimg.com/profile_images/1559752542372122624/6UiH4Ubt_normal.jpg</v>
      </c>
      <c r="G201" s="62"/>
      <c r="H201" s="66" t="s">
        <v>444</v>
      </c>
      <c r="I201" s="67"/>
      <c r="J201" s="67" t="s">
        <v>159</v>
      </c>
      <c r="K201" s="66" t="s">
        <v>2855</v>
      </c>
      <c r="L201" s="70">
        <v>477.0952380952381</v>
      </c>
      <c r="M201" s="71">
        <v>976.3552856445312</v>
      </c>
      <c r="N201" s="71">
        <v>382.7401123046875</v>
      </c>
      <c r="O201" s="72"/>
      <c r="P201" s="73"/>
      <c r="Q201" s="73"/>
      <c r="R201" s="86"/>
      <c r="S201" s="45">
        <v>1</v>
      </c>
      <c r="T201" s="45">
        <v>0</v>
      </c>
      <c r="U201" s="46">
        <v>0</v>
      </c>
      <c r="V201" s="46">
        <v>0.255569</v>
      </c>
      <c r="W201" s="46">
        <v>0.011412</v>
      </c>
      <c r="X201" s="46">
        <v>0.002755</v>
      </c>
      <c r="Y201" s="46">
        <v>0</v>
      </c>
      <c r="Z201" s="46">
        <v>0</v>
      </c>
      <c r="AA201" s="68">
        <v>201</v>
      </c>
      <c r="AB201" s="68"/>
      <c r="AC201" s="69"/>
      <c r="AD201" s="76" t="s">
        <v>1446</v>
      </c>
      <c r="AE201" s="80" t="s">
        <v>1747</v>
      </c>
      <c r="AF201" s="76">
        <v>735072</v>
      </c>
      <c r="AG201" s="76">
        <v>1767</v>
      </c>
      <c r="AH201" s="76">
        <v>139831</v>
      </c>
      <c r="AI201" s="76">
        <v>302</v>
      </c>
      <c r="AJ201" s="76">
        <v>2212</v>
      </c>
      <c r="AK201" s="76">
        <v>98148</v>
      </c>
      <c r="AL201" s="76" t="b">
        <v>0</v>
      </c>
      <c r="AM201" s="78">
        <v>41910.79295138889</v>
      </c>
      <c r="AN201" s="76" t="s">
        <v>1963</v>
      </c>
      <c r="AO201" s="76" t="s">
        <v>2232</v>
      </c>
      <c r="AP201" s="82" t="str">
        <f>HYPERLINK("https://t.co/r11CzKJNir")</f>
        <v>https://t.co/r11CzKJNir</v>
      </c>
      <c r="AQ201" s="82" t="str">
        <f>HYPERLINK("http://www.rvcj.com")</f>
        <v>http://www.rvcj.com</v>
      </c>
      <c r="AR201" s="76" t="s">
        <v>2495</v>
      </c>
      <c r="AS201" s="76"/>
      <c r="AT201" s="76"/>
      <c r="AU201" s="76"/>
      <c r="AV201" s="76"/>
      <c r="AW201" s="82" t="str">
        <f>HYPERLINK("https://t.co/r11CzKJNir")</f>
        <v>https://t.co/r11CzKJNir</v>
      </c>
      <c r="AX201" s="76" t="b">
        <v>1</v>
      </c>
      <c r="AY201" s="76"/>
      <c r="AZ201" s="76"/>
      <c r="BA201" s="76" t="b">
        <v>1</v>
      </c>
      <c r="BB201" s="76" t="b">
        <v>0</v>
      </c>
      <c r="BC201" s="76" t="b">
        <v>1</v>
      </c>
      <c r="BD201" s="76" t="b">
        <v>0</v>
      </c>
      <c r="BE201" s="76" t="b">
        <v>1</v>
      </c>
      <c r="BF201" s="76" t="b">
        <v>0</v>
      </c>
      <c r="BG201" s="76" t="b">
        <v>0</v>
      </c>
      <c r="BH201" s="82" t="str">
        <f>HYPERLINK("https://pbs.twimg.com/profile_banners/2835317718/1510233489")</f>
        <v>https://pbs.twimg.com/profile_banners/2835317718/1510233489</v>
      </c>
      <c r="BI201" s="76"/>
      <c r="BJ201" s="76" t="s">
        <v>2656</v>
      </c>
      <c r="BK201" s="76" t="b">
        <v>0</v>
      </c>
      <c r="BL201" s="76"/>
      <c r="BM201" s="76" t="s">
        <v>65</v>
      </c>
      <c r="BN201" s="76" t="s">
        <v>2657</v>
      </c>
      <c r="BO201" s="82" t="str">
        <f>HYPERLINK("https://twitter.com/rvcj_fb")</f>
        <v>https://twitter.com/rvcj_fb</v>
      </c>
      <c r="BP201" s="76" t="str">
        <f>REPLACE(INDEX(GroupVertices[Group],MATCH(Vertices[[#This Row],[Vertex]],GroupVertices[Vertex],0)),1,1,"")</f>
        <v>3</v>
      </c>
      <c r="BQ201" s="45"/>
      <c r="BR201" s="46"/>
      <c r="BS201" s="45"/>
      <c r="BT201" s="46"/>
      <c r="BU201" s="45"/>
      <c r="BV201" s="46"/>
      <c r="BW201" s="45"/>
      <c r="BX201" s="46"/>
      <c r="BY201" s="45"/>
      <c r="BZ201" s="45"/>
      <c r="CA201" s="45"/>
      <c r="CB201" s="45"/>
      <c r="CC201" s="45"/>
      <c r="CD201" s="45"/>
      <c r="CE201" s="45"/>
      <c r="CF201" s="45"/>
      <c r="CG201" s="45"/>
      <c r="CH201" s="45"/>
      <c r="CI201" s="45"/>
      <c r="CJ201" s="2"/>
    </row>
    <row r="202" spans="1:88" ht="15">
      <c r="A202" s="61" t="s">
        <v>445</v>
      </c>
      <c r="B202" s="62"/>
      <c r="C202" s="62"/>
      <c r="D202" s="63">
        <v>535</v>
      </c>
      <c r="E202" s="65"/>
      <c r="F202" s="100" t="str">
        <f>HYPERLINK("https://pbs.twimg.com/profile_images/1525434442021539842/99GMvtNA_normal.jpg")</f>
        <v>https://pbs.twimg.com/profile_images/1525434442021539842/99GMvtNA_normal.jpg</v>
      </c>
      <c r="G202" s="62"/>
      <c r="H202" s="66" t="s">
        <v>445</v>
      </c>
      <c r="I202" s="67"/>
      <c r="J202" s="67" t="s">
        <v>159</v>
      </c>
      <c r="K202" s="66" t="s">
        <v>2856</v>
      </c>
      <c r="L202" s="70">
        <v>477.0952380952381</v>
      </c>
      <c r="M202" s="71">
        <v>1973.69482421875</v>
      </c>
      <c r="N202" s="71">
        <v>162.98167419433594</v>
      </c>
      <c r="O202" s="72"/>
      <c r="P202" s="73"/>
      <c r="Q202" s="73"/>
      <c r="R202" s="86"/>
      <c r="S202" s="45">
        <v>1</v>
      </c>
      <c r="T202" s="45">
        <v>0</v>
      </c>
      <c r="U202" s="46">
        <v>0</v>
      </c>
      <c r="V202" s="46">
        <v>0.255569</v>
      </c>
      <c r="W202" s="46">
        <v>0.011412</v>
      </c>
      <c r="X202" s="46">
        <v>0.002755</v>
      </c>
      <c r="Y202" s="46">
        <v>0</v>
      </c>
      <c r="Z202" s="46">
        <v>0</v>
      </c>
      <c r="AA202" s="68">
        <v>202</v>
      </c>
      <c r="AB202" s="68"/>
      <c r="AC202" s="69"/>
      <c r="AD202" s="76" t="s">
        <v>1447</v>
      </c>
      <c r="AE202" s="80" t="s">
        <v>1748</v>
      </c>
      <c r="AF202" s="76">
        <v>222180</v>
      </c>
      <c r="AG202" s="76">
        <v>621</v>
      </c>
      <c r="AH202" s="76">
        <v>129901</v>
      </c>
      <c r="AI202" s="76">
        <v>596</v>
      </c>
      <c r="AJ202" s="76">
        <v>44410</v>
      </c>
      <c r="AK202" s="76">
        <v>26381</v>
      </c>
      <c r="AL202" s="76" t="b">
        <v>0</v>
      </c>
      <c r="AM202" s="78">
        <v>40885.73642361111</v>
      </c>
      <c r="AN202" s="76" t="s">
        <v>1964</v>
      </c>
      <c r="AO202" s="76" t="s">
        <v>2233</v>
      </c>
      <c r="AP202" s="82" t="str">
        <f>HYPERLINK("https://t.co/v6BVI19k76")</f>
        <v>https://t.co/v6BVI19k76</v>
      </c>
      <c r="AQ202" s="82" t="str">
        <f>HYPERLINK("http://www.dubai.ae")</f>
        <v>http://www.dubai.ae</v>
      </c>
      <c r="AR202" s="76" t="s">
        <v>2496</v>
      </c>
      <c r="AS202" s="76"/>
      <c r="AT202" s="76"/>
      <c r="AU202" s="76"/>
      <c r="AV202" s="76">
        <v>1.61641180934216E+18</v>
      </c>
      <c r="AW202" s="82" t="str">
        <f>HYPERLINK("https://t.co/v6BVI19k76")</f>
        <v>https://t.co/v6BVI19k76</v>
      </c>
      <c r="AX202" s="76" t="b">
        <v>1</v>
      </c>
      <c r="AY202" s="76"/>
      <c r="AZ202" s="76"/>
      <c r="BA202" s="76" t="b">
        <v>1</v>
      </c>
      <c r="BB202" s="76" t="b">
        <v>0</v>
      </c>
      <c r="BC202" s="76" t="b">
        <v>1</v>
      </c>
      <c r="BD202" s="76" t="b">
        <v>0</v>
      </c>
      <c r="BE202" s="76" t="b">
        <v>1</v>
      </c>
      <c r="BF202" s="76" t="b">
        <v>0</v>
      </c>
      <c r="BG202" s="76" t="b">
        <v>0</v>
      </c>
      <c r="BH202" s="82" t="str">
        <f>HYPERLINK("https://pbs.twimg.com/profile_banners/431777800/1652526898")</f>
        <v>https://pbs.twimg.com/profile_banners/431777800/1652526898</v>
      </c>
      <c r="BI202" s="76"/>
      <c r="BJ202" s="76" t="s">
        <v>2656</v>
      </c>
      <c r="BK202" s="76" t="b">
        <v>0</v>
      </c>
      <c r="BL202" s="76"/>
      <c r="BM202" s="76" t="s">
        <v>65</v>
      </c>
      <c r="BN202" s="76" t="s">
        <v>2657</v>
      </c>
      <c r="BO202" s="82" t="str">
        <f>HYPERLINK("https://twitter.com/hsajwanization")</f>
        <v>https://twitter.com/hsajwanization</v>
      </c>
      <c r="BP202" s="76" t="str">
        <f>REPLACE(INDEX(GroupVertices[Group],MATCH(Vertices[[#This Row],[Vertex]],GroupVertices[Vertex],0)),1,1,"")</f>
        <v>3</v>
      </c>
      <c r="BQ202" s="45"/>
      <c r="BR202" s="46"/>
      <c r="BS202" s="45"/>
      <c r="BT202" s="46"/>
      <c r="BU202" s="45"/>
      <c r="BV202" s="46"/>
      <c r="BW202" s="45"/>
      <c r="BX202" s="46"/>
      <c r="BY202" s="45"/>
      <c r="BZ202" s="45"/>
      <c r="CA202" s="45"/>
      <c r="CB202" s="45"/>
      <c r="CC202" s="45"/>
      <c r="CD202" s="45"/>
      <c r="CE202" s="45"/>
      <c r="CF202" s="45"/>
      <c r="CG202" s="45"/>
      <c r="CH202" s="45"/>
      <c r="CI202" s="45"/>
      <c r="CJ202" s="2"/>
    </row>
    <row r="203" spans="1:88" ht="15">
      <c r="A203" s="61" t="s">
        <v>446</v>
      </c>
      <c r="B203" s="62"/>
      <c r="C203" s="62"/>
      <c r="D203" s="63">
        <v>535</v>
      </c>
      <c r="E203" s="65"/>
      <c r="F203" s="100" t="str">
        <f>HYPERLINK("https://pbs.twimg.com/profile_images/1671882386618093571/Mi9jMg3I_normal.jpg")</f>
        <v>https://pbs.twimg.com/profile_images/1671882386618093571/Mi9jMg3I_normal.jpg</v>
      </c>
      <c r="G203" s="62"/>
      <c r="H203" s="66" t="s">
        <v>446</v>
      </c>
      <c r="I203" s="67"/>
      <c r="J203" s="67" t="s">
        <v>159</v>
      </c>
      <c r="K203" s="66" t="s">
        <v>2857</v>
      </c>
      <c r="L203" s="70">
        <v>477.0952380952381</v>
      </c>
      <c r="M203" s="71">
        <v>474.7917785644531</v>
      </c>
      <c r="N203" s="71">
        <v>2259.146484375</v>
      </c>
      <c r="O203" s="72"/>
      <c r="P203" s="73"/>
      <c r="Q203" s="73"/>
      <c r="R203" s="86"/>
      <c r="S203" s="45">
        <v>1</v>
      </c>
      <c r="T203" s="45">
        <v>0</v>
      </c>
      <c r="U203" s="46">
        <v>0</v>
      </c>
      <c r="V203" s="46">
        <v>0.255569</v>
      </c>
      <c r="W203" s="46">
        <v>0.011412</v>
      </c>
      <c r="X203" s="46">
        <v>0.002755</v>
      </c>
      <c r="Y203" s="46">
        <v>0</v>
      </c>
      <c r="Z203" s="46">
        <v>0</v>
      </c>
      <c r="AA203" s="68">
        <v>203</v>
      </c>
      <c r="AB203" s="68"/>
      <c r="AC203" s="69"/>
      <c r="AD203" s="76" t="s">
        <v>1448</v>
      </c>
      <c r="AE203" s="80" t="s">
        <v>1749</v>
      </c>
      <c r="AF203" s="76">
        <v>60775</v>
      </c>
      <c r="AG203" s="76">
        <v>5954</v>
      </c>
      <c r="AH203" s="76">
        <v>69358</v>
      </c>
      <c r="AI203" s="76">
        <v>68</v>
      </c>
      <c r="AJ203" s="76">
        <v>66373</v>
      </c>
      <c r="AK203" s="76">
        <v>5505</v>
      </c>
      <c r="AL203" s="76" t="b">
        <v>0</v>
      </c>
      <c r="AM203" s="78">
        <v>42057.59459490741</v>
      </c>
      <c r="AN203" s="76" t="s">
        <v>1965</v>
      </c>
      <c r="AO203" s="76" t="s">
        <v>2234</v>
      </c>
      <c r="AP203" s="76"/>
      <c r="AQ203" s="76"/>
      <c r="AR203" s="76"/>
      <c r="AS203" s="76"/>
      <c r="AT203" s="76"/>
      <c r="AU203" s="76"/>
      <c r="AV203" s="76">
        <v>1.69434026604257E+18</v>
      </c>
      <c r="AW203" s="76"/>
      <c r="AX203" s="76" t="b">
        <v>1</v>
      </c>
      <c r="AY203" s="76"/>
      <c r="AZ203" s="76"/>
      <c r="BA203" s="76" t="b">
        <v>1</v>
      </c>
      <c r="BB203" s="76" t="b">
        <v>1</v>
      </c>
      <c r="BC203" s="76" t="b">
        <v>1</v>
      </c>
      <c r="BD203" s="76" t="b">
        <v>0</v>
      </c>
      <c r="BE203" s="76" t="b">
        <v>1</v>
      </c>
      <c r="BF203" s="76" t="b">
        <v>0</v>
      </c>
      <c r="BG203" s="76" t="b">
        <v>0</v>
      </c>
      <c r="BH203" s="82" t="str">
        <f>HYPERLINK("https://pbs.twimg.com/profile_banners/3036572947/1655263808")</f>
        <v>https://pbs.twimg.com/profile_banners/3036572947/1655263808</v>
      </c>
      <c r="BI203" s="76"/>
      <c r="BJ203" s="76" t="s">
        <v>2656</v>
      </c>
      <c r="BK203" s="76" t="b">
        <v>0</v>
      </c>
      <c r="BL203" s="76"/>
      <c r="BM203" s="76" t="s">
        <v>65</v>
      </c>
      <c r="BN203" s="76" t="s">
        <v>2657</v>
      </c>
      <c r="BO203" s="82" t="str">
        <f>HYPERLINK("https://twitter.com/vlkas_pr0nam0")</f>
        <v>https://twitter.com/vlkas_pr0nam0</v>
      </c>
      <c r="BP203" s="76" t="str">
        <f>REPLACE(INDEX(GroupVertices[Group],MATCH(Vertices[[#This Row],[Vertex]],GroupVertices[Vertex],0)),1,1,"")</f>
        <v>3</v>
      </c>
      <c r="BQ203" s="45"/>
      <c r="BR203" s="46"/>
      <c r="BS203" s="45"/>
      <c r="BT203" s="46"/>
      <c r="BU203" s="45"/>
      <c r="BV203" s="46"/>
      <c r="BW203" s="45"/>
      <c r="BX203" s="46"/>
      <c r="BY203" s="45"/>
      <c r="BZ203" s="45"/>
      <c r="CA203" s="45"/>
      <c r="CB203" s="45"/>
      <c r="CC203" s="45"/>
      <c r="CD203" s="45"/>
      <c r="CE203" s="45"/>
      <c r="CF203" s="45"/>
      <c r="CG203" s="45"/>
      <c r="CH203" s="45"/>
      <c r="CI203" s="45"/>
      <c r="CJ203" s="2"/>
    </row>
    <row r="204" spans="1:88" ht="15">
      <c r="A204" s="61" t="s">
        <v>447</v>
      </c>
      <c r="B204" s="62"/>
      <c r="C204" s="62"/>
      <c r="D204" s="63">
        <v>535</v>
      </c>
      <c r="E204" s="65"/>
      <c r="F204" s="100" t="str">
        <f>HYPERLINK("https://pbs.twimg.com/profile_images/1285795195884199936/ZCCtzvKj_normal.jpg")</f>
        <v>https://pbs.twimg.com/profile_images/1285795195884199936/ZCCtzvKj_normal.jpg</v>
      </c>
      <c r="G204" s="62"/>
      <c r="H204" s="66" t="s">
        <v>447</v>
      </c>
      <c r="I204" s="67"/>
      <c r="J204" s="67" t="s">
        <v>159</v>
      </c>
      <c r="K204" s="66" t="s">
        <v>2858</v>
      </c>
      <c r="L204" s="70">
        <v>477.0952380952381</v>
      </c>
      <c r="M204" s="71">
        <v>3372.417236328125</v>
      </c>
      <c r="N204" s="71">
        <v>1940.8135986328125</v>
      </c>
      <c r="O204" s="72"/>
      <c r="P204" s="73"/>
      <c r="Q204" s="73"/>
      <c r="R204" s="86"/>
      <c r="S204" s="45">
        <v>1</v>
      </c>
      <c r="T204" s="45">
        <v>0</v>
      </c>
      <c r="U204" s="46">
        <v>0</v>
      </c>
      <c r="V204" s="46">
        <v>0.255569</v>
      </c>
      <c r="W204" s="46">
        <v>0.011412</v>
      </c>
      <c r="X204" s="46">
        <v>0.002755</v>
      </c>
      <c r="Y204" s="46">
        <v>0</v>
      </c>
      <c r="Z204" s="46">
        <v>0</v>
      </c>
      <c r="AA204" s="68">
        <v>204</v>
      </c>
      <c r="AB204" s="68"/>
      <c r="AC204" s="69"/>
      <c r="AD204" s="76" t="s">
        <v>1449</v>
      </c>
      <c r="AE204" s="80" t="s">
        <v>1750</v>
      </c>
      <c r="AF204" s="76">
        <v>265698</v>
      </c>
      <c r="AG204" s="76">
        <v>345</v>
      </c>
      <c r="AH204" s="76">
        <v>16386</v>
      </c>
      <c r="AI204" s="76">
        <v>644</v>
      </c>
      <c r="AJ204" s="76">
        <v>71034</v>
      </c>
      <c r="AK204" s="76">
        <v>3824</v>
      </c>
      <c r="AL204" s="76" t="b">
        <v>0</v>
      </c>
      <c r="AM204" s="78">
        <v>43546.78068287037</v>
      </c>
      <c r="AN204" s="76" t="s">
        <v>1966</v>
      </c>
      <c r="AO204" s="76" t="s">
        <v>2235</v>
      </c>
      <c r="AP204" s="82" t="str">
        <f>HYPERLINK("https://t.co/bPFKmbBbSF")</f>
        <v>https://t.co/bPFKmbBbSF</v>
      </c>
      <c r="AQ204" s="82" t="str">
        <f>HYPERLINK("https://instagram.com/meghupdates?igshid=avb4i71ffpei")</f>
        <v>https://instagram.com/meghupdates?igshid=avb4i71ffpei</v>
      </c>
      <c r="AR204" s="76" t="s">
        <v>2497</v>
      </c>
      <c r="AS204" s="82" t="str">
        <f>HYPERLINK("https://t.co/vuQLmBh561")</f>
        <v>https://t.co/vuQLmBh561</v>
      </c>
      <c r="AT204" s="82" t="str">
        <f>HYPERLINK("http://t.me/MEGHUPDATES")</f>
        <v>http://t.me/MEGHUPDATES</v>
      </c>
      <c r="AU204" s="76" t="s">
        <v>2637</v>
      </c>
      <c r="AV204" s="76">
        <v>1.67555046439666E+18</v>
      </c>
      <c r="AW204" s="82" t="str">
        <f>HYPERLINK("https://t.co/bPFKmbBbSF")</f>
        <v>https://t.co/bPFKmbBbSF</v>
      </c>
      <c r="AX204" s="76" t="b">
        <v>1</v>
      </c>
      <c r="AY204" s="76"/>
      <c r="AZ204" s="76"/>
      <c r="BA204" s="76" t="b">
        <v>0</v>
      </c>
      <c r="BB204" s="76" t="b">
        <v>0</v>
      </c>
      <c r="BC204" s="76" t="b">
        <v>1</v>
      </c>
      <c r="BD204" s="76" t="b">
        <v>0</v>
      </c>
      <c r="BE204" s="76" t="b">
        <v>1</v>
      </c>
      <c r="BF204" s="76" t="b">
        <v>0</v>
      </c>
      <c r="BG204" s="76" t="b">
        <v>0</v>
      </c>
      <c r="BH204" s="82" t="str">
        <f>HYPERLINK("https://pbs.twimg.com/profile_banners/1109163883082637312/1599421585")</f>
        <v>https://pbs.twimg.com/profile_banners/1109163883082637312/1599421585</v>
      </c>
      <c r="BI204" s="76"/>
      <c r="BJ204" s="76" t="s">
        <v>2656</v>
      </c>
      <c r="BK204" s="76" t="b">
        <v>0</v>
      </c>
      <c r="BL204" s="76"/>
      <c r="BM204" s="76" t="s">
        <v>65</v>
      </c>
      <c r="BN204" s="76" t="s">
        <v>2657</v>
      </c>
      <c r="BO204" s="82" t="str">
        <f>HYPERLINK("https://twitter.com/meghupdates")</f>
        <v>https://twitter.com/meghupdates</v>
      </c>
      <c r="BP204" s="76" t="str">
        <f>REPLACE(INDEX(GroupVertices[Group],MATCH(Vertices[[#This Row],[Vertex]],GroupVertices[Vertex],0)),1,1,"")</f>
        <v>3</v>
      </c>
      <c r="BQ204" s="45"/>
      <c r="BR204" s="46"/>
      <c r="BS204" s="45"/>
      <c r="BT204" s="46"/>
      <c r="BU204" s="45"/>
      <c r="BV204" s="46"/>
      <c r="BW204" s="45"/>
      <c r="BX204" s="46"/>
      <c r="BY204" s="45"/>
      <c r="BZ204" s="45"/>
      <c r="CA204" s="45"/>
      <c r="CB204" s="45"/>
      <c r="CC204" s="45"/>
      <c r="CD204" s="45"/>
      <c r="CE204" s="45"/>
      <c r="CF204" s="45"/>
      <c r="CG204" s="45"/>
      <c r="CH204" s="45"/>
      <c r="CI204" s="45"/>
      <c r="CJ204" s="2"/>
    </row>
    <row r="205" spans="1:88" ht="15">
      <c r="A205" s="61" t="s">
        <v>448</v>
      </c>
      <c r="B205" s="62"/>
      <c r="C205" s="62"/>
      <c r="D205" s="63">
        <v>535</v>
      </c>
      <c r="E205" s="65"/>
      <c r="F205" s="100" t="str">
        <f>HYPERLINK("https://pbs.twimg.com/profile_images/1587465031138291712/U0nC93rJ_normal.jpg")</f>
        <v>https://pbs.twimg.com/profile_images/1587465031138291712/U0nC93rJ_normal.jpg</v>
      </c>
      <c r="G205" s="62"/>
      <c r="H205" s="66" t="s">
        <v>448</v>
      </c>
      <c r="I205" s="67"/>
      <c r="J205" s="67" t="s">
        <v>159</v>
      </c>
      <c r="K205" s="66" t="s">
        <v>2859</v>
      </c>
      <c r="L205" s="70">
        <v>477.0952380952381</v>
      </c>
      <c r="M205" s="71">
        <v>3466.786376953125</v>
      </c>
      <c r="N205" s="71">
        <v>465.01177978515625</v>
      </c>
      <c r="O205" s="72"/>
      <c r="P205" s="73"/>
      <c r="Q205" s="73"/>
      <c r="R205" s="86"/>
      <c r="S205" s="45">
        <v>1</v>
      </c>
      <c r="T205" s="45">
        <v>0</v>
      </c>
      <c r="U205" s="46">
        <v>0</v>
      </c>
      <c r="V205" s="46">
        <v>0.255569</v>
      </c>
      <c r="W205" s="46">
        <v>0.011412</v>
      </c>
      <c r="X205" s="46">
        <v>0.002755</v>
      </c>
      <c r="Y205" s="46">
        <v>0</v>
      </c>
      <c r="Z205" s="46">
        <v>0</v>
      </c>
      <c r="AA205" s="68">
        <v>205</v>
      </c>
      <c r="AB205" s="68"/>
      <c r="AC205" s="69"/>
      <c r="AD205" s="76" t="s">
        <v>1450</v>
      </c>
      <c r="AE205" s="80" t="s">
        <v>1751</v>
      </c>
      <c r="AF205" s="76">
        <v>25636</v>
      </c>
      <c r="AG205" s="76">
        <v>231</v>
      </c>
      <c r="AH205" s="76">
        <v>21977</v>
      </c>
      <c r="AI205" s="76">
        <v>62</v>
      </c>
      <c r="AJ205" s="76">
        <v>13175</v>
      </c>
      <c r="AK205" s="76">
        <v>1415</v>
      </c>
      <c r="AL205" s="76" t="b">
        <v>0</v>
      </c>
      <c r="AM205" s="78">
        <v>42423.31760416667</v>
      </c>
      <c r="AN205" s="76" t="s">
        <v>1967</v>
      </c>
      <c r="AO205" s="76" t="s">
        <v>2236</v>
      </c>
      <c r="AP205" s="76"/>
      <c r="AQ205" s="76"/>
      <c r="AR205" s="76"/>
      <c r="AS205" s="76"/>
      <c r="AT205" s="76"/>
      <c r="AU205" s="76"/>
      <c r="AV205" s="76">
        <v>1.69434361020307E+18</v>
      </c>
      <c r="AW205" s="76"/>
      <c r="AX205" s="76" t="b">
        <v>1</v>
      </c>
      <c r="AY205" s="76"/>
      <c r="AZ205" s="76"/>
      <c r="BA205" s="76" t="b">
        <v>1</v>
      </c>
      <c r="BB205" s="76" t="b">
        <v>0</v>
      </c>
      <c r="BC205" s="76" t="b">
        <v>1</v>
      </c>
      <c r="BD205" s="76" t="b">
        <v>0</v>
      </c>
      <c r="BE205" s="76" t="b">
        <v>1</v>
      </c>
      <c r="BF205" s="76" t="b">
        <v>0</v>
      </c>
      <c r="BG205" s="76" t="b">
        <v>0</v>
      </c>
      <c r="BH205" s="76"/>
      <c r="BI205" s="76"/>
      <c r="BJ205" s="76" t="s">
        <v>2656</v>
      </c>
      <c r="BK205" s="76" t="b">
        <v>0</v>
      </c>
      <c r="BL205" s="76"/>
      <c r="BM205" s="76" t="s">
        <v>65</v>
      </c>
      <c r="BN205" s="76" t="s">
        <v>2657</v>
      </c>
      <c r="BO205" s="82" t="str">
        <f>HYPERLINK("https://twitter.com/roshankrraii")</f>
        <v>https://twitter.com/roshankrraii</v>
      </c>
      <c r="BP205" s="76" t="str">
        <f>REPLACE(INDEX(GroupVertices[Group],MATCH(Vertices[[#This Row],[Vertex]],GroupVertices[Vertex],0)),1,1,"")</f>
        <v>3</v>
      </c>
      <c r="BQ205" s="45"/>
      <c r="BR205" s="46"/>
      <c r="BS205" s="45"/>
      <c r="BT205" s="46"/>
      <c r="BU205" s="45"/>
      <c r="BV205" s="46"/>
      <c r="BW205" s="45"/>
      <c r="BX205" s="46"/>
      <c r="BY205" s="45"/>
      <c r="BZ205" s="45"/>
      <c r="CA205" s="45"/>
      <c r="CB205" s="45"/>
      <c r="CC205" s="45"/>
      <c r="CD205" s="45"/>
      <c r="CE205" s="45"/>
      <c r="CF205" s="45"/>
      <c r="CG205" s="45"/>
      <c r="CH205" s="45"/>
      <c r="CI205" s="45"/>
      <c r="CJ205" s="2"/>
    </row>
    <row r="206" spans="1:88" ht="15">
      <c r="A206" s="61" t="s">
        <v>449</v>
      </c>
      <c r="B206" s="62"/>
      <c r="C206" s="62"/>
      <c r="D206" s="63">
        <v>535</v>
      </c>
      <c r="E206" s="65"/>
      <c r="F206" s="100" t="str">
        <f>HYPERLINK("https://pbs.twimg.com/profile_images/1421303923202265090/U4LE49Tu_normal.jpg")</f>
        <v>https://pbs.twimg.com/profile_images/1421303923202265090/U4LE49Tu_normal.jpg</v>
      </c>
      <c r="G206" s="62"/>
      <c r="H206" s="66" t="s">
        <v>449</v>
      </c>
      <c r="I206" s="67"/>
      <c r="J206" s="67" t="s">
        <v>159</v>
      </c>
      <c r="K206" s="66" t="s">
        <v>2860</v>
      </c>
      <c r="L206" s="70">
        <v>477.0952380952381</v>
      </c>
      <c r="M206" s="71">
        <v>1348.896484375</v>
      </c>
      <c r="N206" s="71">
        <v>2689.27197265625</v>
      </c>
      <c r="O206" s="72"/>
      <c r="P206" s="73"/>
      <c r="Q206" s="73"/>
      <c r="R206" s="86"/>
      <c r="S206" s="45">
        <v>1</v>
      </c>
      <c r="T206" s="45">
        <v>0</v>
      </c>
      <c r="U206" s="46">
        <v>0</v>
      </c>
      <c r="V206" s="46">
        <v>0.255569</v>
      </c>
      <c r="W206" s="46">
        <v>0.011412</v>
      </c>
      <c r="X206" s="46">
        <v>0.002755</v>
      </c>
      <c r="Y206" s="46">
        <v>0</v>
      </c>
      <c r="Z206" s="46">
        <v>0</v>
      </c>
      <c r="AA206" s="68">
        <v>206</v>
      </c>
      <c r="AB206" s="68"/>
      <c r="AC206" s="69"/>
      <c r="AD206" s="76" t="s">
        <v>1451</v>
      </c>
      <c r="AE206" s="80" t="s">
        <v>1752</v>
      </c>
      <c r="AF206" s="76">
        <v>1171769</v>
      </c>
      <c r="AG206" s="76">
        <v>7</v>
      </c>
      <c r="AH206" s="76">
        <v>5625</v>
      </c>
      <c r="AI206" s="76">
        <v>2891</v>
      </c>
      <c r="AJ206" s="76">
        <v>25933</v>
      </c>
      <c r="AK206" s="76">
        <v>2783</v>
      </c>
      <c r="AL206" s="76" t="b">
        <v>0</v>
      </c>
      <c r="AM206" s="78">
        <v>43803.92638888889</v>
      </c>
      <c r="AN206" s="76"/>
      <c r="AO206" s="76" t="s">
        <v>2237</v>
      </c>
      <c r="AP206" s="82" t="str">
        <f>HYPERLINK("https://t.co/V7hBMlszk9")</f>
        <v>https://t.co/V7hBMlszk9</v>
      </c>
      <c r="AQ206" s="82" t="str">
        <f>HYPERLINK("http://Instagram.com/latestinspace")</f>
        <v>http://Instagram.com/latestinspace</v>
      </c>
      <c r="AR206" s="76" t="s">
        <v>2498</v>
      </c>
      <c r="AS206" s="82" t="str">
        <f>HYPERLINK("https://t.co/h6E31ucTCX")</f>
        <v>https://t.co/h6E31ucTCX</v>
      </c>
      <c r="AT206" s="82" t="str">
        <f>HYPERLINK("http://latestinspace.com")</f>
        <v>http://latestinspace.com</v>
      </c>
      <c r="AU206" s="76" t="s">
        <v>2638</v>
      </c>
      <c r="AV206" s="76">
        <v>1.68856364376223E+18</v>
      </c>
      <c r="AW206" s="82" t="str">
        <f>HYPERLINK("https://t.co/V7hBMlszk9")</f>
        <v>https://t.co/V7hBMlszk9</v>
      </c>
      <c r="AX206" s="76" t="b">
        <v>1</v>
      </c>
      <c r="AY206" s="76"/>
      <c r="AZ206" s="76"/>
      <c r="BA206" s="76" t="b">
        <v>1</v>
      </c>
      <c r="BB206" s="76" t="b">
        <v>1</v>
      </c>
      <c r="BC206" s="76" t="b">
        <v>1</v>
      </c>
      <c r="BD206" s="76" t="b">
        <v>0</v>
      </c>
      <c r="BE206" s="76" t="b">
        <v>1</v>
      </c>
      <c r="BF206" s="76" t="b">
        <v>0</v>
      </c>
      <c r="BG206" s="76" t="b">
        <v>0</v>
      </c>
      <c r="BH206" s="82" t="str">
        <f>HYPERLINK("https://pbs.twimg.com/profile_banners/1202350328760418304/1693928760")</f>
        <v>https://pbs.twimg.com/profile_banners/1202350328760418304/1693928760</v>
      </c>
      <c r="BI206" s="76"/>
      <c r="BJ206" s="76" t="s">
        <v>2656</v>
      </c>
      <c r="BK206" s="76" t="b">
        <v>0</v>
      </c>
      <c r="BL206" s="76"/>
      <c r="BM206" s="76" t="s">
        <v>65</v>
      </c>
      <c r="BN206" s="76" t="s">
        <v>2657</v>
      </c>
      <c r="BO206" s="82" t="str">
        <f>HYPERLINK("https://twitter.com/latestinspace")</f>
        <v>https://twitter.com/latestinspace</v>
      </c>
      <c r="BP206" s="76" t="str">
        <f>REPLACE(INDEX(GroupVertices[Group],MATCH(Vertices[[#This Row],[Vertex]],GroupVertices[Vertex],0)),1,1,"")</f>
        <v>3</v>
      </c>
      <c r="BQ206" s="45"/>
      <c r="BR206" s="46"/>
      <c r="BS206" s="45"/>
      <c r="BT206" s="46"/>
      <c r="BU206" s="45"/>
      <c r="BV206" s="46"/>
      <c r="BW206" s="45"/>
      <c r="BX206" s="46"/>
      <c r="BY206" s="45"/>
      <c r="BZ206" s="45"/>
      <c r="CA206" s="45"/>
      <c r="CB206" s="45"/>
      <c r="CC206" s="45"/>
      <c r="CD206" s="45"/>
      <c r="CE206" s="45"/>
      <c r="CF206" s="45"/>
      <c r="CG206" s="45"/>
      <c r="CH206" s="45"/>
      <c r="CI206" s="45"/>
      <c r="CJ206" s="2"/>
    </row>
    <row r="207" spans="1:88" ht="15">
      <c r="A207" s="61" t="s">
        <v>450</v>
      </c>
      <c r="B207" s="62"/>
      <c r="C207" s="62"/>
      <c r="D207" s="63">
        <v>535</v>
      </c>
      <c r="E207" s="65"/>
      <c r="F207" s="100" t="str">
        <f>HYPERLINK("https://pbs.twimg.com/profile_images/1565973835429875712/j8LDCSQW_normal.jpg")</f>
        <v>https://pbs.twimg.com/profile_images/1565973835429875712/j8LDCSQW_normal.jpg</v>
      </c>
      <c r="G207" s="62"/>
      <c r="H207" s="66" t="s">
        <v>450</v>
      </c>
      <c r="I207" s="67"/>
      <c r="J207" s="67" t="s">
        <v>159</v>
      </c>
      <c r="K207" s="66" t="s">
        <v>2861</v>
      </c>
      <c r="L207" s="70">
        <v>477.0952380952381</v>
      </c>
      <c r="M207" s="71">
        <v>858.4690551757812</v>
      </c>
      <c r="N207" s="71">
        <v>2556.02587890625</v>
      </c>
      <c r="O207" s="72"/>
      <c r="P207" s="73"/>
      <c r="Q207" s="73"/>
      <c r="R207" s="86"/>
      <c r="S207" s="45">
        <v>1</v>
      </c>
      <c r="T207" s="45">
        <v>0</v>
      </c>
      <c r="U207" s="46">
        <v>0</v>
      </c>
      <c r="V207" s="46">
        <v>0.255569</v>
      </c>
      <c r="W207" s="46">
        <v>0.011412</v>
      </c>
      <c r="X207" s="46">
        <v>0.002755</v>
      </c>
      <c r="Y207" s="46">
        <v>0</v>
      </c>
      <c r="Z207" s="46">
        <v>0</v>
      </c>
      <c r="AA207" s="68">
        <v>207</v>
      </c>
      <c r="AB207" s="68"/>
      <c r="AC207" s="69"/>
      <c r="AD207" s="76" t="s">
        <v>1452</v>
      </c>
      <c r="AE207" s="80" t="s">
        <v>1753</v>
      </c>
      <c r="AF207" s="76">
        <v>6444009</v>
      </c>
      <c r="AG207" s="76">
        <v>25</v>
      </c>
      <c r="AH207" s="76">
        <v>275</v>
      </c>
      <c r="AI207" s="76">
        <v>1938</v>
      </c>
      <c r="AJ207" s="76">
        <v>2</v>
      </c>
      <c r="AK207" s="76">
        <v>68</v>
      </c>
      <c r="AL207" s="76" t="b">
        <v>0</v>
      </c>
      <c r="AM207" s="78">
        <v>41318.71467592593</v>
      </c>
      <c r="AN207" s="76"/>
      <c r="AO207" s="76"/>
      <c r="AP207" s="76"/>
      <c r="AQ207" s="76"/>
      <c r="AR207" s="76"/>
      <c r="AS207" s="76"/>
      <c r="AT207" s="76"/>
      <c r="AU207" s="76"/>
      <c r="AV207" s="76"/>
      <c r="AW207" s="76"/>
      <c r="AX207" s="76" t="b">
        <v>1</v>
      </c>
      <c r="AY207" s="76"/>
      <c r="AZ207" s="76"/>
      <c r="BA207" s="76" t="b">
        <v>0</v>
      </c>
      <c r="BB207" s="76" t="b">
        <v>0</v>
      </c>
      <c r="BC207" s="76" t="b">
        <v>0</v>
      </c>
      <c r="BD207" s="76" t="b">
        <v>0</v>
      </c>
      <c r="BE207" s="76" t="b">
        <v>0</v>
      </c>
      <c r="BF207" s="76" t="b">
        <v>0</v>
      </c>
      <c r="BG207" s="76" t="b">
        <v>0</v>
      </c>
      <c r="BH207" s="82" t="str">
        <f>HYPERLINK("https://pbs.twimg.com/profile_banners/1176135546/1662192243")</f>
        <v>https://pbs.twimg.com/profile_banners/1176135546/1662192243</v>
      </c>
      <c r="BI207" s="76"/>
      <c r="BJ207" s="76" t="s">
        <v>2656</v>
      </c>
      <c r="BK207" s="76" t="b">
        <v>0</v>
      </c>
      <c r="BL207" s="76"/>
      <c r="BM207" s="76" t="s">
        <v>65</v>
      </c>
      <c r="BN207" s="76" t="s">
        <v>2657</v>
      </c>
      <c r="BO207" s="82" t="str">
        <f>HYPERLINK("https://twitter.com/rajinikanth")</f>
        <v>https://twitter.com/rajinikanth</v>
      </c>
      <c r="BP207" s="76" t="str">
        <f>REPLACE(INDEX(GroupVertices[Group],MATCH(Vertices[[#This Row],[Vertex]],GroupVertices[Vertex],0)),1,1,"")</f>
        <v>3</v>
      </c>
      <c r="BQ207" s="45"/>
      <c r="BR207" s="46"/>
      <c r="BS207" s="45"/>
      <c r="BT207" s="46"/>
      <c r="BU207" s="45"/>
      <c r="BV207" s="46"/>
      <c r="BW207" s="45"/>
      <c r="BX207" s="46"/>
      <c r="BY207" s="45"/>
      <c r="BZ207" s="45"/>
      <c r="CA207" s="45"/>
      <c r="CB207" s="45"/>
      <c r="CC207" s="45"/>
      <c r="CD207" s="45"/>
      <c r="CE207" s="45"/>
      <c r="CF207" s="45"/>
      <c r="CG207" s="45"/>
      <c r="CH207" s="45"/>
      <c r="CI207" s="45"/>
      <c r="CJ207" s="2"/>
    </row>
    <row r="208" spans="1:88" ht="15">
      <c r="A208" s="61" t="s">
        <v>451</v>
      </c>
      <c r="B208" s="62"/>
      <c r="C208" s="62"/>
      <c r="D208" s="63">
        <v>535</v>
      </c>
      <c r="E208" s="65"/>
      <c r="F208" s="100" t="str">
        <f>HYPERLINK("https://pbs.twimg.com/profile_images/1693272046275530753/6tC1QRry_normal.jpg")</f>
        <v>https://pbs.twimg.com/profile_images/1693272046275530753/6tC1QRry_normal.jpg</v>
      </c>
      <c r="G208" s="62"/>
      <c r="H208" s="66" t="s">
        <v>451</v>
      </c>
      <c r="I208" s="67"/>
      <c r="J208" s="67" t="s">
        <v>159</v>
      </c>
      <c r="K208" s="66" t="s">
        <v>2862</v>
      </c>
      <c r="L208" s="70">
        <v>477.0952380952381</v>
      </c>
      <c r="M208" s="71">
        <v>657.8018798828125</v>
      </c>
      <c r="N208" s="71">
        <v>1262.998046875</v>
      </c>
      <c r="O208" s="72"/>
      <c r="P208" s="73"/>
      <c r="Q208" s="73"/>
      <c r="R208" s="86"/>
      <c r="S208" s="45">
        <v>1</v>
      </c>
      <c r="T208" s="45">
        <v>0</v>
      </c>
      <c r="U208" s="46">
        <v>0</v>
      </c>
      <c r="V208" s="46">
        <v>0.255569</v>
      </c>
      <c r="W208" s="46">
        <v>0.011412</v>
      </c>
      <c r="X208" s="46">
        <v>0.002755</v>
      </c>
      <c r="Y208" s="46">
        <v>0</v>
      </c>
      <c r="Z208" s="46">
        <v>0</v>
      </c>
      <c r="AA208" s="68">
        <v>208</v>
      </c>
      <c r="AB208" s="68"/>
      <c r="AC208" s="69"/>
      <c r="AD208" s="76" t="s">
        <v>1453</v>
      </c>
      <c r="AE208" s="80" t="s">
        <v>1754</v>
      </c>
      <c r="AF208" s="76">
        <v>188585</v>
      </c>
      <c r="AG208" s="76">
        <v>465</v>
      </c>
      <c r="AH208" s="76">
        <v>63246</v>
      </c>
      <c r="AI208" s="76">
        <v>312</v>
      </c>
      <c r="AJ208" s="76">
        <v>37810</v>
      </c>
      <c r="AK208" s="76">
        <v>8930</v>
      </c>
      <c r="AL208" s="76" t="b">
        <v>0</v>
      </c>
      <c r="AM208" s="78">
        <v>41378.90149305556</v>
      </c>
      <c r="AN208" s="76" t="s">
        <v>1882</v>
      </c>
      <c r="AO208" s="76" t="s">
        <v>2238</v>
      </c>
      <c r="AP208" s="82" t="str">
        <f>HYPERLINK("https://t.co/4igEGwEtvr")</f>
        <v>https://t.co/4igEGwEtvr</v>
      </c>
      <c r="AQ208" s="82" t="str">
        <f>HYPERLINK("http://www.instagram.com/erbmjha")</f>
        <v>http://www.instagram.com/erbmjha</v>
      </c>
      <c r="AR208" s="76" t="s">
        <v>2499</v>
      </c>
      <c r="AS208" s="76"/>
      <c r="AT208" s="76"/>
      <c r="AU208" s="76"/>
      <c r="AV208" s="76">
        <v>1.65583699192014E+18</v>
      </c>
      <c r="AW208" s="82" t="str">
        <f>HYPERLINK("https://t.co/4igEGwEtvr")</f>
        <v>https://t.co/4igEGwEtvr</v>
      </c>
      <c r="AX208" s="76" t="b">
        <v>1</v>
      </c>
      <c r="AY208" s="76"/>
      <c r="AZ208" s="76"/>
      <c r="BA208" s="76" t="b">
        <v>1</v>
      </c>
      <c r="BB208" s="76" t="b">
        <v>0</v>
      </c>
      <c r="BC208" s="76" t="b">
        <v>0</v>
      </c>
      <c r="BD208" s="76" t="b">
        <v>0</v>
      </c>
      <c r="BE208" s="76" t="b">
        <v>1</v>
      </c>
      <c r="BF208" s="76" t="b">
        <v>0</v>
      </c>
      <c r="BG208" s="76" t="b">
        <v>0</v>
      </c>
      <c r="BH208" s="82" t="str">
        <f>HYPERLINK("https://pbs.twimg.com/profile_banners/1352832462/1561380591")</f>
        <v>https://pbs.twimg.com/profile_banners/1352832462/1561380591</v>
      </c>
      <c r="BI208" s="76"/>
      <c r="BJ208" s="76" t="s">
        <v>2656</v>
      </c>
      <c r="BK208" s="76" t="b">
        <v>0</v>
      </c>
      <c r="BL208" s="76"/>
      <c r="BM208" s="76" t="s">
        <v>65</v>
      </c>
      <c r="BN208" s="76" t="s">
        <v>2657</v>
      </c>
      <c r="BO208" s="82" t="str">
        <f>HYPERLINK("https://twitter.com/erbmjha")</f>
        <v>https://twitter.com/erbmjha</v>
      </c>
      <c r="BP208" s="76" t="str">
        <f>REPLACE(INDEX(GroupVertices[Group],MATCH(Vertices[[#This Row],[Vertex]],GroupVertices[Vertex],0)),1,1,"")</f>
        <v>3</v>
      </c>
      <c r="BQ208" s="45"/>
      <c r="BR208" s="46"/>
      <c r="BS208" s="45"/>
      <c r="BT208" s="46"/>
      <c r="BU208" s="45"/>
      <c r="BV208" s="46"/>
      <c r="BW208" s="45"/>
      <c r="BX208" s="46"/>
      <c r="BY208" s="45"/>
      <c r="BZ208" s="45"/>
      <c r="CA208" s="45"/>
      <c r="CB208" s="45"/>
      <c r="CC208" s="45"/>
      <c r="CD208" s="45"/>
      <c r="CE208" s="45"/>
      <c r="CF208" s="45"/>
      <c r="CG208" s="45"/>
      <c r="CH208" s="45"/>
      <c r="CI208" s="45"/>
      <c r="CJ208" s="2"/>
    </row>
    <row r="209" spans="1:88" ht="15">
      <c r="A209" s="61" t="s">
        <v>452</v>
      </c>
      <c r="B209" s="62"/>
      <c r="C209" s="62"/>
      <c r="D209" s="63">
        <v>1000</v>
      </c>
      <c r="E209" s="65"/>
      <c r="F209" s="100" t="str">
        <f>HYPERLINK("https://pbs.twimg.com/profile_images/1600118046743359488/C1_k11I7_normal.jpg")</f>
        <v>https://pbs.twimg.com/profile_images/1600118046743359488/C1_k11I7_normal.jpg</v>
      </c>
      <c r="G209" s="62"/>
      <c r="H209" s="66" t="s">
        <v>452</v>
      </c>
      <c r="I209" s="67"/>
      <c r="J209" s="67" t="s">
        <v>159</v>
      </c>
      <c r="K209" s="66" t="s">
        <v>2863</v>
      </c>
      <c r="L209" s="70">
        <v>953.1904761904761</v>
      </c>
      <c r="M209" s="71">
        <v>4214.01611328125</v>
      </c>
      <c r="N209" s="71">
        <v>1418.15185546875</v>
      </c>
      <c r="O209" s="72"/>
      <c r="P209" s="73"/>
      <c r="Q209" s="73"/>
      <c r="R209" s="86"/>
      <c r="S209" s="45">
        <v>2</v>
      </c>
      <c r="T209" s="45">
        <v>0</v>
      </c>
      <c r="U209" s="46">
        <v>1823.219048</v>
      </c>
      <c r="V209" s="46">
        <v>0.343619</v>
      </c>
      <c r="W209" s="46">
        <v>0.036638</v>
      </c>
      <c r="X209" s="46">
        <v>0.002798</v>
      </c>
      <c r="Y209" s="46">
        <v>0</v>
      </c>
      <c r="Z209" s="46">
        <v>0</v>
      </c>
      <c r="AA209" s="68">
        <v>209</v>
      </c>
      <c r="AB209" s="68"/>
      <c r="AC209" s="69"/>
      <c r="AD209" s="76" t="s">
        <v>1454</v>
      </c>
      <c r="AE209" s="80" t="s">
        <v>1755</v>
      </c>
      <c r="AF209" s="76">
        <v>7182436</v>
      </c>
      <c r="AG209" s="76">
        <v>34</v>
      </c>
      <c r="AH209" s="76">
        <v>2089</v>
      </c>
      <c r="AI209" s="76">
        <v>3773</v>
      </c>
      <c r="AJ209" s="76">
        <v>195</v>
      </c>
      <c r="AK209" s="76">
        <v>1073</v>
      </c>
      <c r="AL209" s="76" t="b">
        <v>0</v>
      </c>
      <c r="AM209" s="78">
        <v>41627.31201388889</v>
      </c>
      <c r="AN209" s="76" t="s">
        <v>1968</v>
      </c>
      <c r="AO209" s="76" t="s">
        <v>2239</v>
      </c>
      <c r="AP209" s="82" t="str">
        <f>HYPERLINK("https://t.co/HqZrRRtWRP")</f>
        <v>https://t.co/HqZrRRtWRP</v>
      </c>
      <c r="AQ209" s="82" t="str">
        <f>HYPERLINK("https://www.isro.gov.in")</f>
        <v>https://www.isro.gov.in</v>
      </c>
      <c r="AR209" s="76" t="s">
        <v>2500</v>
      </c>
      <c r="AS209" s="76" t="s">
        <v>2588</v>
      </c>
      <c r="AT209" s="76" t="s">
        <v>2600</v>
      </c>
      <c r="AU209" s="76" t="s">
        <v>2639</v>
      </c>
      <c r="AV209" s="76">
        <v>1.69432719839486E+18</v>
      </c>
      <c r="AW209" s="82" t="str">
        <f>HYPERLINK("https://t.co/HqZrRRtWRP")</f>
        <v>https://t.co/HqZrRRtWRP</v>
      </c>
      <c r="AX209" s="76" t="b">
        <v>1</v>
      </c>
      <c r="AY209" s="76"/>
      <c r="AZ209" s="76"/>
      <c r="BA209" s="76" t="b">
        <v>0</v>
      </c>
      <c r="BB209" s="76" t="b">
        <v>1</v>
      </c>
      <c r="BC209" s="76" t="b">
        <v>1</v>
      </c>
      <c r="BD209" s="76" t="b">
        <v>0</v>
      </c>
      <c r="BE209" s="76" t="b">
        <v>1</v>
      </c>
      <c r="BF209" s="76" t="b">
        <v>0</v>
      </c>
      <c r="BG209" s="76" t="b">
        <v>0</v>
      </c>
      <c r="BH209" s="82" t="str">
        <f>HYPERLINK("https://pbs.twimg.com/profile_banners/2253142422/1628590403")</f>
        <v>https://pbs.twimg.com/profile_banners/2253142422/1628590403</v>
      </c>
      <c r="BI209" s="76"/>
      <c r="BJ209" s="76" t="s">
        <v>2656</v>
      </c>
      <c r="BK209" s="76" t="b">
        <v>0</v>
      </c>
      <c r="BL209" s="76"/>
      <c r="BM209" s="76" t="s">
        <v>65</v>
      </c>
      <c r="BN209" s="76" t="s">
        <v>2657</v>
      </c>
      <c r="BO209" s="82" t="str">
        <f>HYPERLINK("https://twitter.com/isro")</f>
        <v>https://twitter.com/isro</v>
      </c>
      <c r="BP209" s="76" t="str">
        <f>REPLACE(INDEX(GroupVertices[Group],MATCH(Vertices[[#This Row],[Vertex]],GroupVertices[Vertex],0)),1,1,"")</f>
        <v>3</v>
      </c>
      <c r="BQ209" s="45"/>
      <c r="BR209" s="46"/>
      <c r="BS209" s="45"/>
      <c r="BT209" s="46"/>
      <c r="BU209" s="45"/>
      <c r="BV209" s="46"/>
      <c r="BW209" s="45"/>
      <c r="BX209" s="46"/>
      <c r="BY209" s="45"/>
      <c r="BZ209" s="45"/>
      <c r="CA209" s="45"/>
      <c r="CB209" s="45"/>
      <c r="CC209" s="45"/>
      <c r="CD209" s="45"/>
      <c r="CE209" s="45"/>
      <c r="CF209" s="45"/>
      <c r="CG209" s="45"/>
      <c r="CH209" s="45"/>
      <c r="CI209" s="45"/>
      <c r="CJ209" s="2"/>
    </row>
    <row r="210" spans="1:88" ht="15">
      <c r="A210" s="61" t="s">
        <v>453</v>
      </c>
      <c r="B210" s="62"/>
      <c r="C210" s="62"/>
      <c r="D210" s="63">
        <v>535</v>
      </c>
      <c r="E210" s="65"/>
      <c r="F210" s="100" t="str">
        <f>HYPERLINK("https://pbs.twimg.com/profile_images/1671171149835948032/XTBbj4bP_normal.jpg")</f>
        <v>https://pbs.twimg.com/profile_images/1671171149835948032/XTBbj4bP_normal.jpg</v>
      </c>
      <c r="G210" s="62"/>
      <c r="H210" s="66" t="s">
        <v>453</v>
      </c>
      <c r="I210" s="67"/>
      <c r="J210" s="67" t="s">
        <v>159</v>
      </c>
      <c r="K210" s="66" t="s">
        <v>2864</v>
      </c>
      <c r="L210" s="70">
        <v>477.0952380952381</v>
      </c>
      <c r="M210" s="71">
        <v>342.1539306640625</v>
      </c>
      <c r="N210" s="71">
        <v>866.3845825195312</v>
      </c>
      <c r="O210" s="72"/>
      <c r="P210" s="73"/>
      <c r="Q210" s="73"/>
      <c r="R210" s="86"/>
      <c r="S210" s="45">
        <v>1</v>
      </c>
      <c r="T210" s="45">
        <v>0</v>
      </c>
      <c r="U210" s="46">
        <v>0</v>
      </c>
      <c r="V210" s="46">
        <v>0.255569</v>
      </c>
      <c r="W210" s="46">
        <v>0.011412</v>
      </c>
      <c r="X210" s="46">
        <v>0.002755</v>
      </c>
      <c r="Y210" s="46">
        <v>0</v>
      </c>
      <c r="Z210" s="46">
        <v>0</v>
      </c>
      <c r="AA210" s="68">
        <v>210</v>
      </c>
      <c r="AB210" s="68"/>
      <c r="AC210" s="69"/>
      <c r="AD210" s="76" t="s">
        <v>1455</v>
      </c>
      <c r="AE210" s="80" t="s">
        <v>1756</v>
      </c>
      <c r="AF210" s="76">
        <v>667</v>
      </c>
      <c r="AG210" s="76">
        <v>945</v>
      </c>
      <c r="AH210" s="76">
        <v>5597</v>
      </c>
      <c r="AI210" s="76">
        <v>84</v>
      </c>
      <c r="AJ210" s="76">
        <v>2661</v>
      </c>
      <c r="AK210" s="76">
        <v>278</v>
      </c>
      <c r="AL210" s="76" t="b">
        <v>0</v>
      </c>
      <c r="AM210" s="78">
        <v>40681.79079861111</v>
      </c>
      <c r="AN210" s="76" t="s">
        <v>1969</v>
      </c>
      <c r="AO210" s="76" t="s">
        <v>2240</v>
      </c>
      <c r="AP210" s="76"/>
      <c r="AQ210" s="76"/>
      <c r="AR210" s="76"/>
      <c r="AS210" s="76"/>
      <c r="AT210" s="76"/>
      <c r="AU210" s="76"/>
      <c r="AV210" s="76">
        <v>1.68973249387471E+18</v>
      </c>
      <c r="AW210" s="76"/>
      <c r="AX210" s="76" t="b">
        <v>0</v>
      </c>
      <c r="AY210" s="76"/>
      <c r="AZ210" s="76"/>
      <c r="BA210" s="76" t="b">
        <v>0</v>
      </c>
      <c r="BB210" s="76" t="b">
        <v>1</v>
      </c>
      <c r="BC210" s="76" t="b">
        <v>0</v>
      </c>
      <c r="BD210" s="76" t="b">
        <v>0</v>
      </c>
      <c r="BE210" s="76" t="b">
        <v>1</v>
      </c>
      <c r="BF210" s="76" t="b">
        <v>0</v>
      </c>
      <c r="BG210" s="76" t="b">
        <v>0</v>
      </c>
      <c r="BH210" s="82" t="str">
        <f>HYPERLINK("https://pbs.twimg.com/profile_banners/301021541/1687273237")</f>
        <v>https://pbs.twimg.com/profile_banners/301021541/1687273237</v>
      </c>
      <c r="BI210" s="76"/>
      <c r="BJ210" s="76" t="s">
        <v>2656</v>
      </c>
      <c r="BK210" s="76" t="b">
        <v>0</v>
      </c>
      <c r="BL210" s="76"/>
      <c r="BM210" s="76" t="s">
        <v>65</v>
      </c>
      <c r="BN210" s="76" t="s">
        <v>2657</v>
      </c>
      <c r="BO210" s="82" t="str">
        <f>HYPERLINK("https://twitter.com/christinadstone")</f>
        <v>https://twitter.com/christinadstone</v>
      </c>
      <c r="BP210" s="76" t="str">
        <f>REPLACE(INDEX(GroupVertices[Group],MATCH(Vertices[[#This Row],[Vertex]],GroupVertices[Vertex],0)),1,1,"")</f>
        <v>3</v>
      </c>
      <c r="BQ210" s="45"/>
      <c r="BR210" s="46"/>
      <c r="BS210" s="45"/>
      <c r="BT210" s="46"/>
      <c r="BU210" s="45"/>
      <c r="BV210" s="46"/>
      <c r="BW210" s="45"/>
      <c r="BX210" s="46"/>
      <c r="BY210" s="45"/>
      <c r="BZ210" s="45"/>
      <c r="CA210" s="45"/>
      <c r="CB210" s="45"/>
      <c r="CC210" s="45"/>
      <c r="CD210" s="45"/>
      <c r="CE210" s="45"/>
      <c r="CF210" s="45"/>
      <c r="CG210" s="45"/>
      <c r="CH210" s="45"/>
      <c r="CI210" s="45"/>
      <c r="CJ210" s="2"/>
    </row>
    <row r="211" spans="1:88" ht="15">
      <c r="A211" s="61" t="s">
        <v>454</v>
      </c>
      <c r="B211" s="62"/>
      <c r="C211" s="62"/>
      <c r="D211" s="63">
        <v>535</v>
      </c>
      <c r="E211" s="65"/>
      <c r="F211" s="100" t="str">
        <f>HYPERLINK("https://pbs.twimg.com/profile_images/378800000038724379/93d1f4435702db5e21e798f25ea80c06_normal.jpeg")</f>
        <v>https://pbs.twimg.com/profile_images/378800000038724379/93d1f4435702db5e21e798f25ea80c06_normal.jpeg</v>
      </c>
      <c r="G211" s="62"/>
      <c r="H211" s="66" t="s">
        <v>454</v>
      </c>
      <c r="I211" s="67"/>
      <c r="J211" s="67" t="s">
        <v>159</v>
      </c>
      <c r="K211" s="66" t="s">
        <v>2865</v>
      </c>
      <c r="L211" s="70">
        <v>477.0952380952381</v>
      </c>
      <c r="M211" s="71">
        <v>3203.79150390625</v>
      </c>
      <c r="N211" s="71">
        <v>898.9400024414062</v>
      </c>
      <c r="O211" s="72"/>
      <c r="P211" s="73"/>
      <c r="Q211" s="73"/>
      <c r="R211" s="86"/>
      <c r="S211" s="45">
        <v>1</v>
      </c>
      <c r="T211" s="45">
        <v>0</v>
      </c>
      <c r="U211" s="46">
        <v>0</v>
      </c>
      <c r="V211" s="46">
        <v>0.255569</v>
      </c>
      <c r="W211" s="46">
        <v>0.011412</v>
      </c>
      <c r="X211" s="46">
        <v>0.002755</v>
      </c>
      <c r="Y211" s="46">
        <v>0</v>
      </c>
      <c r="Z211" s="46">
        <v>0</v>
      </c>
      <c r="AA211" s="68">
        <v>211</v>
      </c>
      <c r="AB211" s="68"/>
      <c r="AC211" s="69"/>
      <c r="AD211" s="76" t="s">
        <v>1456</v>
      </c>
      <c r="AE211" s="80" t="s">
        <v>1757</v>
      </c>
      <c r="AF211" s="76">
        <v>424</v>
      </c>
      <c r="AG211" s="76">
        <v>54</v>
      </c>
      <c r="AH211" s="76">
        <v>2251</v>
      </c>
      <c r="AI211" s="76">
        <v>43</v>
      </c>
      <c r="AJ211" s="76">
        <v>40</v>
      </c>
      <c r="AK211" s="76">
        <v>192</v>
      </c>
      <c r="AL211" s="76" t="b">
        <v>0</v>
      </c>
      <c r="AM211" s="78">
        <v>40269.7869212963</v>
      </c>
      <c r="AN211" s="76" t="s">
        <v>1970</v>
      </c>
      <c r="AO211" s="76" t="s">
        <v>2241</v>
      </c>
      <c r="AP211" s="82" t="str">
        <f>HYPERLINK("https://t.co/7pA9rNGiUz")</f>
        <v>https://t.co/7pA9rNGiUz</v>
      </c>
      <c r="AQ211" s="82" t="str">
        <f>HYPERLINK("http://www.gzconsulting.org")</f>
        <v>http://www.gzconsulting.org</v>
      </c>
      <c r="AR211" s="76" t="s">
        <v>2501</v>
      </c>
      <c r="AS211" s="76"/>
      <c r="AT211" s="76"/>
      <c r="AU211" s="76"/>
      <c r="AV211" s="76">
        <v>1.49070097156291E+18</v>
      </c>
      <c r="AW211" s="82" t="str">
        <f>HYPERLINK("https://t.co/7pA9rNGiUz")</f>
        <v>https://t.co/7pA9rNGiUz</v>
      </c>
      <c r="AX211" s="76" t="b">
        <v>0</v>
      </c>
      <c r="AY211" s="76"/>
      <c r="AZ211" s="76"/>
      <c r="BA211" s="76" t="b">
        <v>0</v>
      </c>
      <c r="BB211" s="76" t="b">
        <v>1</v>
      </c>
      <c r="BC211" s="76" t="b">
        <v>1</v>
      </c>
      <c r="BD211" s="76" t="b">
        <v>0</v>
      </c>
      <c r="BE211" s="76" t="b">
        <v>1</v>
      </c>
      <c r="BF211" s="76" t="b">
        <v>0</v>
      </c>
      <c r="BG211" s="76" t="b">
        <v>0</v>
      </c>
      <c r="BH211" s="82" t="str">
        <f>HYPERLINK("https://pbs.twimg.com/profile_banners/128639455/1445609387")</f>
        <v>https://pbs.twimg.com/profile_banners/128639455/1445609387</v>
      </c>
      <c r="BI211" s="76"/>
      <c r="BJ211" s="76" t="s">
        <v>2656</v>
      </c>
      <c r="BK211" s="76" t="b">
        <v>0</v>
      </c>
      <c r="BL211" s="76"/>
      <c r="BM211" s="76" t="s">
        <v>65</v>
      </c>
      <c r="BN211" s="76" t="s">
        <v>2657</v>
      </c>
      <c r="BO211" s="82" t="str">
        <f>HYPERLINK("https://twitter.com/michael_r_levy")</f>
        <v>https://twitter.com/michael_r_levy</v>
      </c>
      <c r="BP211" s="76" t="str">
        <f>REPLACE(INDEX(GroupVertices[Group],MATCH(Vertices[[#This Row],[Vertex]],GroupVertices[Vertex],0)),1,1,"")</f>
        <v>3</v>
      </c>
      <c r="BQ211" s="45"/>
      <c r="BR211" s="46"/>
      <c r="BS211" s="45"/>
      <c r="BT211" s="46"/>
      <c r="BU211" s="45"/>
      <c r="BV211" s="46"/>
      <c r="BW211" s="45"/>
      <c r="BX211" s="46"/>
      <c r="BY211" s="45"/>
      <c r="BZ211" s="45"/>
      <c r="CA211" s="45"/>
      <c r="CB211" s="45"/>
      <c r="CC211" s="45"/>
      <c r="CD211" s="45"/>
      <c r="CE211" s="45"/>
      <c r="CF211" s="45"/>
      <c r="CG211" s="45"/>
      <c r="CH211" s="45"/>
      <c r="CI211" s="45"/>
      <c r="CJ211" s="2"/>
    </row>
    <row r="212" spans="1:88" ht="15">
      <c r="A212" s="61" t="s">
        <v>455</v>
      </c>
      <c r="B212" s="62"/>
      <c r="C212" s="62"/>
      <c r="D212" s="63">
        <v>535</v>
      </c>
      <c r="E212" s="65"/>
      <c r="F212" s="100" t="str">
        <f>HYPERLINK("https://pbs.twimg.com/profile_images/1674847141427019811/1MGGreOg_normal.jpg")</f>
        <v>https://pbs.twimg.com/profile_images/1674847141427019811/1MGGreOg_normal.jpg</v>
      </c>
      <c r="G212" s="62"/>
      <c r="H212" s="66" t="s">
        <v>455</v>
      </c>
      <c r="I212" s="67"/>
      <c r="J212" s="67" t="s">
        <v>159</v>
      </c>
      <c r="K212" s="66" t="s">
        <v>2866</v>
      </c>
      <c r="L212" s="70">
        <v>477.0952380952381</v>
      </c>
      <c r="M212" s="71">
        <v>2334.111572265625</v>
      </c>
      <c r="N212" s="71">
        <v>2820.044189453125</v>
      </c>
      <c r="O212" s="72"/>
      <c r="P212" s="73"/>
      <c r="Q212" s="73"/>
      <c r="R212" s="86"/>
      <c r="S212" s="45">
        <v>1</v>
      </c>
      <c r="T212" s="45">
        <v>0</v>
      </c>
      <c r="U212" s="46">
        <v>0</v>
      </c>
      <c r="V212" s="46">
        <v>0.255569</v>
      </c>
      <c r="W212" s="46">
        <v>0.011412</v>
      </c>
      <c r="X212" s="46">
        <v>0.002755</v>
      </c>
      <c r="Y212" s="46">
        <v>0</v>
      </c>
      <c r="Z212" s="46">
        <v>0</v>
      </c>
      <c r="AA212" s="68">
        <v>212</v>
      </c>
      <c r="AB212" s="68"/>
      <c r="AC212" s="69"/>
      <c r="AD212" s="76" t="s">
        <v>1457</v>
      </c>
      <c r="AE212" s="80" t="s">
        <v>1758</v>
      </c>
      <c r="AF212" s="76">
        <v>33248</v>
      </c>
      <c r="AG212" s="76">
        <v>14091</v>
      </c>
      <c r="AH212" s="76">
        <v>24479</v>
      </c>
      <c r="AI212" s="76">
        <v>1052</v>
      </c>
      <c r="AJ212" s="76">
        <v>22969</v>
      </c>
      <c r="AK212" s="76">
        <v>5767</v>
      </c>
      <c r="AL212" s="76" t="b">
        <v>0</v>
      </c>
      <c r="AM212" s="78">
        <v>41132.94899305556</v>
      </c>
      <c r="AN212" s="76" t="s">
        <v>1971</v>
      </c>
      <c r="AO212" s="76" t="s">
        <v>2242</v>
      </c>
      <c r="AP212" s="82" t="str">
        <f>HYPERLINK("https://t.co/0FTRJCZHB3")</f>
        <v>https://t.co/0FTRJCZHB3</v>
      </c>
      <c r="AQ212" s="82" t="str">
        <f>HYPERLINK("http://linktr.ee/g2dotcom")</f>
        <v>http://linktr.ee/g2dotcom</v>
      </c>
      <c r="AR212" s="76" t="s">
        <v>2502</v>
      </c>
      <c r="AS212" s="76"/>
      <c r="AT212" s="76"/>
      <c r="AU212" s="76"/>
      <c r="AV212" s="76">
        <v>1.69942812686487E+18</v>
      </c>
      <c r="AW212" s="82" t="str">
        <f>HYPERLINK("https://t.co/0FTRJCZHB3")</f>
        <v>https://t.co/0FTRJCZHB3</v>
      </c>
      <c r="AX212" s="76" t="b">
        <v>1</v>
      </c>
      <c r="AY212" s="76"/>
      <c r="AZ212" s="76"/>
      <c r="BA212" s="76" t="b">
        <v>1</v>
      </c>
      <c r="BB212" s="76" t="b">
        <v>1</v>
      </c>
      <c r="BC212" s="76" t="b">
        <v>0</v>
      </c>
      <c r="BD212" s="76" t="b">
        <v>0</v>
      </c>
      <c r="BE212" s="76" t="b">
        <v>0</v>
      </c>
      <c r="BF212" s="76" t="b">
        <v>0</v>
      </c>
      <c r="BG212" s="76" t="b">
        <v>0</v>
      </c>
      <c r="BH212" s="82" t="str">
        <f>HYPERLINK("https://pbs.twimg.com/profile_banners/752028078/1682612196")</f>
        <v>https://pbs.twimg.com/profile_banners/752028078/1682612196</v>
      </c>
      <c r="BI212" s="76"/>
      <c r="BJ212" s="76" t="s">
        <v>2656</v>
      </c>
      <c r="BK212" s="76" t="b">
        <v>0</v>
      </c>
      <c r="BL212" s="76"/>
      <c r="BM212" s="76" t="s">
        <v>65</v>
      </c>
      <c r="BN212" s="76" t="s">
        <v>2657</v>
      </c>
      <c r="BO212" s="82" t="str">
        <f>HYPERLINK("https://twitter.com/g2dotcom")</f>
        <v>https://twitter.com/g2dotcom</v>
      </c>
      <c r="BP212" s="76" t="str">
        <f>REPLACE(INDEX(GroupVertices[Group],MATCH(Vertices[[#This Row],[Vertex]],GroupVertices[Vertex],0)),1,1,"")</f>
        <v>3</v>
      </c>
      <c r="BQ212" s="45"/>
      <c r="BR212" s="46"/>
      <c r="BS212" s="45"/>
      <c r="BT212" s="46"/>
      <c r="BU212" s="45"/>
      <c r="BV212" s="46"/>
      <c r="BW212" s="45"/>
      <c r="BX212" s="46"/>
      <c r="BY212" s="45"/>
      <c r="BZ212" s="45"/>
      <c r="CA212" s="45"/>
      <c r="CB212" s="45"/>
      <c r="CC212" s="45"/>
      <c r="CD212" s="45"/>
      <c r="CE212" s="45"/>
      <c r="CF212" s="45"/>
      <c r="CG212" s="45"/>
      <c r="CH212" s="45"/>
      <c r="CI212" s="45"/>
      <c r="CJ212" s="2"/>
    </row>
    <row r="213" spans="1:88" ht="15">
      <c r="A213" s="61" t="s">
        <v>456</v>
      </c>
      <c r="B213" s="62"/>
      <c r="C213" s="62"/>
      <c r="D213" s="63">
        <v>535</v>
      </c>
      <c r="E213" s="65"/>
      <c r="F213" s="100" t="str">
        <f>HYPERLINK("https://pbs.twimg.com/profile_images/1564636818879954945/6UxOweQw_normal.jpg")</f>
        <v>https://pbs.twimg.com/profile_images/1564636818879954945/6UxOweQw_normal.jpg</v>
      </c>
      <c r="G213" s="62"/>
      <c r="H213" s="66" t="s">
        <v>456</v>
      </c>
      <c r="I213" s="67"/>
      <c r="J213" s="67" t="s">
        <v>159</v>
      </c>
      <c r="K213" s="66" t="s">
        <v>2867</v>
      </c>
      <c r="L213" s="70">
        <v>477.0952380952381</v>
      </c>
      <c r="M213" s="71">
        <v>3611.92578125</v>
      </c>
      <c r="N213" s="71">
        <v>2421.29736328125</v>
      </c>
      <c r="O213" s="72"/>
      <c r="P213" s="73"/>
      <c r="Q213" s="73"/>
      <c r="R213" s="86"/>
      <c r="S213" s="45">
        <v>1</v>
      </c>
      <c r="T213" s="45">
        <v>0</v>
      </c>
      <c r="U213" s="46">
        <v>0</v>
      </c>
      <c r="V213" s="46">
        <v>0.255569</v>
      </c>
      <c r="W213" s="46">
        <v>0.011412</v>
      </c>
      <c r="X213" s="46">
        <v>0.002755</v>
      </c>
      <c r="Y213" s="46">
        <v>0</v>
      </c>
      <c r="Z213" s="46">
        <v>0</v>
      </c>
      <c r="AA213" s="68">
        <v>213</v>
      </c>
      <c r="AB213" s="68"/>
      <c r="AC213" s="69"/>
      <c r="AD213" s="76" t="s">
        <v>1458</v>
      </c>
      <c r="AE213" s="80" t="s">
        <v>1759</v>
      </c>
      <c r="AF213" s="76">
        <v>4638</v>
      </c>
      <c r="AG213" s="76">
        <v>4926</v>
      </c>
      <c r="AH213" s="76">
        <v>12591</v>
      </c>
      <c r="AI213" s="76">
        <v>378</v>
      </c>
      <c r="AJ213" s="76">
        <v>10326</v>
      </c>
      <c r="AK213" s="76">
        <v>3732</v>
      </c>
      <c r="AL213" s="76" t="b">
        <v>0</v>
      </c>
      <c r="AM213" s="78">
        <v>41165.67159722222</v>
      </c>
      <c r="AN213" s="76" t="s">
        <v>1972</v>
      </c>
      <c r="AO213" s="76" t="s">
        <v>2243</v>
      </c>
      <c r="AP213" s="82" t="str">
        <f>HYPERLINK("https://t.co/9OF5qchg8x")</f>
        <v>https://t.co/9OF5qchg8x</v>
      </c>
      <c r="AQ213" s="82" t="str">
        <f>HYPERLINK("http://www.trustradius.com")</f>
        <v>http://www.trustradius.com</v>
      </c>
      <c r="AR213" s="76" t="s">
        <v>2503</v>
      </c>
      <c r="AS213" s="76"/>
      <c r="AT213" s="76"/>
      <c r="AU213" s="76"/>
      <c r="AV213" s="76">
        <v>1.19683953193855E+18</v>
      </c>
      <c r="AW213" s="82" t="str">
        <f>HYPERLINK("https://t.co/9OF5qchg8x")</f>
        <v>https://t.co/9OF5qchg8x</v>
      </c>
      <c r="AX213" s="76" t="b">
        <v>0</v>
      </c>
      <c r="AY213" s="76"/>
      <c r="AZ213" s="76"/>
      <c r="BA213" s="76" t="b">
        <v>1</v>
      </c>
      <c r="BB213" s="76" t="b">
        <v>1</v>
      </c>
      <c r="BC213" s="76" t="b">
        <v>0</v>
      </c>
      <c r="BD213" s="76" t="b">
        <v>0</v>
      </c>
      <c r="BE213" s="76" t="b">
        <v>0</v>
      </c>
      <c r="BF213" s="76" t="b">
        <v>0</v>
      </c>
      <c r="BG213" s="76" t="b">
        <v>0</v>
      </c>
      <c r="BH213" s="82" t="str">
        <f>HYPERLINK("https://pbs.twimg.com/profile_banners/821758980/1661873463")</f>
        <v>https://pbs.twimg.com/profile_banners/821758980/1661873463</v>
      </c>
      <c r="BI213" s="76"/>
      <c r="BJ213" s="76" t="s">
        <v>2656</v>
      </c>
      <c r="BK213" s="76" t="b">
        <v>0</v>
      </c>
      <c r="BL213" s="76"/>
      <c r="BM213" s="76" t="s">
        <v>65</v>
      </c>
      <c r="BN213" s="76" t="s">
        <v>2657</v>
      </c>
      <c r="BO213" s="82" t="str">
        <f>HYPERLINK("https://twitter.com/trustradius")</f>
        <v>https://twitter.com/trustradius</v>
      </c>
      <c r="BP213" s="76" t="str">
        <f>REPLACE(INDEX(GroupVertices[Group],MATCH(Vertices[[#This Row],[Vertex]],GroupVertices[Vertex],0)),1,1,"")</f>
        <v>3</v>
      </c>
      <c r="BQ213" s="45"/>
      <c r="BR213" s="46"/>
      <c r="BS213" s="45"/>
      <c r="BT213" s="46"/>
      <c r="BU213" s="45"/>
      <c r="BV213" s="46"/>
      <c r="BW213" s="45"/>
      <c r="BX213" s="46"/>
      <c r="BY213" s="45"/>
      <c r="BZ213" s="45"/>
      <c r="CA213" s="45"/>
      <c r="CB213" s="45"/>
      <c r="CC213" s="45"/>
      <c r="CD213" s="45"/>
      <c r="CE213" s="45"/>
      <c r="CF213" s="45"/>
      <c r="CG213" s="45"/>
      <c r="CH213" s="45"/>
      <c r="CI213" s="45"/>
      <c r="CJ213" s="2"/>
    </row>
    <row r="214" spans="1:88" ht="15">
      <c r="A214" s="61" t="s">
        <v>457</v>
      </c>
      <c r="B214" s="62"/>
      <c r="C214" s="62"/>
      <c r="D214" s="63">
        <v>535</v>
      </c>
      <c r="E214" s="65"/>
      <c r="F214" s="100" t="str">
        <f>HYPERLINK("https://pbs.twimg.com/profile_images/1543406320472268800/mPQU3tg__normal.jpg")</f>
        <v>https://pbs.twimg.com/profile_images/1543406320472268800/mPQU3tg__normal.jpg</v>
      </c>
      <c r="G214" s="62"/>
      <c r="H214" s="66" t="s">
        <v>457</v>
      </c>
      <c r="I214" s="67"/>
      <c r="J214" s="67" t="s">
        <v>159</v>
      </c>
      <c r="K214" s="66" t="s">
        <v>2868</v>
      </c>
      <c r="L214" s="70">
        <v>477.0952380952381</v>
      </c>
      <c r="M214" s="71">
        <v>272.7397766113281</v>
      </c>
      <c r="N214" s="71">
        <v>1948.393798828125</v>
      </c>
      <c r="O214" s="72"/>
      <c r="P214" s="73"/>
      <c r="Q214" s="73"/>
      <c r="R214" s="86"/>
      <c r="S214" s="45">
        <v>1</v>
      </c>
      <c r="T214" s="45">
        <v>0</v>
      </c>
      <c r="U214" s="46">
        <v>0</v>
      </c>
      <c r="V214" s="46">
        <v>0.255569</v>
      </c>
      <c r="W214" s="46">
        <v>0.011412</v>
      </c>
      <c r="X214" s="46">
        <v>0.002755</v>
      </c>
      <c r="Y214" s="46">
        <v>0</v>
      </c>
      <c r="Z214" s="46">
        <v>0</v>
      </c>
      <c r="AA214" s="68">
        <v>214</v>
      </c>
      <c r="AB214" s="68"/>
      <c r="AC214" s="69"/>
      <c r="AD214" s="76" t="s">
        <v>1459</v>
      </c>
      <c r="AE214" s="80" t="s">
        <v>1760</v>
      </c>
      <c r="AF214" s="76">
        <v>24046</v>
      </c>
      <c r="AG214" s="76">
        <v>1530</v>
      </c>
      <c r="AH214" s="76">
        <v>22370</v>
      </c>
      <c r="AI214" s="76">
        <v>650</v>
      </c>
      <c r="AJ214" s="76">
        <v>8625</v>
      </c>
      <c r="AK214" s="76">
        <v>7066</v>
      </c>
      <c r="AL214" s="76" t="b">
        <v>0</v>
      </c>
      <c r="AM214" s="78">
        <v>39853.75634259259</v>
      </c>
      <c r="AN214" s="76" t="s">
        <v>1973</v>
      </c>
      <c r="AO214" s="76" t="s">
        <v>2244</v>
      </c>
      <c r="AP214" s="82" t="str">
        <f>HYPERLINK("https://t.co/yL8TlcaJtP")</f>
        <v>https://t.co/yL8TlcaJtP</v>
      </c>
      <c r="AQ214" s="82" t="str">
        <f>HYPERLINK("http://bit.ly/ZoomInfo")</f>
        <v>http://bit.ly/ZoomInfo</v>
      </c>
      <c r="AR214" s="76" t="s">
        <v>2504</v>
      </c>
      <c r="AS214" s="82" t="str">
        <f>HYPERLINK("https://t.co/AvbcTWebdD")</f>
        <v>https://t.co/AvbcTWebdD</v>
      </c>
      <c r="AT214" s="82" t="str">
        <f>HYPERLINK("http://bit.ly/2Z7Yq2")</f>
        <v>http://bit.ly/2Z7Yq2</v>
      </c>
      <c r="AU214" s="76" t="s">
        <v>2640</v>
      </c>
      <c r="AV214" s="76">
        <v>1.67841880354426E+18</v>
      </c>
      <c r="AW214" s="82" t="str">
        <f>HYPERLINK("https://t.co/yL8TlcaJtP")</f>
        <v>https://t.co/yL8TlcaJtP</v>
      </c>
      <c r="AX214" s="76" t="b">
        <v>0</v>
      </c>
      <c r="AY214" s="76"/>
      <c r="AZ214" s="76"/>
      <c r="BA214" s="76" t="b">
        <v>1</v>
      </c>
      <c r="BB214" s="76" t="b">
        <v>1</v>
      </c>
      <c r="BC214" s="76" t="b">
        <v>0</v>
      </c>
      <c r="BD214" s="76" t="b">
        <v>0</v>
      </c>
      <c r="BE214" s="76" t="b">
        <v>1</v>
      </c>
      <c r="BF214" s="76" t="b">
        <v>0</v>
      </c>
      <c r="BG214" s="76" t="b">
        <v>0</v>
      </c>
      <c r="BH214" s="82" t="str">
        <f>HYPERLINK("https://pbs.twimg.com/profile_banners/20453073/1688993873")</f>
        <v>https://pbs.twimg.com/profile_banners/20453073/1688993873</v>
      </c>
      <c r="BI214" s="76"/>
      <c r="BJ214" s="76" t="s">
        <v>2656</v>
      </c>
      <c r="BK214" s="76" t="b">
        <v>0</v>
      </c>
      <c r="BL214" s="76"/>
      <c r="BM214" s="76" t="s">
        <v>65</v>
      </c>
      <c r="BN214" s="76" t="s">
        <v>2657</v>
      </c>
      <c r="BO214" s="82" t="str">
        <f>HYPERLINK("https://twitter.com/zoominfo")</f>
        <v>https://twitter.com/zoominfo</v>
      </c>
      <c r="BP214" s="76" t="str">
        <f>REPLACE(INDEX(GroupVertices[Group],MATCH(Vertices[[#This Row],[Vertex]],GroupVertices[Vertex],0)),1,1,"")</f>
        <v>3</v>
      </c>
      <c r="BQ214" s="45"/>
      <c r="BR214" s="46"/>
      <c r="BS214" s="45"/>
      <c r="BT214" s="46"/>
      <c r="BU214" s="45"/>
      <c r="BV214" s="46"/>
      <c r="BW214" s="45"/>
      <c r="BX214" s="46"/>
      <c r="BY214" s="45"/>
      <c r="BZ214" s="45"/>
      <c r="CA214" s="45"/>
      <c r="CB214" s="45"/>
      <c r="CC214" s="45"/>
      <c r="CD214" s="45"/>
      <c r="CE214" s="45"/>
      <c r="CF214" s="45"/>
      <c r="CG214" s="45"/>
      <c r="CH214" s="45"/>
      <c r="CI214" s="45"/>
      <c r="CJ214" s="2"/>
    </row>
    <row r="215" spans="1:88" ht="15">
      <c r="A215" s="61" t="s">
        <v>458</v>
      </c>
      <c r="B215" s="62"/>
      <c r="C215" s="62"/>
      <c r="D215" s="63">
        <v>535</v>
      </c>
      <c r="E215" s="65"/>
      <c r="F215" s="100" t="str">
        <f>HYPERLINK("https://pbs.twimg.com/profile_images/601020618084081666/SJI2wE7y_normal.png")</f>
        <v>https://pbs.twimg.com/profile_images/601020618084081666/SJI2wE7y_normal.png</v>
      </c>
      <c r="G215" s="62"/>
      <c r="H215" s="66" t="s">
        <v>458</v>
      </c>
      <c r="I215" s="67"/>
      <c r="J215" s="67" t="s">
        <v>159</v>
      </c>
      <c r="K215" s="66" t="s">
        <v>2869</v>
      </c>
      <c r="L215" s="70">
        <v>477.0952380952381</v>
      </c>
      <c r="M215" s="71">
        <v>1135.5113525390625</v>
      </c>
      <c r="N215" s="71">
        <v>2201.48486328125</v>
      </c>
      <c r="O215" s="72"/>
      <c r="P215" s="73"/>
      <c r="Q215" s="73"/>
      <c r="R215" s="86"/>
      <c r="S215" s="45">
        <v>1</v>
      </c>
      <c r="T215" s="45">
        <v>0</v>
      </c>
      <c r="U215" s="46">
        <v>0</v>
      </c>
      <c r="V215" s="46">
        <v>0.255569</v>
      </c>
      <c r="W215" s="46">
        <v>0.011412</v>
      </c>
      <c r="X215" s="46">
        <v>0.002755</v>
      </c>
      <c r="Y215" s="46">
        <v>0</v>
      </c>
      <c r="Z215" s="46">
        <v>0</v>
      </c>
      <c r="AA215" s="68">
        <v>215</v>
      </c>
      <c r="AB215" s="68"/>
      <c r="AC215" s="69"/>
      <c r="AD215" s="76" t="s">
        <v>1460</v>
      </c>
      <c r="AE215" s="80" t="s">
        <v>1761</v>
      </c>
      <c r="AF215" s="76">
        <v>12256</v>
      </c>
      <c r="AG215" s="76">
        <v>6692</v>
      </c>
      <c r="AH215" s="76">
        <v>22467</v>
      </c>
      <c r="AI215" s="76">
        <v>624</v>
      </c>
      <c r="AJ215" s="76">
        <v>3134</v>
      </c>
      <c r="AK215" s="76">
        <v>6370</v>
      </c>
      <c r="AL215" s="76" t="b">
        <v>0</v>
      </c>
      <c r="AM215" s="78">
        <v>39813.58886574074</v>
      </c>
      <c r="AN215" s="76" t="s">
        <v>1974</v>
      </c>
      <c r="AO215" s="76" t="s">
        <v>2245</v>
      </c>
      <c r="AP215" s="82" t="str">
        <f>HYPERLINK("https://t.co/TiTKfhIgbq")</f>
        <v>https://t.co/TiTKfhIgbq</v>
      </c>
      <c r="AQ215" s="82" t="str">
        <f>HYPERLINK("http://www.DemandGenReport.com")</f>
        <v>http://www.DemandGenReport.com</v>
      </c>
      <c r="AR215" s="76" t="s">
        <v>2505</v>
      </c>
      <c r="AS215" s="76"/>
      <c r="AT215" s="76"/>
      <c r="AU215" s="76"/>
      <c r="AV215" s="76">
        <v>1.69989131302436E+18</v>
      </c>
      <c r="AW215" s="82" t="str">
        <f>HYPERLINK("https://t.co/TiTKfhIgbq")</f>
        <v>https://t.co/TiTKfhIgbq</v>
      </c>
      <c r="AX215" s="76" t="b">
        <v>0</v>
      </c>
      <c r="AY215" s="76"/>
      <c r="AZ215" s="76"/>
      <c r="BA215" s="76" t="b">
        <v>1</v>
      </c>
      <c r="BB215" s="76" t="b">
        <v>1</v>
      </c>
      <c r="BC215" s="76" t="b">
        <v>0</v>
      </c>
      <c r="BD215" s="76" t="b">
        <v>0</v>
      </c>
      <c r="BE215" s="76" t="b">
        <v>0</v>
      </c>
      <c r="BF215" s="76" t="b">
        <v>0</v>
      </c>
      <c r="BG215" s="76" t="b">
        <v>0</v>
      </c>
      <c r="BH215" s="82" t="str">
        <f>HYPERLINK("https://pbs.twimg.com/profile_banners/18506638/1692369293")</f>
        <v>https://pbs.twimg.com/profile_banners/18506638/1692369293</v>
      </c>
      <c r="BI215" s="76"/>
      <c r="BJ215" s="76" t="s">
        <v>2656</v>
      </c>
      <c r="BK215" s="76" t="b">
        <v>0</v>
      </c>
      <c r="BL215" s="76"/>
      <c r="BM215" s="76" t="s">
        <v>65</v>
      </c>
      <c r="BN215" s="76" t="s">
        <v>2657</v>
      </c>
      <c r="BO215" s="82" t="str">
        <f>HYPERLINK("https://twitter.com/dg_report")</f>
        <v>https://twitter.com/dg_report</v>
      </c>
      <c r="BP215" s="76" t="str">
        <f>REPLACE(INDEX(GroupVertices[Group],MATCH(Vertices[[#This Row],[Vertex]],GroupVertices[Vertex],0)),1,1,"")</f>
        <v>3</v>
      </c>
      <c r="BQ215" s="45"/>
      <c r="BR215" s="46"/>
      <c r="BS215" s="45"/>
      <c r="BT215" s="46"/>
      <c r="BU215" s="45"/>
      <c r="BV215" s="46"/>
      <c r="BW215" s="45"/>
      <c r="BX215" s="46"/>
      <c r="BY215" s="45"/>
      <c r="BZ215" s="45"/>
      <c r="CA215" s="45"/>
      <c r="CB215" s="45"/>
      <c r="CC215" s="45"/>
      <c r="CD215" s="45"/>
      <c r="CE215" s="45"/>
      <c r="CF215" s="45"/>
      <c r="CG215" s="45"/>
      <c r="CH215" s="45"/>
      <c r="CI215" s="45"/>
      <c r="CJ215" s="2"/>
    </row>
    <row r="216" spans="1:88" ht="15">
      <c r="A216" s="61" t="s">
        <v>459</v>
      </c>
      <c r="B216" s="62"/>
      <c r="C216" s="62"/>
      <c r="D216" s="63">
        <v>535</v>
      </c>
      <c r="E216" s="65"/>
      <c r="F216" s="100" t="str">
        <f>HYPERLINK("https://pbs.twimg.com/profile_images/1679502935317684224/0C3lDDoQ_normal.jpg")</f>
        <v>https://pbs.twimg.com/profile_images/1679502935317684224/0C3lDDoQ_normal.jpg</v>
      </c>
      <c r="G216" s="62"/>
      <c r="H216" s="66" t="s">
        <v>459</v>
      </c>
      <c r="I216" s="67"/>
      <c r="J216" s="67" t="s">
        <v>159</v>
      </c>
      <c r="K216" s="66" t="s">
        <v>2870</v>
      </c>
      <c r="L216" s="70">
        <v>477.0952380952381</v>
      </c>
      <c r="M216" s="71">
        <v>2564.99951171875</v>
      </c>
      <c r="N216" s="71">
        <v>564.18310546875</v>
      </c>
      <c r="O216" s="72"/>
      <c r="P216" s="73"/>
      <c r="Q216" s="73"/>
      <c r="R216" s="86"/>
      <c r="S216" s="45">
        <v>1</v>
      </c>
      <c r="T216" s="45">
        <v>0</v>
      </c>
      <c r="U216" s="46">
        <v>0</v>
      </c>
      <c r="V216" s="46">
        <v>0.255569</v>
      </c>
      <c r="W216" s="46">
        <v>0.011412</v>
      </c>
      <c r="X216" s="46">
        <v>0.002755</v>
      </c>
      <c r="Y216" s="46">
        <v>0</v>
      </c>
      <c r="Z216" s="46">
        <v>0</v>
      </c>
      <c r="AA216" s="68">
        <v>216</v>
      </c>
      <c r="AB216" s="68"/>
      <c r="AC216" s="69"/>
      <c r="AD216" s="76" t="s">
        <v>1461</v>
      </c>
      <c r="AE216" s="80" t="s">
        <v>1762</v>
      </c>
      <c r="AF216" s="76">
        <v>26606</v>
      </c>
      <c r="AG216" s="76">
        <v>3231</v>
      </c>
      <c r="AH216" s="76">
        <v>12109</v>
      </c>
      <c r="AI216" s="76">
        <v>1011</v>
      </c>
      <c r="AJ216" s="76">
        <v>10226</v>
      </c>
      <c r="AK216" s="76">
        <v>4458</v>
      </c>
      <c r="AL216" s="76" t="b">
        <v>0</v>
      </c>
      <c r="AM216" s="78">
        <v>39826.7753125</v>
      </c>
      <c r="AN216" s="76" t="s">
        <v>1975</v>
      </c>
      <c r="AO216" s="76" t="s">
        <v>2246</v>
      </c>
      <c r="AP216" s="82" t="str">
        <f>HYPERLINK("https://t.co/7FPrt1LXhv")</f>
        <v>https://t.co/7FPrt1LXhv</v>
      </c>
      <c r="AQ216" s="82" t="str">
        <f>HYPERLINK("https://www.techtarget.com")</f>
        <v>https://www.techtarget.com</v>
      </c>
      <c r="AR216" s="76" t="s">
        <v>2506</v>
      </c>
      <c r="AS216" s="76"/>
      <c r="AT216" s="76"/>
      <c r="AU216" s="76"/>
      <c r="AV216" s="76"/>
      <c r="AW216" s="82" t="str">
        <f>HYPERLINK("https://t.co/7FPrt1LXhv")</f>
        <v>https://t.co/7FPrt1LXhv</v>
      </c>
      <c r="AX216" s="76" t="b">
        <v>0</v>
      </c>
      <c r="AY216" s="76"/>
      <c r="AZ216" s="76"/>
      <c r="BA216" s="76" t="b">
        <v>1</v>
      </c>
      <c r="BB216" s="76" t="b">
        <v>0</v>
      </c>
      <c r="BC216" s="76" t="b">
        <v>0</v>
      </c>
      <c r="BD216" s="76" t="b">
        <v>0</v>
      </c>
      <c r="BE216" s="76" t="b">
        <v>1</v>
      </c>
      <c r="BF216" s="76" t="b">
        <v>0</v>
      </c>
      <c r="BG216" s="76" t="b">
        <v>0</v>
      </c>
      <c r="BH216" s="82" t="str">
        <f>HYPERLINK("https://pbs.twimg.com/profile_banners/18947406/1669152332")</f>
        <v>https://pbs.twimg.com/profile_banners/18947406/1669152332</v>
      </c>
      <c r="BI216" s="76"/>
      <c r="BJ216" s="76" t="s">
        <v>2656</v>
      </c>
      <c r="BK216" s="76" t="b">
        <v>0</v>
      </c>
      <c r="BL216" s="76"/>
      <c r="BM216" s="76" t="s">
        <v>65</v>
      </c>
      <c r="BN216" s="76" t="s">
        <v>2657</v>
      </c>
      <c r="BO216" s="82" t="str">
        <f>HYPERLINK("https://twitter.com/techtarget")</f>
        <v>https://twitter.com/techtarget</v>
      </c>
      <c r="BP216" s="76" t="str">
        <f>REPLACE(INDEX(GroupVertices[Group],MATCH(Vertices[[#This Row],[Vertex]],GroupVertices[Vertex],0)),1,1,"")</f>
        <v>3</v>
      </c>
      <c r="BQ216" s="45"/>
      <c r="BR216" s="46"/>
      <c r="BS216" s="45"/>
      <c r="BT216" s="46"/>
      <c r="BU216" s="45"/>
      <c r="BV216" s="46"/>
      <c r="BW216" s="45"/>
      <c r="BX216" s="46"/>
      <c r="BY216" s="45"/>
      <c r="BZ216" s="45"/>
      <c r="CA216" s="45"/>
      <c r="CB216" s="45"/>
      <c r="CC216" s="45"/>
      <c r="CD216" s="45"/>
      <c r="CE216" s="45"/>
      <c r="CF216" s="45"/>
      <c r="CG216" s="45"/>
      <c r="CH216" s="45"/>
      <c r="CI216" s="45"/>
      <c r="CJ216" s="2"/>
    </row>
    <row r="217" spans="1:88" ht="15">
      <c r="A217" s="61" t="s">
        <v>460</v>
      </c>
      <c r="B217" s="62"/>
      <c r="C217" s="62"/>
      <c r="D217" s="63">
        <v>535</v>
      </c>
      <c r="E217" s="65"/>
      <c r="F217" s="100" t="str">
        <f>HYPERLINK("https://pbs.twimg.com/profile_images/1636476308992524290/a1o9tlaG_normal.jpg")</f>
        <v>https://pbs.twimg.com/profile_images/1636476308992524290/a1o9tlaG_normal.jpg</v>
      </c>
      <c r="G217" s="62"/>
      <c r="H217" s="66" t="s">
        <v>460</v>
      </c>
      <c r="I217" s="67"/>
      <c r="J217" s="67" t="s">
        <v>159</v>
      </c>
      <c r="K217" s="66" t="s">
        <v>2871</v>
      </c>
      <c r="L217" s="70">
        <v>477.0952380952381</v>
      </c>
      <c r="M217" s="71">
        <v>1303.1429443359375</v>
      </c>
      <c r="N217" s="71">
        <v>1093.4072265625</v>
      </c>
      <c r="O217" s="72"/>
      <c r="P217" s="73"/>
      <c r="Q217" s="73"/>
      <c r="R217" s="86"/>
      <c r="S217" s="45">
        <v>1</v>
      </c>
      <c r="T217" s="45">
        <v>0</v>
      </c>
      <c r="U217" s="46">
        <v>0</v>
      </c>
      <c r="V217" s="46">
        <v>0.255569</v>
      </c>
      <c r="W217" s="46">
        <v>0.011412</v>
      </c>
      <c r="X217" s="46">
        <v>0.002755</v>
      </c>
      <c r="Y217" s="46">
        <v>0</v>
      </c>
      <c r="Z217" s="46">
        <v>0</v>
      </c>
      <c r="AA217" s="68">
        <v>217</v>
      </c>
      <c r="AB217" s="68"/>
      <c r="AC217" s="69"/>
      <c r="AD217" s="76" t="s">
        <v>1462</v>
      </c>
      <c r="AE217" s="80" t="s">
        <v>1763</v>
      </c>
      <c r="AF217" s="76">
        <v>190</v>
      </c>
      <c r="AG217" s="76">
        <v>462</v>
      </c>
      <c r="AH217" s="76">
        <v>591</v>
      </c>
      <c r="AI217" s="76">
        <v>3</v>
      </c>
      <c r="AJ217" s="76">
        <v>112</v>
      </c>
      <c r="AK217" s="76">
        <v>81</v>
      </c>
      <c r="AL217" s="76" t="b">
        <v>0</v>
      </c>
      <c r="AM217" s="78">
        <v>43374.62671296296</v>
      </c>
      <c r="AN217" s="76" t="s">
        <v>1976</v>
      </c>
      <c r="AO217" s="76" t="s">
        <v>2247</v>
      </c>
      <c r="AP217" s="82" t="str">
        <f>HYPERLINK("https://t.co/e6b7tiM4wL")</f>
        <v>https://t.co/e6b7tiM4wL</v>
      </c>
      <c r="AQ217" s="82" t="str">
        <f>HYPERLINK("http://www.Intentsify.io")</f>
        <v>http://www.Intentsify.io</v>
      </c>
      <c r="AR217" s="76" t="s">
        <v>2507</v>
      </c>
      <c r="AS217" s="76"/>
      <c r="AT217" s="76"/>
      <c r="AU217" s="76"/>
      <c r="AV217" s="76"/>
      <c r="AW217" s="82" t="str">
        <f>HYPERLINK("https://t.co/e6b7tiM4wL")</f>
        <v>https://t.co/e6b7tiM4wL</v>
      </c>
      <c r="AX217" s="76" t="b">
        <v>0</v>
      </c>
      <c r="AY217" s="76"/>
      <c r="AZ217" s="76"/>
      <c r="BA217" s="76" t="b">
        <v>0</v>
      </c>
      <c r="BB217" s="76" t="b">
        <v>1</v>
      </c>
      <c r="BC217" s="76" t="b">
        <v>0</v>
      </c>
      <c r="BD217" s="76" t="b">
        <v>0</v>
      </c>
      <c r="BE217" s="76" t="b">
        <v>0</v>
      </c>
      <c r="BF217" s="76" t="b">
        <v>0</v>
      </c>
      <c r="BG217" s="76" t="b">
        <v>0</v>
      </c>
      <c r="BH217" s="82" t="str">
        <f>HYPERLINK("https://pbs.twimg.com/profile_banners/1046777370953355265/1679001332")</f>
        <v>https://pbs.twimg.com/profile_banners/1046777370953355265/1679001332</v>
      </c>
      <c r="BI217" s="76"/>
      <c r="BJ217" s="76" t="s">
        <v>2656</v>
      </c>
      <c r="BK217" s="76" t="b">
        <v>0</v>
      </c>
      <c r="BL217" s="76"/>
      <c r="BM217" s="76" t="s">
        <v>65</v>
      </c>
      <c r="BN217" s="76" t="s">
        <v>2657</v>
      </c>
      <c r="BO217" s="82" t="str">
        <f>HYPERLINK("https://twitter.com/intentsify")</f>
        <v>https://twitter.com/intentsify</v>
      </c>
      <c r="BP217" s="76" t="str">
        <f>REPLACE(INDEX(GroupVertices[Group],MATCH(Vertices[[#This Row],[Vertex]],GroupVertices[Vertex],0)),1,1,"")</f>
        <v>3</v>
      </c>
      <c r="BQ217" s="45"/>
      <c r="BR217" s="46"/>
      <c r="BS217" s="45"/>
      <c r="BT217" s="46"/>
      <c r="BU217" s="45"/>
      <c r="BV217" s="46"/>
      <c r="BW217" s="45"/>
      <c r="BX217" s="46"/>
      <c r="BY217" s="45"/>
      <c r="BZ217" s="45"/>
      <c r="CA217" s="45"/>
      <c r="CB217" s="45"/>
      <c r="CC217" s="45"/>
      <c r="CD217" s="45"/>
      <c r="CE217" s="45"/>
      <c r="CF217" s="45"/>
      <c r="CG217" s="45"/>
      <c r="CH217" s="45"/>
      <c r="CI217" s="45"/>
      <c r="CJ217" s="2"/>
    </row>
    <row r="218" spans="1:88" ht="15">
      <c r="A218" s="61" t="s">
        <v>461</v>
      </c>
      <c r="B218" s="62"/>
      <c r="C218" s="62"/>
      <c r="D218" s="63">
        <v>535</v>
      </c>
      <c r="E218" s="65"/>
      <c r="F218" s="100" t="str">
        <f>HYPERLINK("https://pbs.twimg.com/profile_images/1029723492734758912/8NUhD6mF_normal.jpg")</f>
        <v>https://pbs.twimg.com/profile_images/1029723492734758912/8NUhD6mF_normal.jpg</v>
      </c>
      <c r="G218" s="62"/>
      <c r="H218" s="66" t="s">
        <v>461</v>
      </c>
      <c r="I218" s="67"/>
      <c r="J218" s="67" t="s">
        <v>159</v>
      </c>
      <c r="K218" s="66" t="s">
        <v>2872</v>
      </c>
      <c r="L218" s="70">
        <v>477.0952380952381</v>
      </c>
      <c r="M218" s="71">
        <v>666.9010009765625</v>
      </c>
      <c r="N218" s="71">
        <v>631.4765625</v>
      </c>
      <c r="O218" s="72"/>
      <c r="P218" s="73"/>
      <c r="Q218" s="73"/>
      <c r="R218" s="86"/>
      <c r="S218" s="45">
        <v>1</v>
      </c>
      <c r="T218" s="45">
        <v>0</v>
      </c>
      <c r="U218" s="46">
        <v>0</v>
      </c>
      <c r="V218" s="46">
        <v>0.255569</v>
      </c>
      <c r="W218" s="46">
        <v>0.011412</v>
      </c>
      <c r="X218" s="46">
        <v>0.002755</v>
      </c>
      <c r="Y218" s="46">
        <v>0</v>
      </c>
      <c r="Z218" s="46">
        <v>0</v>
      </c>
      <c r="AA218" s="68">
        <v>218</v>
      </c>
      <c r="AB218" s="68"/>
      <c r="AC218" s="69"/>
      <c r="AD218" s="76" t="s">
        <v>1463</v>
      </c>
      <c r="AE218" s="80" t="s">
        <v>1764</v>
      </c>
      <c r="AF218" s="76">
        <v>1508</v>
      </c>
      <c r="AG218" s="76">
        <v>711</v>
      </c>
      <c r="AH218" s="76">
        <v>2311</v>
      </c>
      <c r="AI218" s="76">
        <v>147</v>
      </c>
      <c r="AJ218" s="76">
        <v>885</v>
      </c>
      <c r="AK218" s="76">
        <v>878</v>
      </c>
      <c r="AL218" s="76" t="b">
        <v>0</v>
      </c>
      <c r="AM218" s="78">
        <v>42104.64981481482</v>
      </c>
      <c r="AN218" s="76" t="s">
        <v>1977</v>
      </c>
      <c r="AO218" s="76" t="s">
        <v>2248</v>
      </c>
      <c r="AP218" s="82" t="str">
        <f>HYPERLINK("https://t.co/673xN1mueg")</f>
        <v>https://t.co/673xN1mueg</v>
      </c>
      <c r="AQ218" s="82" t="str">
        <f>HYPERLINK("http://www.bombora.com")</f>
        <v>http://www.bombora.com</v>
      </c>
      <c r="AR218" s="76" t="s">
        <v>2508</v>
      </c>
      <c r="AS218" s="76"/>
      <c r="AT218" s="76"/>
      <c r="AU218" s="76"/>
      <c r="AV218" s="76"/>
      <c r="AW218" s="82" t="str">
        <f>HYPERLINK("https://t.co/673xN1mueg")</f>
        <v>https://t.co/673xN1mueg</v>
      </c>
      <c r="AX218" s="76" t="b">
        <v>0</v>
      </c>
      <c r="AY218" s="76"/>
      <c r="AZ218" s="76"/>
      <c r="BA218" s="76" t="b">
        <v>1</v>
      </c>
      <c r="BB218" s="76" t="b">
        <v>1</v>
      </c>
      <c r="BC218" s="76" t="b">
        <v>0</v>
      </c>
      <c r="BD218" s="76" t="b">
        <v>0</v>
      </c>
      <c r="BE218" s="76" t="b">
        <v>1</v>
      </c>
      <c r="BF218" s="76" t="b">
        <v>0</v>
      </c>
      <c r="BG218" s="76" t="b">
        <v>0</v>
      </c>
      <c r="BH218" s="82" t="str">
        <f>HYPERLINK("https://pbs.twimg.com/profile_banners/3153954892/1621954981")</f>
        <v>https://pbs.twimg.com/profile_banners/3153954892/1621954981</v>
      </c>
      <c r="BI218" s="76"/>
      <c r="BJ218" s="76" t="s">
        <v>2656</v>
      </c>
      <c r="BK218" s="76" t="b">
        <v>0</v>
      </c>
      <c r="BL218" s="76"/>
      <c r="BM218" s="76" t="s">
        <v>65</v>
      </c>
      <c r="BN218" s="76" t="s">
        <v>2657</v>
      </c>
      <c r="BO218" s="82" t="str">
        <f>HYPERLINK("https://twitter.com/bomboradata")</f>
        <v>https://twitter.com/bomboradata</v>
      </c>
      <c r="BP218" s="76" t="str">
        <f>REPLACE(INDEX(GroupVertices[Group],MATCH(Vertices[[#This Row],[Vertex]],GroupVertices[Vertex],0)),1,1,"")</f>
        <v>3</v>
      </c>
      <c r="BQ218" s="45"/>
      <c r="BR218" s="46"/>
      <c r="BS218" s="45"/>
      <c r="BT218" s="46"/>
      <c r="BU218" s="45"/>
      <c r="BV218" s="46"/>
      <c r="BW218" s="45"/>
      <c r="BX218" s="46"/>
      <c r="BY218" s="45"/>
      <c r="BZ218" s="45"/>
      <c r="CA218" s="45"/>
      <c r="CB218" s="45"/>
      <c r="CC218" s="45"/>
      <c r="CD218" s="45"/>
      <c r="CE218" s="45"/>
      <c r="CF218" s="45"/>
      <c r="CG218" s="45"/>
      <c r="CH218" s="45"/>
      <c r="CI218" s="45"/>
      <c r="CJ218" s="2"/>
    </row>
    <row r="219" spans="1:88" ht="15">
      <c r="A219" s="61" t="s">
        <v>462</v>
      </c>
      <c r="B219" s="62"/>
      <c r="C219" s="62"/>
      <c r="D219" s="63">
        <v>535</v>
      </c>
      <c r="E219" s="65"/>
      <c r="F219" s="100" t="str">
        <f>HYPERLINK("https://pbs.twimg.com/profile_images/1239859821538574337/hHTbxFUJ_normal.jpg")</f>
        <v>https://pbs.twimg.com/profile_images/1239859821538574337/hHTbxFUJ_normal.jpg</v>
      </c>
      <c r="G219" s="62"/>
      <c r="H219" s="66" t="s">
        <v>462</v>
      </c>
      <c r="I219" s="67"/>
      <c r="J219" s="67" t="s">
        <v>159</v>
      </c>
      <c r="K219" s="66" t="s">
        <v>2873</v>
      </c>
      <c r="L219" s="70">
        <v>477.0952380952381</v>
      </c>
      <c r="M219" s="71">
        <v>137.01156616210938</v>
      </c>
      <c r="N219" s="71">
        <v>1627.4141845703125</v>
      </c>
      <c r="O219" s="72"/>
      <c r="P219" s="73"/>
      <c r="Q219" s="73"/>
      <c r="R219" s="86"/>
      <c r="S219" s="45">
        <v>1</v>
      </c>
      <c r="T219" s="45">
        <v>0</v>
      </c>
      <c r="U219" s="46">
        <v>0</v>
      </c>
      <c r="V219" s="46">
        <v>0.255569</v>
      </c>
      <c r="W219" s="46">
        <v>0.011412</v>
      </c>
      <c r="X219" s="46">
        <v>0.002755</v>
      </c>
      <c r="Y219" s="46">
        <v>0</v>
      </c>
      <c r="Z219" s="46">
        <v>0</v>
      </c>
      <c r="AA219" s="68">
        <v>219</v>
      </c>
      <c r="AB219" s="68"/>
      <c r="AC219" s="69"/>
      <c r="AD219" s="76" t="s">
        <v>1464</v>
      </c>
      <c r="AE219" s="80" t="s">
        <v>1765</v>
      </c>
      <c r="AF219" s="76">
        <v>366565</v>
      </c>
      <c r="AG219" s="76">
        <v>13943</v>
      </c>
      <c r="AH219" s="76">
        <v>21323</v>
      </c>
      <c r="AI219" s="76">
        <v>12192</v>
      </c>
      <c r="AJ219" s="76">
        <v>3476</v>
      </c>
      <c r="AK219" s="76">
        <v>6272</v>
      </c>
      <c r="AL219" s="76" t="b">
        <v>0</v>
      </c>
      <c r="AM219" s="78">
        <v>39288.591261574074</v>
      </c>
      <c r="AN219" s="76" t="s">
        <v>1866</v>
      </c>
      <c r="AO219" s="76" t="s">
        <v>2249</v>
      </c>
      <c r="AP219" s="82" t="str">
        <f>HYPERLINK("https://t.co/fiFldoio0r")</f>
        <v>https://t.co/fiFldoio0r</v>
      </c>
      <c r="AQ219" s="82" t="str">
        <f>HYPERLINK("http://forrester.com")</f>
        <v>http://forrester.com</v>
      </c>
      <c r="AR219" s="76" t="s">
        <v>2509</v>
      </c>
      <c r="AS219" s="76"/>
      <c r="AT219" s="76"/>
      <c r="AU219" s="76"/>
      <c r="AV219" s="76"/>
      <c r="AW219" s="82" t="str">
        <f>HYPERLINK("https://t.co/fiFldoio0r")</f>
        <v>https://t.co/fiFldoio0r</v>
      </c>
      <c r="AX219" s="76" t="b">
        <v>0</v>
      </c>
      <c r="AY219" s="76"/>
      <c r="AZ219" s="76"/>
      <c r="BA219" s="76" t="b">
        <v>0</v>
      </c>
      <c r="BB219" s="76" t="b">
        <v>1</v>
      </c>
      <c r="BC219" s="76" t="b">
        <v>0</v>
      </c>
      <c r="BD219" s="76" t="b">
        <v>0</v>
      </c>
      <c r="BE219" s="76" t="b">
        <v>1</v>
      </c>
      <c r="BF219" s="76" t="b">
        <v>0</v>
      </c>
      <c r="BG219" s="76" t="b">
        <v>0</v>
      </c>
      <c r="BH219" s="82" t="str">
        <f>HYPERLINK("https://pbs.twimg.com/profile_banners/7712452/1647375894")</f>
        <v>https://pbs.twimg.com/profile_banners/7712452/1647375894</v>
      </c>
      <c r="BI219" s="76"/>
      <c r="BJ219" s="76" t="s">
        <v>2656</v>
      </c>
      <c r="BK219" s="76" t="b">
        <v>0</v>
      </c>
      <c r="BL219" s="76"/>
      <c r="BM219" s="76" t="s">
        <v>65</v>
      </c>
      <c r="BN219" s="76" t="s">
        <v>2657</v>
      </c>
      <c r="BO219" s="82" t="str">
        <f>HYPERLINK("https://twitter.com/forrester")</f>
        <v>https://twitter.com/forrester</v>
      </c>
      <c r="BP219" s="76" t="str">
        <f>REPLACE(INDEX(GroupVertices[Group],MATCH(Vertices[[#This Row],[Vertex]],GroupVertices[Vertex],0)),1,1,"")</f>
        <v>3</v>
      </c>
      <c r="BQ219" s="45"/>
      <c r="BR219" s="46"/>
      <c r="BS219" s="45"/>
      <c r="BT219" s="46"/>
      <c r="BU219" s="45"/>
      <c r="BV219" s="46"/>
      <c r="BW219" s="45"/>
      <c r="BX219" s="46"/>
      <c r="BY219" s="45"/>
      <c r="BZ219" s="45"/>
      <c r="CA219" s="45"/>
      <c r="CB219" s="45"/>
      <c r="CC219" s="45"/>
      <c r="CD219" s="45"/>
      <c r="CE219" s="45"/>
      <c r="CF219" s="45"/>
      <c r="CG219" s="45"/>
      <c r="CH219" s="45"/>
      <c r="CI219" s="45"/>
      <c r="CJ219" s="2"/>
    </row>
    <row r="220" spans="1:88" ht="15">
      <c r="A220" s="61" t="s">
        <v>463</v>
      </c>
      <c r="B220" s="62"/>
      <c r="C220" s="62"/>
      <c r="D220" s="63">
        <v>535</v>
      </c>
      <c r="E220" s="65"/>
      <c r="F220" s="100" t="str">
        <f>HYPERLINK("https://pbs.twimg.com/profile_images/1689952558293356544/DcOJhVT1_normal.jpg")</f>
        <v>https://pbs.twimg.com/profile_images/1689952558293356544/DcOJhVT1_normal.jpg</v>
      </c>
      <c r="G220" s="62"/>
      <c r="H220" s="66" t="s">
        <v>463</v>
      </c>
      <c r="I220" s="67"/>
      <c r="J220" s="67" t="s">
        <v>159</v>
      </c>
      <c r="K220" s="66" t="s">
        <v>2874</v>
      </c>
      <c r="L220" s="70">
        <v>477.0952380952381</v>
      </c>
      <c r="M220" s="71">
        <v>114.10748291015625</v>
      </c>
      <c r="N220" s="71">
        <v>1239.3502197265625</v>
      </c>
      <c r="O220" s="72"/>
      <c r="P220" s="73"/>
      <c r="Q220" s="73"/>
      <c r="R220" s="86"/>
      <c r="S220" s="45">
        <v>1</v>
      </c>
      <c r="T220" s="45">
        <v>0</v>
      </c>
      <c r="U220" s="46">
        <v>0</v>
      </c>
      <c r="V220" s="46">
        <v>0.255569</v>
      </c>
      <c r="W220" s="46">
        <v>0.011412</v>
      </c>
      <c r="X220" s="46">
        <v>0.002755</v>
      </c>
      <c r="Y220" s="46">
        <v>0</v>
      </c>
      <c r="Z220" s="46">
        <v>0</v>
      </c>
      <c r="AA220" s="68">
        <v>220</v>
      </c>
      <c r="AB220" s="68"/>
      <c r="AC220" s="69"/>
      <c r="AD220" s="76" t="s">
        <v>1465</v>
      </c>
      <c r="AE220" s="80" t="s">
        <v>1766</v>
      </c>
      <c r="AF220" s="76">
        <v>126</v>
      </c>
      <c r="AG220" s="76">
        <v>309</v>
      </c>
      <c r="AH220" s="76">
        <v>5461</v>
      </c>
      <c r="AI220" s="76">
        <v>11</v>
      </c>
      <c r="AJ220" s="76">
        <v>3086</v>
      </c>
      <c r="AK220" s="76">
        <v>547</v>
      </c>
      <c r="AL220" s="76" t="b">
        <v>0</v>
      </c>
      <c r="AM220" s="78">
        <v>43754.44841435185</v>
      </c>
      <c r="AN220" s="76" t="s">
        <v>1870</v>
      </c>
      <c r="AO220" s="76" t="s">
        <v>2250</v>
      </c>
      <c r="AP220" s="82" t="str">
        <f>HYPERLINK("https://t.co/tW6dYiM2Ze")</f>
        <v>https://t.co/tW6dYiM2Ze</v>
      </c>
      <c r="AQ220" s="82" t="str">
        <f>HYPERLINK("https://soundcloud.com/sms0499154500")</f>
        <v>https://soundcloud.com/sms0499154500</v>
      </c>
      <c r="AR220" s="76" t="s">
        <v>2510</v>
      </c>
      <c r="AS220" s="76"/>
      <c r="AT220" s="76"/>
      <c r="AU220" s="76"/>
      <c r="AV220" s="76">
        <v>1.6899535420548E+18</v>
      </c>
      <c r="AW220" s="82" t="str">
        <f>HYPERLINK("https://t.co/tW6dYiM2Ze")</f>
        <v>https://t.co/tW6dYiM2Ze</v>
      </c>
      <c r="AX220" s="76" t="b">
        <v>0</v>
      </c>
      <c r="AY220" s="76"/>
      <c r="AZ220" s="76"/>
      <c r="BA220" s="76" t="b">
        <v>0</v>
      </c>
      <c r="BB220" s="76" t="b">
        <v>1</v>
      </c>
      <c r="BC220" s="76" t="b">
        <v>1</v>
      </c>
      <c r="BD220" s="76" t="b">
        <v>0</v>
      </c>
      <c r="BE220" s="76" t="b">
        <v>1</v>
      </c>
      <c r="BF220" s="76" t="b">
        <v>0</v>
      </c>
      <c r="BG220" s="76" t="b">
        <v>0</v>
      </c>
      <c r="BH220" s="82" t="str">
        <f>HYPERLINK("https://pbs.twimg.com/profile_banners/1184420106106998785/1691751063")</f>
        <v>https://pbs.twimg.com/profile_banners/1184420106106998785/1691751063</v>
      </c>
      <c r="BI220" s="76"/>
      <c r="BJ220" s="76" t="s">
        <v>2656</v>
      </c>
      <c r="BK220" s="76" t="b">
        <v>0</v>
      </c>
      <c r="BL220" s="76"/>
      <c r="BM220" s="76" t="s">
        <v>65</v>
      </c>
      <c r="BN220" s="76" t="s">
        <v>2657</v>
      </c>
      <c r="BO220" s="82" t="str">
        <f>HYPERLINK("https://twitter.com/reutsmichael1")</f>
        <v>https://twitter.com/reutsmichael1</v>
      </c>
      <c r="BP220" s="76" t="str">
        <f>REPLACE(INDEX(GroupVertices[Group],MATCH(Vertices[[#This Row],[Vertex]],GroupVertices[Vertex],0)),1,1,"")</f>
        <v>3</v>
      </c>
      <c r="BQ220" s="45"/>
      <c r="BR220" s="46"/>
      <c r="BS220" s="45"/>
      <c r="BT220" s="46"/>
      <c r="BU220" s="45"/>
      <c r="BV220" s="46"/>
      <c r="BW220" s="45"/>
      <c r="BX220" s="46"/>
      <c r="BY220" s="45"/>
      <c r="BZ220" s="45"/>
      <c r="CA220" s="45"/>
      <c r="CB220" s="45"/>
      <c r="CC220" s="45"/>
      <c r="CD220" s="45"/>
      <c r="CE220" s="45"/>
      <c r="CF220" s="45"/>
      <c r="CG220" s="45"/>
      <c r="CH220" s="45"/>
      <c r="CI220" s="45"/>
      <c r="CJ220" s="2"/>
    </row>
    <row r="221" spans="1:88" ht="15">
      <c r="A221" s="61" t="s">
        <v>464</v>
      </c>
      <c r="B221" s="62"/>
      <c r="C221" s="62"/>
      <c r="D221" s="63">
        <v>535</v>
      </c>
      <c r="E221" s="65"/>
      <c r="F221" s="100" t="str">
        <f>HYPERLINK("https://pbs.twimg.com/profile_images/1569478937016942592/PCLcMQdG_normal.jpg")</f>
        <v>https://pbs.twimg.com/profile_images/1569478937016942592/PCLcMQdG_normal.jpg</v>
      </c>
      <c r="G221" s="62"/>
      <c r="H221" s="66" t="s">
        <v>464</v>
      </c>
      <c r="I221" s="67"/>
      <c r="J221" s="67" t="s">
        <v>159</v>
      </c>
      <c r="K221" s="66" t="s">
        <v>2875</v>
      </c>
      <c r="L221" s="70">
        <v>477.0952380952381</v>
      </c>
      <c r="M221" s="71">
        <v>3646.082275390625</v>
      </c>
      <c r="N221" s="71">
        <v>1403.79296875</v>
      </c>
      <c r="O221" s="72"/>
      <c r="P221" s="73"/>
      <c r="Q221" s="73"/>
      <c r="R221" s="86"/>
      <c r="S221" s="45">
        <v>1</v>
      </c>
      <c r="T221" s="45">
        <v>0</v>
      </c>
      <c r="U221" s="46">
        <v>0</v>
      </c>
      <c r="V221" s="46">
        <v>0.255569</v>
      </c>
      <c r="W221" s="46">
        <v>0.011412</v>
      </c>
      <c r="X221" s="46">
        <v>0.002755</v>
      </c>
      <c r="Y221" s="46">
        <v>0</v>
      </c>
      <c r="Z221" s="46">
        <v>0</v>
      </c>
      <c r="AA221" s="68">
        <v>221</v>
      </c>
      <c r="AB221" s="68"/>
      <c r="AC221" s="69"/>
      <c r="AD221" s="76" t="s">
        <v>1466</v>
      </c>
      <c r="AE221" s="80" t="s">
        <v>1767</v>
      </c>
      <c r="AF221" s="76">
        <v>5804</v>
      </c>
      <c r="AG221" s="76">
        <v>1155</v>
      </c>
      <c r="AH221" s="76">
        <v>13569</v>
      </c>
      <c r="AI221" s="76">
        <v>244</v>
      </c>
      <c r="AJ221" s="76">
        <v>7960</v>
      </c>
      <c r="AK221" s="76">
        <v>521</v>
      </c>
      <c r="AL221" s="76" t="b">
        <v>0</v>
      </c>
      <c r="AM221" s="78">
        <v>40017.71163194445</v>
      </c>
      <c r="AN221" s="76"/>
      <c r="AO221" s="76" t="s">
        <v>2251</v>
      </c>
      <c r="AP221" s="82" t="str">
        <f>HYPERLINK("https://t.co/6Hfrjq5zQN")</f>
        <v>https://t.co/6Hfrjq5zQN</v>
      </c>
      <c r="AQ221" s="82" t="str">
        <f>HYPERLINK("https://www.linkedin.com/in/mattprince1")</f>
        <v>https://www.linkedin.com/in/mattprince1</v>
      </c>
      <c r="AR221" s="76" t="s">
        <v>2511</v>
      </c>
      <c r="AS221" s="82" t="str">
        <f>HYPERLINK("https://t.co/qtxSaydR55")</f>
        <v>https://t.co/qtxSaydR55</v>
      </c>
      <c r="AT221" s="82" t="str">
        <f>HYPERLINK("http://NetNetSynergy.com")</f>
        <v>http://NetNetSynergy.com</v>
      </c>
      <c r="AU221" s="76" t="s">
        <v>2641</v>
      </c>
      <c r="AV221" s="76">
        <v>1.64327308727694E+18</v>
      </c>
      <c r="AW221" s="82" t="str">
        <f>HYPERLINK("https://t.co/6Hfrjq5zQN")</f>
        <v>https://t.co/6Hfrjq5zQN</v>
      </c>
      <c r="AX221" s="76" t="b">
        <v>0</v>
      </c>
      <c r="AY221" s="76"/>
      <c r="AZ221" s="76"/>
      <c r="BA221" s="76" t="b">
        <v>0</v>
      </c>
      <c r="BB221" s="76" t="b">
        <v>1</v>
      </c>
      <c r="BC221" s="76" t="b">
        <v>0</v>
      </c>
      <c r="BD221" s="76" t="b">
        <v>0</v>
      </c>
      <c r="BE221" s="76" t="b">
        <v>1</v>
      </c>
      <c r="BF221" s="76" t="b">
        <v>0</v>
      </c>
      <c r="BG221" s="76" t="b">
        <v>0</v>
      </c>
      <c r="BH221" s="82" t="str">
        <f>HYPERLINK("https://pbs.twimg.com/profile_banners/59523117/1449862416")</f>
        <v>https://pbs.twimg.com/profile_banners/59523117/1449862416</v>
      </c>
      <c r="BI221" s="76"/>
      <c r="BJ221" s="76" t="s">
        <v>2656</v>
      </c>
      <c r="BK221" s="76" t="b">
        <v>0</v>
      </c>
      <c r="BL221" s="76"/>
      <c r="BM221" s="76" t="s">
        <v>65</v>
      </c>
      <c r="BN221" s="76" t="s">
        <v>2657</v>
      </c>
      <c r="BO221" s="82" t="str">
        <f>HYPERLINK("https://twitter.com/matt_prince")</f>
        <v>https://twitter.com/matt_prince</v>
      </c>
      <c r="BP221" s="76" t="str">
        <f>REPLACE(INDEX(GroupVertices[Group],MATCH(Vertices[[#This Row],[Vertex]],GroupVertices[Vertex],0)),1,1,"")</f>
        <v>3</v>
      </c>
      <c r="BQ221" s="45"/>
      <c r="BR221" s="46"/>
      <c r="BS221" s="45"/>
      <c r="BT221" s="46"/>
      <c r="BU221" s="45"/>
      <c r="BV221" s="46"/>
      <c r="BW221" s="45"/>
      <c r="BX221" s="46"/>
      <c r="BY221" s="45"/>
      <c r="BZ221" s="45"/>
      <c r="CA221" s="45"/>
      <c r="CB221" s="45"/>
      <c r="CC221" s="45"/>
      <c r="CD221" s="45"/>
      <c r="CE221" s="45"/>
      <c r="CF221" s="45"/>
      <c r="CG221" s="45"/>
      <c r="CH221" s="45"/>
      <c r="CI221" s="45"/>
      <c r="CJ221" s="2"/>
    </row>
    <row r="222" spans="1:88" ht="15">
      <c r="A222" s="61" t="s">
        <v>465</v>
      </c>
      <c r="B222" s="62"/>
      <c r="C222" s="62"/>
      <c r="D222" s="63">
        <v>535</v>
      </c>
      <c r="E222" s="65"/>
      <c r="F222" s="100" t="str">
        <f>HYPERLINK("https://pbs.twimg.com/profile_images/1676581455135162370/F_T6xGeb_normal.jpg")</f>
        <v>https://pbs.twimg.com/profile_images/1676581455135162370/F_T6xGeb_normal.jpg</v>
      </c>
      <c r="G222" s="62"/>
      <c r="H222" s="66" t="s">
        <v>465</v>
      </c>
      <c r="I222" s="67"/>
      <c r="J222" s="67" t="s">
        <v>159</v>
      </c>
      <c r="K222" s="66" t="s">
        <v>2876</v>
      </c>
      <c r="L222" s="70">
        <v>477.0952380952381</v>
      </c>
      <c r="M222" s="71">
        <v>2707.89404296875</v>
      </c>
      <c r="N222" s="71">
        <v>2125.37548828125</v>
      </c>
      <c r="O222" s="72"/>
      <c r="P222" s="73"/>
      <c r="Q222" s="73"/>
      <c r="R222" s="86"/>
      <c r="S222" s="45">
        <v>1</v>
      </c>
      <c r="T222" s="45">
        <v>0</v>
      </c>
      <c r="U222" s="46">
        <v>0</v>
      </c>
      <c r="V222" s="46">
        <v>0.255569</v>
      </c>
      <c r="W222" s="46">
        <v>0.011412</v>
      </c>
      <c r="X222" s="46">
        <v>0.002755</v>
      </c>
      <c r="Y222" s="46">
        <v>0</v>
      </c>
      <c r="Z222" s="46">
        <v>0</v>
      </c>
      <c r="AA222" s="68">
        <v>222</v>
      </c>
      <c r="AB222" s="68"/>
      <c r="AC222" s="69"/>
      <c r="AD222" s="76" t="s">
        <v>1467</v>
      </c>
      <c r="AE222" s="80" t="s">
        <v>1768</v>
      </c>
      <c r="AF222" s="76">
        <v>88070</v>
      </c>
      <c r="AG222" s="76">
        <v>1633</v>
      </c>
      <c r="AH222" s="76">
        <v>32641</v>
      </c>
      <c r="AI222" s="76">
        <v>2915</v>
      </c>
      <c r="AJ222" s="76">
        <v>9521</v>
      </c>
      <c r="AK222" s="76">
        <v>4140</v>
      </c>
      <c r="AL222" s="76" t="b">
        <v>0</v>
      </c>
      <c r="AM222" s="78">
        <v>39686.83280092593</v>
      </c>
      <c r="AN222" s="76" t="s">
        <v>1978</v>
      </c>
      <c r="AO222" s="76" t="s">
        <v>2252</v>
      </c>
      <c r="AP222" s="82" t="str">
        <f>HYPERLINK("https://t.co/rCHlIXnagC")</f>
        <v>https://t.co/rCHlIXnagC</v>
      </c>
      <c r="AQ222" s="82" t="str">
        <f>HYPERLINK("http://www.spj.org")</f>
        <v>http://www.spj.org</v>
      </c>
      <c r="AR222" s="76" t="s">
        <v>2512</v>
      </c>
      <c r="AS222" s="76"/>
      <c r="AT222" s="76"/>
      <c r="AU222" s="76"/>
      <c r="AV222" s="76">
        <v>1.69110074812862E+18</v>
      </c>
      <c r="AW222" s="82" t="str">
        <f>HYPERLINK("https://t.co/rCHlIXnagC")</f>
        <v>https://t.co/rCHlIXnagC</v>
      </c>
      <c r="AX222" s="76" t="b">
        <v>0</v>
      </c>
      <c r="AY222" s="76"/>
      <c r="AZ222" s="76"/>
      <c r="BA222" s="76" t="b">
        <v>0</v>
      </c>
      <c r="BB222" s="76" t="b">
        <v>1</v>
      </c>
      <c r="BC222" s="76" t="b">
        <v>0</v>
      </c>
      <c r="BD222" s="76" t="b">
        <v>0</v>
      </c>
      <c r="BE222" s="76" t="b">
        <v>0</v>
      </c>
      <c r="BF222" s="76" t="b">
        <v>0</v>
      </c>
      <c r="BG222" s="76" t="b">
        <v>0</v>
      </c>
      <c r="BH222" s="82" t="str">
        <f>HYPERLINK("https://pbs.twimg.com/profile_banners/16001827/1684844936")</f>
        <v>https://pbs.twimg.com/profile_banners/16001827/1684844936</v>
      </c>
      <c r="BI222" s="76"/>
      <c r="BJ222" s="76" t="s">
        <v>2656</v>
      </c>
      <c r="BK222" s="76" t="b">
        <v>0</v>
      </c>
      <c r="BL222" s="76"/>
      <c r="BM222" s="76" t="s">
        <v>65</v>
      </c>
      <c r="BN222" s="76" t="s">
        <v>2657</v>
      </c>
      <c r="BO222" s="82" t="str">
        <f>HYPERLINK("https://twitter.com/spj_tweets")</f>
        <v>https://twitter.com/spj_tweets</v>
      </c>
      <c r="BP222" s="76" t="str">
        <f>REPLACE(INDEX(GroupVertices[Group],MATCH(Vertices[[#This Row],[Vertex]],GroupVertices[Vertex],0)),1,1,"")</f>
        <v>3</v>
      </c>
      <c r="BQ222" s="45"/>
      <c r="BR222" s="46"/>
      <c r="BS222" s="45"/>
      <c r="BT222" s="46"/>
      <c r="BU222" s="45"/>
      <c r="BV222" s="46"/>
      <c r="BW222" s="45"/>
      <c r="BX222" s="46"/>
      <c r="BY222" s="45"/>
      <c r="BZ222" s="45"/>
      <c r="CA222" s="45"/>
      <c r="CB222" s="45"/>
      <c r="CC222" s="45"/>
      <c r="CD222" s="45"/>
      <c r="CE222" s="45"/>
      <c r="CF222" s="45"/>
      <c r="CG222" s="45"/>
      <c r="CH222" s="45"/>
      <c r="CI222" s="45"/>
      <c r="CJ222" s="2"/>
    </row>
    <row r="223" spans="1:88" ht="15">
      <c r="A223" s="61" t="s">
        <v>466</v>
      </c>
      <c r="B223" s="62"/>
      <c r="C223" s="62"/>
      <c r="D223" s="63">
        <v>535</v>
      </c>
      <c r="E223" s="65"/>
      <c r="F223" s="100" t="str">
        <f>HYPERLINK("https://pbs.twimg.com/profile_images/1443845612445839401/cczEDG9W_normal.jpg")</f>
        <v>https://pbs.twimg.com/profile_images/1443845612445839401/cczEDG9W_normal.jpg</v>
      </c>
      <c r="G223" s="62"/>
      <c r="H223" s="66" t="s">
        <v>466</v>
      </c>
      <c r="I223" s="67"/>
      <c r="J223" s="67" t="s">
        <v>159</v>
      </c>
      <c r="K223" s="66" t="s">
        <v>2877</v>
      </c>
      <c r="L223" s="70">
        <v>477.0952380952381</v>
      </c>
      <c r="M223" s="71">
        <v>4049.552978515625</v>
      </c>
      <c r="N223" s="71">
        <v>1044.5697021484375</v>
      </c>
      <c r="O223" s="72"/>
      <c r="P223" s="73"/>
      <c r="Q223" s="73"/>
      <c r="R223" s="86"/>
      <c r="S223" s="45">
        <v>1</v>
      </c>
      <c r="T223" s="45">
        <v>0</v>
      </c>
      <c r="U223" s="46">
        <v>0</v>
      </c>
      <c r="V223" s="46">
        <v>0.255569</v>
      </c>
      <c r="W223" s="46">
        <v>0.011412</v>
      </c>
      <c r="X223" s="46">
        <v>0.002755</v>
      </c>
      <c r="Y223" s="46">
        <v>0</v>
      </c>
      <c r="Z223" s="46">
        <v>0</v>
      </c>
      <c r="AA223" s="68">
        <v>223</v>
      </c>
      <c r="AB223" s="68"/>
      <c r="AC223" s="69"/>
      <c r="AD223" s="76" t="s">
        <v>1468</v>
      </c>
      <c r="AE223" s="80" t="s">
        <v>1769</v>
      </c>
      <c r="AF223" s="76">
        <v>347</v>
      </c>
      <c r="AG223" s="76">
        <v>493</v>
      </c>
      <c r="AH223" s="76">
        <v>25910</v>
      </c>
      <c r="AI223" s="76">
        <v>35</v>
      </c>
      <c r="AJ223" s="76">
        <v>15443</v>
      </c>
      <c r="AK223" s="76">
        <v>1398</v>
      </c>
      <c r="AL223" s="76" t="b">
        <v>0</v>
      </c>
      <c r="AM223" s="78">
        <v>44470.311944444446</v>
      </c>
      <c r="AN223" s="76" t="s">
        <v>1979</v>
      </c>
      <c r="AO223" s="76" t="s">
        <v>2253</v>
      </c>
      <c r="AP223" s="82" t="str">
        <f>HYPERLINK("https://t.co/yW1s5MlEkl")</f>
        <v>https://t.co/yW1s5MlEkl</v>
      </c>
      <c r="AQ223" s="82" t="str">
        <f>HYPERLINK("http://0499154500.eu")</f>
        <v>http://0499154500.eu</v>
      </c>
      <c r="AR223" s="76" t="s">
        <v>1468</v>
      </c>
      <c r="AS223" s="76"/>
      <c r="AT223" s="76"/>
      <c r="AU223" s="76"/>
      <c r="AV223" s="76">
        <v>1.60922455892975E+18</v>
      </c>
      <c r="AW223" s="82" t="str">
        <f>HYPERLINK("https://t.co/yW1s5MlEkl")</f>
        <v>https://t.co/yW1s5MlEkl</v>
      </c>
      <c r="AX223" s="76" t="b">
        <v>0</v>
      </c>
      <c r="AY223" s="76"/>
      <c r="AZ223" s="76"/>
      <c r="BA223" s="76" t="b">
        <v>0</v>
      </c>
      <c r="BB223" s="76" t="b">
        <v>1</v>
      </c>
      <c r="BC223" s="76" t="b">
        <v>1</v>
      </c>
      <c r="BD223" s="76" t="b">
        <v>0</v>
      </c>
      <c r="BE223" s="76" t="b">
        <v>1</v>
      </c>
      <c r="BF223" s="76" t="b">
        <v>0</v>
      </c>
      <c r="BG223" s="76" t="b">
        <v>0</v>
      </c>
      <c r="BH223" s="82" t="str">
        <f>HYPERLINK("https://pbs.twimg.com/profile_banners/1443840264213311536/1667656800")</f>
        <v>https://pbs.twimg.com/profile_banners/1443840264213311536/1667656800</v>
      </c>
      <c r="BI223" s="76"/>
      <c r="BJ223" s="76" t="s">
        <v>2656</v>
      </c>
      <c r="BK223" s="76" t="b">
        <v>0</v>
      </c>
      <c r="BL223" s="76"/>
      <c r="BM223" s="76" t="s">
        <v>65</v>
      </c>
      <c r="BN223" s="76" t="s">
        <v>2657</v>
      </c>
      <c r="BO223" s="82" t="str">
        <f>HYPERLINK("https://twitter.com/this0499154500")</f>
        <v>https://twitter.com/this0499154500</v>
      </c>
      <c r="BP223" s="76" t="str">
        <f>REPLACE(INDEX(GroupVertices[Group],MATCH(Vertices[[#This Row],[Vertex]],GroupVertices[Vertex],0)),1,1,"")</f>
        <v>3</v>
      </c>
      <c r="BQ223" s="45"/>
      <c r="BR223" s="46"/>
      <c r="BS223" s="45"/>
      <c r="BT223" s="46"/>
      <c r="BU223" s="45"/>
      <c r="BV223" s="46"/>
      <c r="BW223" s="45"/>
      <c r="BX223" s="46"/>
      <c r="BY223" s="45"/>
      <c r="BZ223" s="45"/>
      <c r="CA223" s="45"/>
      <c r="CB223" s="45"/>
      <c r="CC223" s="45"/>
      <c r="CD223" s="45"/>
      <c r="CE223" s="45"/>
      <c r="CF223" s="45"/>
      <c r="CG223" s="45"/>
      <c r="CH223" s="45"/>
      <c r="CI223" s="45"/>
      <c r="CJ223" s="2"/>
    </row>
    <row r="224" spans="1:88" ht="15">
      <c r="A224" s="61" t="s">
        <v>467</v>
      </c>
      <c r="B224" s="62"/>
      <c r="C224" s="62"/>
      <c r="D224" s="63">
        <v>535</v>
      </c>
      <c r="E224" s="65"/>
      <c r="F224" s="100" t="str">
        <f>HYPERLINK("https://pbs.twimg.com/profile_images/484425518733742081/IatUd75H_normal.jpeg")</f>
        <v>https://pbs.twimg.com/profile_images/484425518733742081/IatUd75H_normal.jpeg</v>
      </c>
      <c r="G224" s="62"/>
      <c r="H224" s="66" t="s">
        <v>467</v>
      </c>
      <c r="I224" s="67"/>
      <c r="J224" s="67" t="s">
        <v>159</v>
      </c>
      <c r="K224" s="66" t="s">
        <v>2878</v>
      </c>
      <c r="L224" s="70">
        <v>477.0952380952381</v>
      </c>
      <c r="M224" s="71">
        <v>3196.520263671875</v>
      </c>
      <c r="N224" s="71">
        <v>2576.45263671875</v>
      </c>
      <c r="O224" s="72"/>
      <c r="P224" s="73"/>
      <c r="Q224" s="73"/>
      <c r="R224" s="86"/>
      <c r="S224" s="45">
        <v>1</v>
      </c>
      <c r="T224" s="45">
        <v>0</v>
      </c>
      <c r="U224" s="46">
        <v>0</v>
      </c>
      <c r="V224" s="46">
        <v>0.255569</v>
      </c>
      <c r="W224" s="46">
        <v>0.011412</v>
      </c>
      <c r="X224" s="46">
        <v>0.002755</v>
      </c>
      <c r="Y224" s="46">
        <v>0</v>
      </c>
      <c r="Z224" s="46">
        <v>0</v>
      </c>
      <c r="AA224" s="68">
        <v>224</v>
      </c>
      <c r="AB224" s="68"/>
      <c r="AC224" s="69"/>
      <c r="AD224" s="76" t="s">
        <v>1469</v>
      </c>
      <c r="AE224" s="80" t="s">
        <v>1770</v>
      </c>
      <c r="AF224" s="76">
        <v>1773</v>
      </c>
      <c r="AG224" s="76">
        <v>1209</v>
      </c>
      <c r="AH224" s="76">
        <v>5472</v>
      </c>
      <c r="AI224" s="76">
        <v>76</v>
      </c>
      <c r="AJ224" s="76">
        <v>6763</v>
      </c>
      <c r="AK224" s="76">
        <v>666</v>
      </c>
      <c r="AL224" s="76" t="b">
        <v>0</v>
      </c>
      <c r="AM224" s="78">
        <v>40846.61638888889</v>
      </c>
      <c r="AN224" s="76" t="s">
        <v>1980</v>
      </c>
      <c r="AO224" s="76" t="s">
        <v>2254</v>
      </c>
      <c r="AP224" s="82" t="str">
        <f>HYPERLINK("https://t.co/ovQccUWMoh")</f>
        <v>https://t.co/ovQccUWMoh</v>
      </c>
      <c r="AQ224" s="82" t="str">
        <f>HYPERLINK("http://suzannemims.wixsite.com/mimspr")</f>
        <v>http://suzannemims.wixsite.com/mimspr</v>
      </c>
      <c r="AR224" s="76" t="s">
        <v>2513</v>
      </c>
      <c r="AS224" s="76"/>
      <c r="AT224" s="76"/>
      <c r="AU224" s="76"/>
      <c r="AV224" s="76">
        <v>1.60050914360922E+18</v>
      </c>
      <c r="AW224" s="82" t="str">
        <f>HYPERLINK("https://t.co/ovQccUWMoh")</f>
        <v>https://t.co/ovQccUWMoh</v>
      </c>
      <c r="AX224" s="76" t="b">
        <v>0</v>
      </c>
      <c r="AY224" s="76"/>
      <c r="AZ224" s="76"/>
      <c r="BA224" s="76" t="b">
        <v>1</v>
      </c>
      <c r="BB224" s="76" t="b">
        <v>1</v>
      </c>
      <c r="BC224" s="76" t="b">
        <v>0</v>
      </c>
      <c r="BD224" s="76" t="b">
        <v>0</v>
      </c>
      <c r="BE224" s="76" t="b">
        <v>0</v>
      </c>
      <c r="BF224" s="76" t="b">
        <v>0</v>
      </c>
      <c r="BG224" s="76" t="b">
        <v>0</v>
      </c>
      <c r="BH224" s="82" t="str">
        <f>HYPERLINK("https://pbs.twimg.com/profile_banners/401428773/1408483231")</f>
        <v>https://pbs.twimg.com/profile_banners/401428773/1408483231</v>
      </c>
      <c r="BI224" s="76"/>
      <c r="BJ224" s="76" t="s">
        <v>2656</v>
      </c>
      <c r="BK224" s="76" t="b">
        <v>0</v>
      </c>
      <c r="BL224" s="76"/>
      <c r="BM224" s="76" t="s">
        <v>65</v>
      </c>
      <c r="BN224" s="76" t="s">
        <v>2657</v>
      </c>
      <c r="BO224" s="82" t="str">
        <f>HYPERLINK("https://twitter.com/mimspr")</f>
        <v>https://twitter.com/mimspr</v>
      </c>
      <c r="BP224" s="76" t="str">
        <f>REPLACE(INDEX(GroupVertices[Group],MATCH(Vertices[[#This Row],[Vertex]],GroupVertices[Vertex],0)),1,1,"")</f>
        <v>3</v>
      </c>
      <c r="BQ224" s="45"/>
      <c r="BR224" s="46"/>
      <c r="BS224" s="45"/>
      <c r="BT224" s="46"/>
      <c r="BU224" s="45"/>
      <c r="BV224" s="46"/>
      <c r="BW224" s="45"/>
      <c r="BX224" s="46"/>
      <c r="BY224" s="45"/>
      <c r="BZ224" s="45"/>
      <c r="CA224" s="45"/>
      <c r="CB224" s="45"/>
      <c r="CC224" s="45"/>
      <c r="CD224" s="45"/>
      <c r="CE224" s="45"/>
      <c r="CF224" s="45"/>
      <c r="CG224" s="45"/>
      <c r="CH224" s="45"/>
      <c r="CI224" s="45"/>
      <c r="CJ224" s="2"/>
    </row>
    <row r="225" spans="1:88" ht="15">
      <c r="A225" s="61" t="s">
        <v>468</v>
      </c>
      <c r="B225" s="62"/>
      <c r="C225" s="62"/>
      <c r="D225" s="63">
        <v>535</v>
      </c>
      <c r="E225" s="65"/>
      <c r="F225" s="100" t="str">
        <f>HYPERLINK("https://pbs.twimg.com/profile_images/1010713169625538566/eMLQGyIQ_normal.jpg")</f>
        <v>https://pbs.twimg.com/profile_images/1010713169625538566/eMLQGyIQ_normal.jpg</v>
      </c>
      <c r="G225" s="62"/>
      <c r="H225" s="66" t="s">
        <v>468</v>
      </c>
      <c r="I225" s="67"/>
      <c r="J225" s="67" t="s">
        <v>159</v>
      </c>
      <c r="K225" s="66" t="s">
        <v>2879</v>
      </c>
      <c r="L225" s="70">
        <v>477.0952380952381</v>
      </c>
      <c r="M225" s="71">
        <v>1575.1783447265625</v>
      </c>
      <c r="N225" s="71">
        <v>617.7899169921875</v>
      </c>
      <c r="O225" s="72"/>
      <c r="P225" s="73"/>
      <c r="Q225" s="73"/>
      <c r="R225" s="86"/>
      <c r="S225" s="45">
        <v>1</v>
      </c>
      <c r="T225" s="45">
        <v>0</v>
      </c>
      <c r="U225" s="46">
        <v>0</v>
      </c>
      <c r="V225" s="46">
        <v>0.255569</v>
      </c>
      <c r="W225" s="46">
        <v>0.011412</v>
      </c>
      <c r="X225" s="46">
        <v>0.002755</v>
      </c>
      <c r="Y225" s="46">
        <v>0</v>
      </c>
      <c r="Z225" s="46">
        <v>0</v>
      </c>
      <c r="AA225" s="68">
        <v>225</v>
      </c>
      <c r="AB225" s="68"/>
      <c r="AC225" s="69"/>
      <c r="AD225" s="76" t="s">
        <v>1470</v>
      </c>
      <c r="AE225" s="80" t="s">
        <v>1771</v>
      </c>
      <c r="AF225" s="76">
        <v>13457</v>
      </c>
      <c r="AG225" s="76">
        <v>14360</v>
      </c>
      <c r="AH225" s="76">
        <v>296924</v>
      </c>
      <c r="AI225" s="76">
        <v>802</v>
      </c>
      <c r="AJ225" s="76">
        <v>3516</v>
      </c>
      <c r="AK225" s="76">
        <v>3412</v>
      </c>
      <c r="AL225" s="76" t="b">
        <v>0</v>
      </c>
      <c r="AM225" s="78">
        <v>40187.6193287037</v>
      </c>
      <c r="AN225" s="76" t="s">
        <v>1981</v>
      </c>
      <c r="AO225" s="76" t="s">
        <v>2255</v>
      </c>
      <c r="AP225" s="82" t="str">
        <f>HYPERLINK("https://t.co/Z42vOr9mK5")</f>
        <v>https://t.co/Z42vOr9mK5</v>
      </c>
      <c r="AQ225" s="82" t="str">
        <f>HYPERLINK("https://www.linkedin.com/pub/michael-bathurst/17/904/A55")</f>
        <v>https://www.linkedin.com/pub/michael-bathurst/17/904/A55</v>
      </c>
      <c r="AR225" s="76" t="s">
        <v>2514</v>
      </c>
      <c r="AS225" s="76"/>
      <c r="AT225" s="76"/>
      <c r="AU225" s="76"/>
      <c r="AV225" s="76"/>
      <c r="AW225" s="82" t="str">
        <f>HYPERLINK("https://t.co/Z42vOr9mK5")</f>
        <v>https://t.co/Z42vOr9mK5</v>
      </c>
      <c r="AX225" s="76" t="b">
        <v>0</v>
      </c>
      <c r="AY225" s="76"/>
      <c r="AZ225" s="76"/>
      <c r="BA225" s="76" t="b">
        <v>0</v>
      </c>
      <c r="BB225" s="76" t="b">
        <v>1</v>
      </c>
      <c r="BC225" s="76" t="b">
        <v>0</v>
      </c>
      <c r="BD225" s="76" t="b">
        <v>0</v>
      </c>
      <c r="BE225" s="76" t="b">
        <v>1</v>
      </c>
      <c r="BF225" s="76" t="b">
        <v>0</v>
      </c>
      <c r="BG225" s="76" t="b">
        <v>0</v>
      </c>
      <c r="BH225" s="82" t="str">
        <f>HYPERLINK("https://pbs.twimg.com/profile_banners/103287413/1607228249")</f>
        <v>https://pbs.twimg.com/profile_banners/103287413/1607228249</v>
      </c>
      <c r="BI225" s="76"/>
      <c r="BJ225" s="76" t="s">
        <v>2656</v>
      </c>
      <c r="BK225" s="76" t="b">
        <v>0</v>
      </c>
      <c r="BL225" s="76"/>
      <c r="BM225" s="76" t="s">
        <v>65</v>
      </c>
      <c r="BN225" s="76" t="s">
        <v>2657</v>
      </c>
      <c r="BO225" s="82" t="str">
        <f>HYPERLINK("https://twitter.com/shoutmgb")</f>
        <v>https://twitter.com/shoutmgb</v>
      </c>
      <c r="BP225" s="76" t="str">
        <f>REPLACE(INDEX(GroupVertices[Group],MATCH(Vertices[[#This Row],[Vertex]],GroupVertices[Vertex],0)),1,1,"")</f>
        <v>3</v>
      </c>
      <c r="BQ225" s="45"/>
      <c r="BR225" s="46"/>
      <c r="BS225" s="45"/>
      <c r="BT225" s="46"/>
      <c r="BU225" s="45"/>
      <c r="BV225" s="46"/>
      <c r="BW225" s="45"/>
      <c r="BX225" s="46"/>
      <c r="BY225" s="45"/>
      <c r="BZ225" s="45"/>
      <c r="CA225" s="45"/>
      <c r="CB225" s="45"/>
      <c r="CC225" s="45"/>
      <c r="CD225" s="45"/>
      <c r="CE225" s="45"/>
      <c r="CF225" s="45"/>
      <c r="CG225" s="45"/>
      <c r="CH225" s="45"/>
      <c r="CI225" s="45"/>
      <c r="CJ225" s="2"/>
    </row>
    <row r="226" spans="1:88" ht="15">
      <c r="A226" s="61" t="s">
        <v>469</v>
      </c>
      <c r="B226" s="62"/>
      <c r="C226" s="62"/>
      <c r="D226" s="63">
        <v>535</v>
      </c>
      <c r="E226" s="65"/>
      <c r="F226" s="100" t="str">
        <f>HYPERLINK("https://pbs.twimg.com/profile_images/3368135262/a01dafffd3f21df8031ba83389da035c_normal.jpeg")</f>
        <v>https://pbs.twimg.com/profile_images/3368135262/a01dafffd3f21df8031ba83389da035c_normal.jpeg</v>
      </c>
      <c r="G226" s="62"/>
      <c r="H226" s="66" t="s">
        <v>469</v>
      </c>
      <c r="I226" s="67"/>
      <c r="J226" s="67" t="s">
        <v>159</v>
      </c>
      <c r="K226" s="66" t="s">
        <v>2880</v>
      </c>
      <c r="L226" s="70">
        <v>477.0952380952381</v>
      </c>
      <c r="M226" s="71">
        <v>971.52978515625</v>
      </c>
      <c r="N226" s="71">
        <v>1694.197021484375</v>
      </c>
      <c r="O226" s="72"/>
      <c r="P226" s="73"/>
      <c r="Q226" s="73"/>
      <c r="R226" s="86"/>
      <c r="S226" s="45">
        <v>1</v>
      </c>
      <c r="T226" s="45">
        <v>0</v>
      </c>
      <c r="U226" s="46">
        <v>0</v>
      </c>
      <c r="V226" s="46">
        <v>0.255569</v>
      </c>
      <c r="W226" s="46">
        <v>0.011412</v>
      </c>
      <c r="X226" s="46">
        <v>0.002755</v>
      </c>
      <c r="Y226" s="46">
        <v>0</v>
      </c>
      <c r="Z226" s="46">
        <v>0</v>
      </c>
      <c r="AA226" s="68">
        <v>226</v>
      </c>
      <c r="AB226" s="68"/>
      <c r="AC226" s="69"/>
      <c r="AD226" s="76" t="s">
        <v>1471</v>
      </c>
      <c r="AE226" s="80" t="s">
        <v>1772</v>
      </c>
      <c r="AF226" s="76">
        <v>9056</v>
      </c>
      <c r="AG226" s="76">
        <v>9639</v>
      </c>
      <c r="AH226" s="76">
        <v>67151</v>
      </c>
      <c r="AI226" s="76">
        <v>639</v>
      </c>
      <c r="AJ226" s="76">
        <v>54323</v>
      </c>
      <c r="AK226" s="76">
        <v>7333</v>
      </c>
      <c r="AL226" s="76" t="b">
        <v>0</v>
      </c>
      <c r="AM226" s="78">
        <v>39847.798414351855</v>
      </c>
      <c r="AN226" s="76" t="s">
        <v>1982</v>
      </c>
      <c r="AO226" s="76" t="s">
        <v>2256</v>
      </c>
      <c r="AP226" s="82" t="str">
        <f>HYPERLINK("https://t.co/tUxxinhThj")</f>
        <v>https://t.co/tUxxinhThj</v>
      </c>
      <c r="AQ226" s="82" t="str">
        <f>HYPERLINK("http://about.me/ohradiogirl")</f>
        <v>http://about.me/ohradiogirl</v>
      </c>
      <c r="AR226" s="76" t="s">
        <v>2515</v>
      </c>
      <c r="AS226" s="82" t="str">
        <f>HYPERLINK("https://t.co/MnkCtd17bq")</f>
        <v>https://t.co/MnkCtd17bq</v>
      </c>
      <c r="AT226" s="82" t="str">
        <f>HYPERLINK("http://muckrack.com/kim-fox")</f>
        <v>http://muckrack.com/kim-fox</v>
      </c>
      <c r="AU226" s="76" t="s">
        <v>2642</v>
      </c>
      <c r="AV226" s="76">
        <v>6.60947943994863E+17</v>
      </c>
      <c r="AW226" s="82" t="str">
        <f>HYPERLINK("https://t.co/tUxxinhThj")</f>
        <v>https://t.co/tUxxinhThj</v>
      </c>
      <c r="AX226" s="76" t="b">
        <v>0</v>
      </c>
      <c r="AY226" s="76"/>
      <c r="AZ226" s="76"/>
      <c r="BA226" s="76" t="b">
        <v>0</v>
      </c>
      <c r="BB226" s="76" t="b">
        <v>1</v>
      </c>
      <c r="BC226" s="76" t="b">
        <v>0</v>
      </c>
      <c r="BD226" s="76" t="b">
        <v>0</v>
      </c>
      <c r="BE226" s="76" t="b">
        <v>1</v>
      </c>
      <c r="BF226" s="76" t="b">
        <v>0</v>
      </c>
      <c r="BG226" s="76" t="b">
        <v>0</v>
      </c>
      <c r="BH226" s="82" t="str">
        <f>HYPERLINK("https://pbs.twimg.com/profile_banners/19994279/1591120557")</f>
        <v>https://pbs.twimg.com/profile_banners/19994279/1591120557</v>
      </c>
      <c r="BI226" s="76"/>
      <c r="BJ226" s="76" t="s">
        <v>2656</v>
      </c>
      <c r="BK226" s="76" t="b">
        <v>0</v>
      </c>
      <c r="BL226" s="76"/>
      <c r="BM226" s="76" t="s">
        <v>65</v>
      </c>
      <c r="BN226" s="76" t="s">
        <v>2657</v>
      </c>
      <c r="BO226" s="82" t="str">
        <f>HYPERLINK("https://twitter.com/kimfoxwosu")</f>
        <v>https://twitter.com/kimfoxwosu</v>
      </c>
      <c r="BP226" s="76" t="str">
        <f>REPLACE(INDEX(GroupVertices[Group],MATCH(Vertices[[#This Row],[Vertex]],GroupVertices[Vertex],0)),1,1,"")</f>
        <v>3</v>
      </c>
      <c r="BQ226" s="45"/>
      <c r="BR226" s="46"/>
      <c r="BS226" s="45"/>
      <c r="BT226" s="46"/>
      <c r="BU226" s="45"/>
      <c r="BV226" s="46"/>
      <c r="BW226" s="45"/>
      <c r="BX226" s="46"/>
      <c r="BY226" s="45"/>
      <c r="BZ226" s="45"/>
      <c r="CA226" s="45"/>
      <c r="CB226" s="45"/>
      <c r="CC226" s="45"/>
      <c r="CD226" s="45"/>
      <c r="CE226" s="45"/>
      <c r="CF226" s="45"/>
      <c r="CG226" s="45"/>
      <c r="CH226" s="45"/>
      <c r="CI226" s="45"/>
      <c r="CJ226" s="2"/>
    </row>
    <row r="227" spans="1:88" ht="15">
      <c r="A227" s="61" t="s">
        <v>470</v>
      </c>
      <c r="B227" s="62"/>
      <c r="C227" s="62"/>
      <c r="D227" s="63">
        <v>535</v>
      </c>
      <c r="E227" s="65"/>
      <c r="F227" s="100" t="str">
        <f>HYPERLINK("https://pbs.twimg.com/profile_images/1569091842708209668/C3lci5px_normal.jpg")</f>
        <v>https://pbs.twimg.com/profile_images/1569091842708209668/C3lci5px_normal.jpg</v>
      </c>
      <c r="G227" s="62"/>
      <c r="H227" s="66" t="s">
        <v>470</v>
      </c>
      <c r="I227" s="67"/>
      <c r="J227" s="67" t="s">
        <v>159</v>
      </c>
      <c r="K227" s="66" t="s">
        <v>2881</v>
      </c>
      <c r="L227" s="70">
        <v>477.0952380952381</v>
      </c>
      <c r="M227" s="71">
        <v>3940.665283203125</v>
      </c>
      <c r="N227" s="71">
        <v>2135.5546875</v>
      </c>
      <c r="O227" s="72"/>
      <c r="P227" s="73"/>
      <c r="Q227" s="73"/>
      <c r="R227" s="86"/>
      <c r="S227" s="45">
        <v>1</v>
      </c>
      <c r="T227" s="45">
        <v>0</v>
      </c>
      <c r="U227" s="46">
        <v>0</v>
      </c>
      <c r="V227" s="46">
        <v>0.255569</v>
      </c>
      <c r="W227" s="46">
        <v>0.011412</v>
      </c>
      <c r="X227" s="46">
        <v>0.002755</v>
      </c>
      <c r="Y227" s="46">
        <v>0</v>
      </c>
      <c r="Z227" s="46">
        <v>0</v>
      </c>
      <c r="AA227" s="68">
        <v>227</v>
      </c>
      <c r="AB227" s="68"/>
      <c r="AC227" s="69"/>
      <c r="AD227" s="76" t="s">
        <v>1472</v>
      </c>
      <c r="AE227" s="80" t="s">
        <v>1773</v>
      </c>
      <c r="AF227" s="76">
        <v>9780</v>
      </c>
      <c r="AG227" s="76">
        <v>3088</v>
      </c>
      <c r="AH227" s="76">
        <v>95252</v>
      </c>
      <c r="AI227" s="76">
        <v>898</v>
      </c>
      <c r="AJ227" s="76">
        <v>2409</v>
      </c>
      <c r="AK227" s="76">
        <v>9747</v>
      </c>
      <c r="AL227" s="76" t="b">
        <v>0</v>
      </c>
      <c r="AM227" s="78">
        <v>39703.472916666666</v>
      </c>
      <c r="AN227" s="76" t="s">
        <v>1983</v>
      </c>
      <c r="AO227" s="76" t="s">
        <v>2257</v>
      </c>
      <c r="AP227" s="82" t="str">
        <f>HYPERLINK("https://t.co/0TlT6H03Bm")</f>
        <v>https://t.co/0TlT6H03Bm</v>
      </c>
      <c r="AQ227" s="82" t="str">
        <f>HYPERLINK("https://linktr.ee/kfreberg")</f>
        <v>https://linktr.ee/kfreberg</v>
      </c>
      <c r="AR227" s="76" t="s">
        <v>2516</v>
      </c>
      <c r="AS227" s="76"/>
      <c r="AT227" s="76"/>
      <c r="AU227" s="76"/>
      <c r="AV227" s="76">
        <v>1.40224263316721E+18</v>
      </c>
      <c r="AW227" s="82" t="str">
        <f>HYPERLINK("https://t.co/0TlT6H03Bm")</f>
        <v>https://t.co/0TlT6H03Bm</v>
      </c>
      <c r="AX227" s="76" t="b">
        <v>1</v>
      </c>
      <c r="AY227" s="76"/>
      <c r="AZ227" s="76"/>
      <c r="BA227" s="76" t="b">
        <v>0</v>
      </c>
      <c r="BB227" s="76" t="b">
        <v>1</v>
      </c>
      <c r="BC227" s="76" t="b">
        <v>0</v>
      </c>
      <c r="BD227" s="76" t="b">
        <v>0</v>
      </c>
      <c r="BE227" s="76" t="b">
        <v>1</v>
      </c>
      <c r="BF227" s="76" t="b">
        <v>0</v>
      </c>
      <c r="BG227" s="76" t="b">
        <v>0</v>
      </c>
      <c r="BH227" s="82" t="str">
        <f>HYPERLINK("https://pbs.twimg.com/profile_banners/16255254/1663086900")</f>
        <v>https://pbs.twimg.com/profile_banners/16255254/1663086900</v>
      </c>
      <c r="BI227" s="76"/>
      <c r="BJ227" s="76" t="s">
        <v>2656</v>
      </c>
      <c r="BK227" s="76" t="b">
        <v>0</v>
      </c>
      <c r="BL227" s="76"/>
      <c r="BM227" s="76" t="s">
        <v>65</v>
      </c>
      <c r="BN227" s="76" t="s">
        <v>2657</v>
      </c>
      <c r="BO227" s="82" t="str">
        <f>HYPERLINK("https://twitter.com/kfreberg")</f>
        <v>https://twitter.com/kfreberg</v>
      </c>
      <c r="BP227" s="76" t="str">
        <f>REPLACE(INDEX(GroupVertices[Group],MATCH(Vertices[[#This Row],[Vertex]],GroupVertices[Vertex],0)),1,1,"")</f>
        <v>3</v>
      </c>
      <c r="BQ227" s="45"/>
      <c r="BR227" s="46"/>
      <c r="BS227" s="45"/>
      <c r="BT227" s="46"/>
      <c r="BU227" s="45"/>
      <c r="BV227" s="46"/>
      <c r="BW227" s="45"/>
      <c r="BX227" s="46"/>
      <c r="BY227" s="45"/>
      <c r="BZ227" s="45"/>
      <c r="CA227" s="45"/>
      <c r="CB227" s="45"/>
      <c r="CC227" s="45"/>
      <c r="CD227" s="45"/>
      <c r="CE227" s="45"/>
      <c r="CF227" s="45"/>
      <c r="CG227" s="45"/>
      <c r="CH227" s="45"/>
      <c r="CI227" s="45"/>
      <c r="CJ227" s="2"/>
    </row>
    <row r="228" spans="1:88" ht="15">
      <c r="A228" s="61" t="s">
        <v>471</v>
      </c>
      <c r="B228" s="62"/>
      <c r="C228" s="62"/>
      <c r="D228" s="63">
        <v>1000</v>
      </c>
      <c r="E228" s="65"/>
      <c r="F228" s="100" t="str">
        <f>HYPERLINK("https://pbs.twimg.com/profile_images/943596894831255552/cMOzkc5i_normal.jpg")</f>
        <v>https://pbs.twimg.com/profile_images/943596894831255552/cMOzkc5i_normal.jpg</v>
      </c>
      <c r="G228" s="62"/>
      <c r="H228" s="66" t="s">
        <v>471</v>
      </c>
      <c r="I228" s="67"/>
      <c r="J228" s="67" t="s">
        <v>159</v>
      </c>
      <c r="K228" s="66" t="s">
        <v>2882</v>
      </c>
      <c r="L228" s="70">
        <v>1429.2857142857142</v>
      </c>
      <c r="M228" s="71">
        <v>7900.35302734375</v>
      </c>
      <c r="N228" s="71">
        <v>2277.571044921875</v>
      </c>
      <c r="O228" s="72"/>
      <c r="P228" s="73"/>
      <c r="Q228" s="73"/>
      <c r="R228" s="86"/>
      <c r="S228" s="45">
        <v>3</v>
      </c>
      <c r="T228" s="45">
        <v>0</v>
      </c>
      <c r="U228" s="46">
        <v>1499.071429</v>
      </c>
      <c r="V228" s="46">
        <v>0.319018</v>
      </c>
      <c r="W228" s="46">
        <v>0.064583</v>
      </c>
      <c r="X228" s="46">
        <v>0.002897</v>
      </c>
      <c r="Y228" s="46">
        <v>0</v>
      </c>
      <c r="Z228" s="46">
        <v>0</v>
      </c>
      <c r="AA228" s="68">
        <v>228</v>
      </c>
      <c r="AB228" s="68"/>
      <c r="AC228" s="69"/>
      <c r="AD228" s="76" t="s">
        <v>1473</v>
      </c>
      <c r="AE228" s="80" t="s">
        <v>1774</v>
      </c>
      <c r="AF228" s="76">
        <v>11818</v>
      </c>
      <c r="AG228" s="76">
        <v>7325</v>
      </c>
      <c r="AH228" s="76">
        <v>13236</v>
      </c>
      <c r="AI228" s="76">
        <v>1266</v>
      </c>
      <c r="AJ228" s="76">
        <v>68174</v>
      </c>
      <c r="AK228" s="76">
        <v>606</v>
      </c>
      <c r="AL228" s="76" t="b">
        <v>0</v>
      </c>
      <c r="AM228" s="78">
        <v>39459.80023148148</v>
      </c>
      <c r="AN228" s="76" t="s">
        <v>1984</v>
      </c>
      <c r="AO228" s="76" t="s">
        <v>2258</v>
      </c>
      <c r="AP228" s="82" t="str">
        <f>HYPERLINK("http://t.co/X1s40eTq9M")</f>
        <v>http://t.co/X1s40eTq9M</v>
      </c>
      <c r="AQ228" s="82" t="str">
        <f>HYPERLINK("http://connectedaction.net")</f>
        <v>http://connectedaction.net</v>
      </c>
      <c r="AR228" s="76" t="s">
        <v>2517</v>
      </c>
      <c r="AS228" s="76" t="s">
        <v>2589</v>
      </c>
      <c r="AT228" s="76" t="s">
        <v>2601</v>
      </c>
      <c r="AU228" s="76" t="s">
        <v>2643</v>
      </c>
      <c r="AV228" s="76">
        <v>6.08321015534518E+17</v>
      </c>
      <c r="AW228" s="82" t="str">
        <f>HYPERLINK("http://t.co/X1s40eTq9M")</f>
        <v>http://t.co/X1s40eTq9M</v>
      </c>
      <c r="AX228" s="76" t="b">
        <v>0</v>
      </c>
      <c r="AY228" s="76" t="b">
        <v>1</v>
      </c>
      <c r="AZ228" s="76" t="b">
        <v>1</v>
      </c>
      <c r="BA228" s="76" t="b">
        <v>1</v>
      </c>
      <c r="BB228" s="76" t="b">
        <v>1</v>
      </c>
      <c r="BC228" s="76" t="b">
        <v>0</v>
      </c>
      <c r="BD228" s="76" t="b">
        <v>0</v>
      </c>
      <c r="BE228" s="76" t="b">
        <v>0</v>
      </c>
      <c r="BF228" s="76" t="b">
        <v>0</v>
      </c>
      <c r="BG228" s="76" t="b">
        <v>0</v>
      </c>
      <c r="BH228" s="82" t="str">
        <f>HYPERLINK("https://pbs.twimg.com/profile_banners/12160482/1423267766")</f>
        <v>https://pbs.twimg.com/profile_banners/12160482/1423267766</v>
      </c>
      <c r="BI228" s="76"/>
      <c r="BJ228" s="76" t="s">
        <v>2656</v>
      </c>
      <c r="BK228" s="76" t="b">
        <v>1</v>
      </c>
      <c r="BL228" s="76"/>
      <c r="BM228" s="76" t="s">
        <v>65</v>
      </c>
      <c r="BN228" s="76" t="s">
        <v>2657</v>
      </c>
      <c r="BO228" s="82" t="str">
        <f>HYPERLINK("https://twitter.com/marc_smith")</f>
        <v>https://twitter.com/marc_smith</v>
      </c>
      <c r="BP228" s="76" t="str">
        <f>REPLACE(INDEX(GroupVertices[Group],MATCH(Vertices[[#This Row],[Vertex]],GroupVertices[Vertex],0)),1,1,"")</f>
        <v>9</v>
      </c>
      <c r="BQ228" s="45"/>
      <c r="BR228" s="46"/>
      <c r="BS228" s="45"/>
      <c r="BT228" s="46"/>
      <c r="BU228" s="45"/>
      <c r="BV228" s="46"/>
      <c r="BW228" s="45"/>
      <c r="BX228" s="46"/>
      <c r="BY228" s="45"/>
      <c r="BZ228" s="45"/>
      <c r="CA228" s="45"/>
      <c r="CB228" s="45"/>
      <c r="CC228" s="45"/>
      <c r="CD228" s="45"/>
      <c r="CE228" s="45"/>
      <c r="CF228" s="45"/>
      <c r="CG228" s="45"/>
      <c r="CH228" s="45"/>
      <c r="CI228" s="45"/>
      <c r="CJ228" s="2"/>
    </row>
    <row r="229" spans="1:88" ht="15">
      <c r="A229" s="61" t="s">
        <v>259</v>
      </c>
      <c r="B229" s="62"/>
      <c r="C229" s="62"/>
      <c r="D229" s="63">
        <v>1000</v>
      </c>
      <c r="E229" s="65"/>
      <c r="F229" s="100" t="str">
        <f>HYPERLINK("https://pbs.twimg.com/profile_images/1331610042748051458/8NtBN_eL_normal.jpg")</f>
        <v>https://pbs.twimg.com/profile_images/1331610042748051458/8NtBN_eL_normal.jpg</v>
      </c>
      <c r="G229" s="62"/>
      <c r="H229" s="66" t="s">
        <v>259</v>
      </c>
      <c r="I229" s="67"/>
      <c r="J229" s="67" t="s">
        <v>159</v>
      </c>
      <c r="K229" s="66" t="s">
        <v>2883</v>
      </c>
      <c r="L229" s="70">
        <v>2381.4761904761904</v>
      </c>
      <c r="M229" s="71">
        <v>6938.49267578125</v>
      </c>
      <c r="N229" s="71">
        <v>5197.18896484375</v>
      </c>
      <c r="O229" s="72"/>
      <c r="P229" s="73"/>
      <c r="Q229" s="73"/>
      <c r="R229" s="86"/>
      <c r="S229" s="45">
        <v>5</v>
      </c>
      <c r="T229" s="45">
        <v>14</v>
      </c>
      <c r="U229" s="46">
        <v>4117.196639</v>
      </c>
      <c r="V229" s="46">
        <v>0.354192</v>
      </c>
      <c r="W229" s="46">
        <v>0.124371</v>
      </c>
      <c r="X229" s="46">
        <v>0.00381</v>
      </c>
      <c r="Y229" s="46">
        <v>0.22083333333333333</v>
      </c>
      <c r="Z229" s="46">
        <v>0.1875</v>
      </c>
      <c r="AA229" s="68">
        <v>229</v>
      </c>
      <c r="AB229" s="68"/>
      <c r="AC229" s="69"/>
      <c r="AD229" s="76" t="s">
        <v>1474</v>
      </c>
      <c r="AE229" s="80" t="s">
        <v>1188</v>
      </c>
      <c r="AF229" s="76">
        <v>36924</v>
      </c>
      <c r="AG229" s="76">
        <v>38616</v>
      </c>
      <c r="AH229" s="76">
        <v>213415</v>
      </c>
      <c r="AI229" s="76">
        <v>1494</v>
      </c>
      <c r="AJ229" s="76">
        <v>19976</v>
      </c>
      <c r="AK229" s="76">
        <v>16449</v>
      </c>
      <c r="AL229" s="76" t="b">
        <v>0</v>
      </c>
      <c r="AM229" s="78">
        <v>39935.52559027778</v>
      </c>
      <c r="AN229" s="76" t="s">
        <v>1985</v>
      </c>
      <c r="AO229" s="76" t="s">
        <v>2259</v>
      </c>
      <c r="AP229" s="82" t="str">
        <f>HYPERLINK("https://t.co/MyDJSXAu2M")</f>
        <v>https://t.co/MyDJSXAu2M</v>
      </c>
      <c r="AQ229" s="82" t="str">
        <f>HYPERLINK("https://www.youtube.com/channel/UCIQ7QeSM-B3khZq9cXpmckg")</f>
        <v>https://www.youtube.com/channel/UCIQ7QeSM-B3khZq9cXpmckg</v>
      </c>
      <c r="AR229" s="76" t="s">
        <v>2518</v>
      </c>
      <c r="AS229" s="76"/>
      <c r="AT229" s="76"/>
      <c r="AU229" s="76"/>
      <c r="AV229" s="76"/>
      <c r="AW229" s="82" t="str">
        <f>HYPERLINK("https://t.co/MyDJSXAu2M")</f>
        <v>https://t.co/MyDJSXAu2M</v>
      </c>
      <c r="AX229" s="76" t="b">
        <v>1</v>
      </c>
      <c r="AY229" s="76"/>
      <c r="AZ229" s="76"/>
      <c r="BA229" s="76" t="b">
        <v>0</v>
      </c>
      <c r="BB229" s="76" t="b">
        <v>1</v>
      </c>
      <c r="BC229" s="76" t="b">
        <v>0</v>
      </c>
      <c r="BD229" s="76" t="b">
        <v>0</v>
      </c>
      <c r="BE229" s="76" t="b">
        <v>1</v>
      </c>
      <c r="BF229" s="76" t="b">
        <v>0</v>
      </c>
      <c r="BG229" s="76" t="b">
        <v>0</v>
      </c>
      <c r="BH229" s="82" t="str">
        <f>HYPERLINK("https://pbs.twimg.com/profile_banners/37188645/1678538523")</f>
        <v>https://pbs.twimg.com/profile_banners/37188645/1678538523</v>
      </c>
      <c r="BI229" s="76"/>
      <c r="BJ229" s="76" t="s">
        <v>2656</v>
      </c>
      <c r="BK229" s="76" t="b">
        <v>0</v>
      </c>
      <c r="BL229" s="76"/>
      <c r="BM229" s="76" t="s">
        <v>66</v>
      </c>
      <c r="BN229" s="76" t="s">
        <v>2657</v>
      </c>
      <c r="BO229" s="82" t="str">
        <f>HYPERLINK("https://twitter.com/michaelbathurst")</f>
        <v>https://twitter.com/michaelbathurst</v>
      </c>
      <c r="BP229" s="76" t="str">
        <f>REPLACE(INDEX(GroupVertices[Group],MATCH(Vertices[[#This Row],[Vertex]],GroupVertices[Vertex],0)),1,1,"")</f>
        <v>8</v>
      </c>
      <c r="BQ229" s="45">
        <v>1</v>
      </c>
      <c r="BR229" s="46">
        <v>4.761904761904762</v>
      </c>
      <c r="BS229" s="45">
        <v>0</v>
      </c>
      <c r="BT229" s="46">
        <v>0</v>
      </c>
      <c r="BU229" s="45">
        <v>0</v>
      </c>
      <c r="BV229" s="46">
        <v>0</v>
      </c>
      <c r="BW229" s="45">
        <v>20</v>
      </c>
      <c r="BX229" s="46">
        <v>95.23809523809524</v>
      </c>
      <c r="BY229" s="45">
        <v>21</v>
      </c>
      <c r="BZ229" s="45"/>
      <c r="CA229" s="45"/>
      <c r="CB229" s="45"/>
      <c r="CC229" s="45"/>
      <c r="CD229" s="45" t="s">
        <v>727</v>
      </c>
      <c r="CE229" s="45" t="s">
        <v>11578</v>
      </c>
      <c r="CF229" s="112" t="s">
        <v>11603</v>
      </c>
      <c r="CG229" s="112" t="s">
        <v>11603</v>
      </c>
      <c r="CH229" s="112" t="s">
        <v>11658</v>
      </c>
      <c r="CI229" s="112" t="s">
        <v>11658</v>
      </c>
      <c r="CJ229" s="2"/>
    </row>
    <row r="230" spans="1:88" ht="15">
      <c r="A230" s="61" t="s">
        <v>239</v>
      </c>
      <c r="B230" s="62"/>
      <c r="C230" s="62"/>
      <c r="D230" s="63">
        <v>70</v>
      </c>
      <c r="E230" s="65"/>
      <c r="F230" s="100" t="str">
        <f>HYPERLINK("https://pbs.twimg.com/profile_images/1487756429276684289/Kqq9xAOb_normal.png")</f>
        <v>https://pbs.twimg.com/profile_images/1487756429276684289/Kqq9xAOb_normal.png</v>
      </c>
      <c r="G230" s="62"/>
      <c r="H230" s="66" t="s">
        <v>239</v>
      </c>
      <c r="I230" s="67"/>
      <c r="J230" s="67" t="s">
        <v>159</v>
      </c>
      <c r="K230" s="66" t="s">
        <v>2884</v>
      </c>
      <c r="L230" s="70">
        <v>1</v>
      </c>
      <c r="M230" s="71">
        <v>5198.38427734375</v>
      </c>
      <c r="N230" s="71">
        <v>4445.41748046875</v>
      </c>
      <c r="O230" s="72"/>
      <c r="P230" s="73"/>
      <c r="Q230" s="73"/>
      <c r="R230" s="86"/>
      <c r="S230" s="45">
        <v>0</v>
      </c>
      <c r="T230" s="45">
        <v>21</v>
      </c>
      <c r="U230" s="46">
        <v>10876.533333</v>
      </c>
      <c r="V230" s="46">
        <v>0.329678</v>
      </c>
      <c r="W230" s="46">
        <v>0.032471</v>
      </c>
      <c r="X230" s="46">
        <v>0.010709</v>
      </c>
      <c r="Y230" s="46">
        <v>0</v>
      </c>
      <c r="Z230" s="46">
        <v>0</v>
      </c>
      <c r="AA230" s="68">
        <v>230</v>
      </c>
      <c r="AB230" s="68"/>
      <c r="AC230" s="69"/>
      <c r="AD230" s="76" t="s">
        <v>1475</v>
      </c>
      <c r="AE230" s="80" t="s">
        <v>1205</v>
      </c>
      <c r="AF230" s="76">
        <v>1204</v>
      </c>
      <c r="AG230" s="76">
        <v>2526</v>
      </c>
      <c r="AH230" s="76">
        <v>25778</v>
      </c>
      <c r="AI230" s="76">
        <v>21</v>
      </c>
      <c r="AJ230" s="76">
        <v>14158</v>
      </c>
      <c r="AK230" s="76">
        <v>10512</v>
      </c>
      <c r="AL230" s="76" t="b">
        <v>0</v>
      </c>
      <c r="AM230" s="78">
        <v>44286.527395833335</v>
      </c>
      <c r="AN230" s="76" t="s">
        <v>1986</v>
      </c>
      <c r="AO230" s="76" t="s">
        <v>2260</v>
      </c>
      <c r="AP230" s="82" t="str">
        <f>HYPERLINK("https://t.co/2GIy6jaa6f")</f>
        <v>https://t.co/2GIy6jaa6f</v>
      </c>
      <c r="AQ230" s="82" t="str">
        <f>HYPERLINK("https://vivianfrancos.com/")</f>
        <v>https://vivianfrancos.com/</v>
      </c>
      <c r="AR230" s="76" t="s">
        <v>2519</v>
      </c>
      <c r="AS230" s="76"/>
      <c r="AT230" s="76"/>
      <c r="AU230" s="76"/>
      <c r="AV230" s="76"/>
      <c r="AW230" s="82" t="str">
        <f>HYPERLINK("https://t.co/2GIy6jaa6f")</f>
        <v>https://t.co/2GIy6jaa6f</v>
      </c>
      <c r="AX230" s="76" t="b">
        <v>1</v>
      </c>
      <c r="AY230" s="76" t="b">
        <v>1</v>
      </c>
      <c r="AZ230" s="76" t="b">
        <v>1</v>
      </c>
      <c r="BA230" s="76" t="b">
        <v>1</v>
      </c>
      <c r="BB230" s="76" t="b">
        <v>1</v>
      </c>
      <c r="BC230" s="76" t="b">
        <v>1</v>
      </c>
      <c r="BD230" s="76" t="b">
        <v>0</v>
      </c>
      <c r="BE230" s="76" t="b">
        <v>0</v>
      </c>
      <c r="BF230" s="76" t="b">
        <v>0</v>
      </c>
      <c r="BG230" s="76" t="b">
        <v>0</v>
      </c>
      <c r="BH230" s="82" t="str">
        <f>HYPERLINK("https://pbs.twimg.com/profile_banners/1377239026432888832/1662127866")</f>
        <v>https://pbs.twimg.com/profile_banners/1377239026432888832/1662127866</v>
      </c>
      <c r="BI230" s="76"/>
      <c r="BJ230" s="76" t="s">
        <v>2656</v>
      </c>
      <c r="BK230" s="76" t="b">
        <v>1</v>
      </c>
      <c r="BL230" s="76"/>
      <c r="BM230" s="76" t="s">
        <v>66</v>
      </c>
      <c r="BN230" s="76" t="s">
        <v>2657</v>
      </c>
      <c r="BO230" s="82" t="str">
        <f>HYPERLINK("https://twitter.com/hashtagmarketi7")</f>
        <v>https://twitter.com/hashtagmarketi7</v>
      </c>
      <c r="BP230" s="76" t="str">
        <f>REPLACE(INDEX(GroupVertices[Group],MATCH(Vertices[[#This Row],[Vertex]],GroupVertices[Vertex],0)),1,1,"")</f>
        <v>5</v>
      </c>
      <c r="BQ230" s="45">
        <v>2</v>
      </c>
      <c r="BR230" s="46">
        <v>3.9215686274509802</v>
      </c>
      <c r="BS230" s="45">
        <v>0</v>
      </c>
      <c r="BT230" s="46">
        <v>0</v>
      </c>
      <c r="BU230" s="45">
        <v>0</v>
      </c>
      <c r="BV230" s="46">
        <v>0</v>
      </c>
      <c r="BW230" s="45">
        <v>44</v>
      </c>
      <c r="BX230" s="46">
        <v>86.27450980392157</v>
      </c>
      <c r="BY230" s="45">
        <v>51</v>
      </c>
      <c r="BZ230" s="45" t="s">
        <v>11311</v>
      </c>
      <c r="CA230" s="45" t="s">
        <v>11311</v>
      </c>
      <c r="CB230" s="45" t="s">
        <v>740</v>
      </c>
      <c r="CC230" s="45" t="s">
        <v>740</v>
      </c>
      <c r="CD230" s="45" t="s">
        <v>11351</v>
      </c>
      <c r="CE230" s="45" t="s">
        <v>11579</v>
      </c>
      <c r="CF230" s="112" t="s">
        <v>11604</v>
      </c>
      <c r="CG230" s="112" t="s">
        <v>11635</v>
      </c>
      <c r="CH230" s="112" t="s">
        <v>11659</v>
      </c>
      <c r="CI230" s="112" t="s">
        <v>11688</v>
      </c>
      <c r="CJ230" s="2"/>
    </row>
    <row r="231" spans="1:88" ht="15">
      <c r="A231" s="61" t="s">
        <v>472</v>
      </c>
      <c r="B231" s="62"/>
      <c r="C231" s="62"/>
      <c r="D231" s="63">
        <v>535</v>
      </c>
      <c r="E231" s="65"/>
      <c r="F231" s="100" t="str">
        <f>HYPERLINK("https://pbs.twimg.com/profile_images/1560605045015674880/lS3ha1Wt_normal.jpg")</f>
        <v>https://pbs.twimg.com/profile_images/1560605045015674880/lS3ha1Wt_normal.jpg</v>
      </c>
      <c r="G231" s="62"/>
      <c r="H231" s="66" t="s">
        <v>472</v>
      </c>
      <c r="I231" s="67"/>
      <c r="J231" s="67" t="s">
        <v>159</v>
      </c>
      <c r="K231" s="66" t="s">
        <v>2885</v>
      </c>
      <c r="L231" s="70">
        <v>477.0952380952381</v>
      </c>
      <c r="M231" s="71">
        <v>5949.943359375</v>
      </c>
      <c r="N231" s="71">
        <v>5349.9990234375</v>
      </c>
      <c r="O231" s="72"/>
      <c r="P231" s="73"/>
      <c r="Q231" s="73"/>
      <c r="R231" s="86"/>
      <c r="S231" s="45">
        <v>1</v>
      </c>
      <c r="T231" s="45">
        <v>0</v>
      </c>
      <c r="U231" s="46">
        <v>0</v>
      </c>
      <c r="V231" s="46">
        <v>0.244055</v>
      </c>
      <c r="W231" s="46">
        <v>0.002917</v>
      </c>
      <c r="X231" s="46">
        <v>0.002766</v>
      </c>
      <c r="Y231" s="46">
        <v>0</v>
      </c>
      <c r="Z231" s="46">
        <v>0</v>
      </c>
      <c r="AA231" s="68">
        <v>231</v>
      </c>
      <c r="AB231" s="68"/>
      <c r="AC231" s="69"/>
      <c r="AD231" s="76" t="s">
        <v>1476</v>
      </c>
      <c r="AE231" s="80" t="s">
        <v>1775</v>
      </c>
      <c r="AF231" s="76">
        <v>41499</v>
      </c>
      <c r="AG231" s="76">
        <v>660</v>
      </c>
      <c r="AH231" s="76">
        <v>4305</v>
      </c>
      <c r="AI231" s="76">
        <v>283</v>
      </c>
      <c r="AJ231" s="76">
        <v>44902</v>
      </c>
      <c r="AK231" s="76">
        <v>453</v>
      </c>
      <c r="AL231" s="76" t="b">
        <v>0</v>
      </c>
      <c r="AM231" s="78">
        <v>44322.29207175926</v>
      </c>
      <c r="AN231" s="76" t="s">
        <v>1987</v>
      </c>
      <c r="AO231" s="76" t="s">
        <v>2261</v>
      </c>
      <c r="AP231" s="76"/>
      <c r="AQ231" s="76"/>
      <c r="AR231" s="76"/>
      <c r="AS231" s="76"/>
      <c r="AT231" s="76"/>
      <c r="AU231" s="76"/>
      <c r="AV231" s="76">
        <v>1.62471642632069E+18</v>
      </c>
      <c r="AW231" s="76"/>
      <c r="AX231" s="76" t="b">
        <v>1</v>
      </c>
      <c r="AY231" s="76"/>
      <c r="AZ231" s="76"/>
      <c r="BA231" s="76" t="b">
        <v>1</v>
      </c>
      <c r="BB231" s="76" t="b">
        <v>1</v>
      </c>
      <c r="BC231" s="76" t="b">
        <v>1</v>
      </c>
      <c r="BD231" s="76" t="b">
        <v>0</v>
      </c>
      <c r="BE231" s="76" t="b">
        <v>1</v>
      </c>
      <c r="BF231" s="76" t="b">
        <v>0</v>
      </c>
      <c r="BG231" s="76" t="b">
        <v>0</v>
      </c>
      <c r="BH231" s="82" t="str">
        <f>HYPERLINK("https://pbs.twimg.com/profile_banners/1390199742114770947/1646295713")</f>
        <v>https://pbs.twimg.com/profile_banners/1390199742114770947/1646295713</v>
      </c>
      <c r="BI231" s="76"/>
      <c r="BJ231" s="76" t="s">
        <v>2656</v>
      </c>
      <c r="BK231" s="76" t="b">
        <v>0</v>
      </c>
      <c r="BL231" s="76"/>
      <c r="BM231" s="76" t="s">
        <v>65</v>
      </c>
      <c r="BN231" s="76" t="s">
        <v>2657</v>
      </c>
      <c r="BO231" s="82" t="str">
        <f>HYPERLINK("https://twitter.com/btc_for_freedom")</f>
        <v>https://twitter.com/btc_for_freedom</v>
      </c>
      <c r="BP231" s="76" t="str">
        <f>REPLACE(INDEX(GroupVertices[Group],MATCH(Vertices[[#This Row],[Vertex]],GroupVertices[Vertex],0)),1,1,"")</f>
        <v>5</v>
      </c>
      <c r="BQ231" s="45"/>
      <c r="BR231" s="46"/>
      <c r="BS231" s="45"/>
      <c r="BT231" s="46"/>
      <c r="BU231" s="45"/>
      <c r="BV231" s="46"/>
      <c r="BW231" s="45"/>
      <c r="BX231" s="46"/>
      <c r="BY231" s="45"/>
      <c r="BZ231" s="45"/>
      <c r="CA231" s="45"/>
      <c r="CB231" s="45"/>
      <c r="CC231" s="45"/>
      <c r="CD231" s="45"/>
      <c r="CE231" s="45"/>
      <c r="CF231" s="45"/>
      <c r="CG231" s="45"/>
      <c r="CH231" s="45"/>
      <c r="CI231" s="45"/>
      <c r="CJ231" s="2"/>
    </row>
    <row r="232" spans="1:88" ht="15">
      <c r="A232" s="61" t="s">
        <v>473</v>
      </c>
      <c r="B232" s="62"/>
      <c r="C232" s="62"/>
      <c r="D232" s="63">
        <v>535</v>
      </c>
      <c r="E232" s="65"/>
      <c r="F232" s="100" t="str">
        <f>HYPERLINK("https://pbs.twimg.com/profile_images/1485632175932383235/8t0DGo6V_normal.jpg")</f>
        <v>https://pbs.twimg.com/profile_images/1485632175932383235/8t0DGo6V_normal.jpg</v>
      </c>
      <c r="G232" s="62"/>
      <c r="H232" s="66" t="s">
        <v>473</v>
      </c>
      <c r="I232" s="67"/>
      <c r="J232" s="67" t="s">
        <v>159</v>
      </c>
      <c r="K232" s="66" t="s">
        <v>2886</v>
      </c>
      <c r="L232" s="70">
        <v>477.0952380952381</v>
      </c>
      <c r="M232" s="71">
        <v>5644.6845703125</v>
      </c>
      <c r="N232" s="71">
        <v>4990.490234375</v>
      </c>
      <c r="O232" s="72"/>
      <c r="P232" s="73"/>
      <c r="Q232" s="73"/>
      <c r="R232" s="86"/>
      <c r="S232" s="45">
        <v>1</v>
      </c>
      <c r="T232" s="45">
        <v>0</v>
      </c>
      <c r="U232" s="46">
        <v>0</v>
      </c>
      <c r="V232" s="46">
        <v>0.244055</v>
      </c>
      <c r="W232" s="46">
        <v>0.002917</v>
      </c>
      <c r="X232" s="46">
        <v>0.002766</v>
      </c>
      <c r="Y232" s="46">
        <v>0</v>
      </c>
      <c r="Z232" s="46">
        <v>0</v>
      </c>
      <c r="AA232" s="68">
        <v>232</v>
      </c>
      <c r="AB232" s="68"/>
      <c r="AC232" s="69"/>
      <c r="AD232" s="76" t="s">
        <v>1477</v>
      </c>
      <c r="AE232" s="80" t="s">
        <v>1776</v>
      </c>
      <c r="AF232" s="76">
        <v>3113171</v>
      </c>
      <c r="AG232" s="76">
        <v>597</v>
      </c>
      <c r="AH232" s="76">
        <v>4627</v>
      </c>
      <c r="AI232" s="76">
        <v>18283</v>
      </c>
      <c r="AJ232" s="76">
        <v>4057</v>
      </c>
      <c r="AK232" s="76">
        <v>896</v>
      </c>
      <c r="AL232" s="76" t="b">
        <v>0</v>
      </c>
      <c r="AM232" s="78">
        <v>40572.84101851852</v>
      </c>
      <c r="AN232" s="76" t="s">
        <v>1988</v>
      </c>
      <c r="AO232" s="76" t="s">
        <v>2262</v>
      </c>
      <c r="AP232" s="82" t="str">
        <f>HYPERLINK("https://t.co/OgF8IgNiDo")</f>
        <v>https://t.co/OgF8IgNiDo</v>
      </c>
      <c r="AQ232" s="82" t="str">
        <f>HYPERLINK("https://microstrategy.com")</f>
        <v>https://microstrategy.com</v>
      </c>
      <c r="AR232" s="76" t="s">
        <v>2520</v>
      </c>
      <c r="AS232" s="76" t="s">
        <v>2590</v>
      </c>
      <c r="AT232" s="76" t="s">
        <v>2602</v>
      </c>
      <c r="AU232" s="76" t="s">
        <v>2644</v>
      </c>
      <c r="AV232" s="76">
        <v>1.30702956232123E+18</v>
      </c>
      <c r="AW232" s="82" t="str">
        <f>HYPERLINK("https://t.co/OgF8IgNiDo")</f>
        <v>https://t.co/OgF8IgNiDo</v>
      </c>
      <c r="AX232" s="76" t="b">
        <v>1</v>
      </c>
      <c r="AY232" s="76"/>
      <c r="AZ232" s="76"/>
      <c r="BA232" s="76" t="b">
        <v>1</v>
      </c>
      <c r="BB232" s="76" t="b">
        <v>1</v>
      </c>
      <c r="BC232" s="76" t="b">
        <v>1</v>
      </c>
      <c r="BD232" s="76" t="b">
        <v>0</v>
      </c>
      <c r="BE232" s="76" t="b">
        <v>1</v>
      </c>
      <c r="BF232" s="76" t="b">
        <v>0</v>
      </c>
      <c r="BG232" s="76" t="b">
        <v>0</v>
      </c>
      <c r="BH232" s="82" t="str">
        <f>HYPERLINK("https://pbs.twimg.com/profile_banners/244647486/1606261344")</f>
        <v>https://pbs.twimg.com/profile_banners/244647486/1606261344</v>
      </c>
      <c r="BI232" s="76"/>
      <c r="BJ232" s="76" t="s">
        <v>2656</v>
      </c>
      <c r="BK232" s="76" t="b">
        <v>0</v>
      </c>
      <c r="BL232" s="76"/>
      <c r="BM232" s="76" t="s">
        <v>65</v>
      </c>
      <c r="BN232" s="76" t="s">
        <v>2657</v>
      </c>
      <c r="BO232" s="82" t="str">
        <f>HYPERLINK("https://twitter.com/saylor")</f>
        <v>https://twitter.com/saylor</v>
      </c>
      <c r="BP232" s="76" t="str">
        <f>REPLACE(INDEX(GroupVertices[Group],MATCH(Vertices[[#This Row],[Vertex]],GroupVertices[Vertex],0)),1,1,"")</f>
        <v>5</v>
      </c>
      <c r="BQ232" s="45"/>
      <c r="BR232" s="46"/>
      <c r="BS232" s="45"/>
      <c r="BT232" s="46"/>
      <c r="BU232" s="45"/>
      <c r="BV232" s="46"/>
      <c r="BW232" s="45"/>
      <c r="BX232" s="46"/>
      <c r="BY232" s="45"/>
      <c r="BZ232" s="45"/>
      <c r="CA232" s="45"/>
      <c r="CB232" s="45"/>
      <c r="CC232" s="45"/>
      <c r="CD232" s="45"/>
      <c r="CE232" s="45"/>
      <c r="CF232" s="45"/>
      <c r="CG232" s="45"/>
      <c r="CH232" s="45"/>
      <c r="CI232" s="45"/>
      <c r="CJ232" s="2"/>
    </row>
    <row r="233" spans="1:88" ht="15">
      <c r="A233" s="61" t="s">
        <v>474</v>
      </c>
      <c r="B233" s="62"/>
      <c r="C233" s="62"/>
      <c r="D233" s="63">
        <v>535</v>
      </c>
      <c r="E233" s="65"/>
      <c r="F233" s="100" t="str">
        <f>HYPERLINK("https://pbs.twimg.com/profile_images/1620979330288439296/pIFd9Ai7_normal.jpg")</f>
        <v>https://pbs.twimg.com/profile_images/1620979330288439296/pIFd9Ai7_normal.jpg</v>
      </c>
      <c r="G233" s="62"/>
      <c r="H233" s="66" t="s">
        <v>474</v>
      </c>
      <c r="I233" s="67"/>
      <c r="J233" s="67" t="s">
        <v>159</v>
      </c>
      <c r="K233" s="66" t="s">
        <v>2887</v>
      </c>
      <c r="L233" s="70">
        <v>477.0952380952381</v>
      </c>
      <c r="M233" s="71">
        <v>6026.55615234375</v>
      </c>
      <c r="N233" s="71">
        <v>3770.1083984375</v>
      </c>
      <c r="O233" s="72"/>
      <c r="P233" s="73"/>
      <c r="Q233" s="73"/>
      <c r="R233" s="86"/>
      <c r="S233" s="45">
        <v>1</v>
      </c>
      <c r="T233" s="45">
        <v>0</v>
      </c>
      <c r="U233" s="46">
        <v>0</v>
      </c>
      <c r="V233" s="46">
        <v>0.244055</v>
      </c>
      <c r="W233" s="46">
        <v>0.002917</v>
      </c>
      <c r="X233" s="46">
        <v>0.002766</v>
      </c>
      <c r="Y233" s="46">
        <v>0</v>
      </c>
      <c r="Z233" s="46">
        <v>0</v>
      </c>
      <c r="AA233" s="68">
        <v>233</v>
      </c>
      <c r="AB233" s="68"/>
      <c r="AC233" s="69"/>
      <c r="AD233" s="76" t="s">
        <v>1478</v>
      </c>
      <c r="AE233" s="80" t="s">
        <v>1777</v>
      </c>
      <c r="AF233" s="76">
        <v>47017</v>
      </c>
      <c r="AG233" s="76">
        <v>607</v>
      </c>
      <c r="AH233" s="76">
        <v>12472</v>
      </c>
      <c r="AI233" s="76">
        <v>288</v>
      </c>
      <c r="AJ233" s="76">
        <v>20684</v>
      </c>
      <c r="AK233" s="76">
        <v>3031</v>
      </c>
      <c r="AL233" s="76" t="b">
        <v>0</v>
      </c>
      <c r="AM233" s="78">
        <v>44390.90762731482</v>
      </c>
      <c r="AN233" s="76" t="s">
        <v>1989</v>
      </c>
      <c r="AO233" s="76" t="s">
        <v>2263</v>
      </c>
      <c r="AP233" s="82" t="str">
        <f>HYPERLINK("https://t.co/7rUeOM11MR")</f>
        <v>https://t.co/7rUeOM11MR</v>
      </c>
      <c r="AQ233" s="82" t="str">
        <f>HYPERLINK("http://btctherapy.io/subscribe")</f>
        <v>http://btctherapy.io/subscribe</v>
      </c>
      <c r="AR233" s="76" t="s">
        <v>2521</v>
      </c>
      <c r="AS233" s="76"/>
      <c r="AT233" s="76"/>
      <c r="AU233" s="76"/>
      <c r="AV233" s="76">
        <v>1.47984976245526E+18</v>
      </c>
      <c r="AW233" s="82" t="str">
        <f>HYPERLINK("https://t.co/7rUeOM11MR")</f>
        <v>https://t.co/7rUeOM11MR</v>
      </c>
      <c r="AX233" s="76" t="b">
        <v>1</v>
      </c>
      <c r="AY233" s="76"/>
      <c r="AZ233" s="76"/>
      <c r="BA233" s="76" t="b">
        <v>1</v>
      </c>
      <c r="BB233" s="76" t="b">
        <v>1</v>
      </c>
      <c r="BC233" s="76" t="b">
        <v>1</v>
      </c>
      <c r="BD233" s="76" t="b">
        <v>0</v>
      </c>
      <c r="BE233" s="76" t="b">
        <v>0</v>
      </c>
      <c r="BF233" s="76" t="b">
        <v>0</v>
      </c>
      <c r="BG233" s="76" t="b">
        <v>0</v>
      </c>
      <c r="BH233" s="82" t="str">
        <f>HYPERLINK("https://pbs.twimg.com/profile_banners/1415064893628297217/1692425305")</f>
        <v>https://pbs.twimg.com/profile_banners/1415064893628297217/1692425305</v>
      </c>
      <c r="BI233" s="76"/>
      <c r="BJ233" s="76" t="s">
        <v>2656</v>
      </c>
      <c r="BK233" s="76" t="b">
        <v>0</v>
      </c>
      <c r="BL233" s="76"/>
      <c r="BM233" s="76" t="s">
        <v>65</v>
      </c>
      <c r="BN233" s="76" t="s">
        <v>2657</v>
      </c>
      <c r="BO233" s="82" t="str">
        <f>HYPERLINK("https://twitter.com/thebtctherapist")</f>
        <v>https://twitter.com/thebtctherapist</v>
      </c>
      <c r="BP233" s="76" t="str">
        <f>REPLACE(INDEX(GroupVertices[Group],MATCH(Vertices[[#This Row],[Vertex]],GroupVertices[Vertex],0)),1,1,"")</f>
        <v>5</v>
      </c>
      <c r="BQ233" s="45"/>
      <c r="BR233" s="46"/>
      <c r="BS233" s="45"/>
      <c r="BT233" s="46"/>
      <c r="BU233" s="45"/>
      <c r="BV233" s="46"/>
      <c r="BW233" s="45"/>
      <c r="BX233" s="46"/>
      <c r="BY233" s="45"/>
      <c r="BZ233" s="45"/>
      <c r="CA233" s="45"/>
      <c r="CB233" s="45"/>
      <c r="CC233" s="45"/>
      <c r="CD233" s="45"/>
      <c r="CE233" s="45"/>
      <c r="CF233" s="45"/>
      <c r="CG233" s="45"/>
      <c r="CH233" s="45"/>
      <c r="CI233" s="45"/>
      <c r="CJ233" s="2"/>
    </row>
    <row r="234" spans="1:88" ht="15">
      <c r="A234" s="61" t="s">
        <v>475</v>
      </c>
      <c r="B234" s="62"/>
      <c r="C234" s="62"/>
      <c r="D234" s="63">
        <v>535</v>
      </c>
      <c r="E234" s="65"/>
      <c r="F234" s="100" t="str">
        <f>HYPERLINK("https://pbs.twimg.com/profile_images/1695393584579493888/7jsPomCq_normal.jpg")</f>
        <v>https://pbs.twimg.com/profile_images/1695393584579493888/7jsPomCq_normal.jpg</v>
      </c>
      <c r="G234" s="62"/>
      <c r="H234" s="66" t="s">
        <v>475</v>
      </c>
      <c r="I234" s="67"/>
      <c r="J234" s="67" t="s">
        <v>159</v>
      </c>
      <c r="K234" s="66" t="s">
        <v>2888</v>
      </c>
      <c r="L234" s="70">
        <v>477.0952380952381</v>
      </c>
      <c r="M234" s="71">
        <v>4719.57861328125</v>
      </c>
      <c r="N234" s="71">
        <v>4578.42822265625</v>
      </c>
      <c r="O234" s="72"/>
      <c r="P234" s="73"/>
      <c r="Q234" s="73"/>
      <c r="R234" s="86"/>
      <c r="S234" s="45">
        <v>1</v>
      </c>
      <c r="T234" s="45">
        <v>0</v>
      </c>
      <c r="U234" s="46">
        <v>0</v>
      </c>
      <c r="V234" s="46">
        <v>0.244055</v>
      </c>
      <c r="W234" s="46">
        <v>0.002917</v>
      </c>
      <c r="X234" s="46">
        <v>0.002766</v>
      </c>
      <c r="Y234" s="46">
        <v>0</v>
      </c>
      <c r="Z234" s="46">
        <v>0</v>
      </c>
      <c r="AA234" s="68">
        <v>234</v>
      </c>
      <c r="AB234" s="68"/>
      <c r="AC234" s="69"/>
      <c r="AD234" s="76" t="s">
        <v>1479</v>
      </c>
      <c r="AE234" s="80" t="s">
        <v>1778</v>
      </c>
      <c r="AF234" s="76">
        <v>3</v>
      </c>
      <c r="AG234" s="76">
        <v>25</v>
      </c>
      <c r="AH234" s="76">
        <v>171</v>
      </c>
      <c r="AI234" s="76">
        <v>0</v>
      </c>
      <c r="AJ234" s="76">
        <v>242</v>
      </c>
      <c r="AK234" s="76">
        <v>2</v>
      </c>
      <c r="AL234" s="76" t="b">
        <v>0</v>
      </c>
      <c r="AM234" s="78">
        <v>44886.30732638889</v>
      </c>
      <c r="AN234" s="76" t="s">
        <v>1990</v>
      </c>
      <c r="AO234" s="76" t="s">
        <v>2264</v>
      </c>
      <c r="AP234" s="76"/>
      <c r="AQ234" s="76"/>
      <c r="AR234" s="76"/>
      <c r="AS234" s="76"/>
      <c r="AT234" s="76"/>
      <c r="AU234" s="76"/>
      <c r="AV234" s="76"/>
      <c r="AW234" s="76"/>
      <c r="AX234" s="76" t="b">
        <v>0</v>
      </c>
      <c r="AY234" s="76"/>
      <c r="AZ234" s="76"/>
      <c r="BA234" s="76" t="b">
        <v>0</v>
      </c>
      <c r="BB234" s="76" t="b">
        <v>1</v>
      </c>
      <c r="BC234" s="76" t="b">
        <v>1</v>
      </c>
      <c r="BD234" s="76" t="b">
        <v>0</v>
      </c>
      <c r="BE234" s="76" t="b">
        <v>0</v>
      </c>
      <c r="BF234" s="76" t="b">
        <v>0</v>
      </c>
      <c r="BG234" s="76" t="b">
        <v>0</v>
      </c>
      <c r="BH234" s="82" t="str">
        <f>HYPERLINK("https://pbs.twimg.com/profile_banners/1594591961440296961/1693049434")</f>
        <v>https://pbs.twimg.com/profile_banners/1594591961440296961/1693049434</v>
      </c>
      <c r="BI234" s="76"/>
      <c r="BJ234" s="76" t="s">
        <v>2656</v>
      </c>
      <c r="BK234" s="76" t="b">
        <v>0</v>
      </c>
      <c r="BL234" s="76"/>
      <c r="BM234" s="76" t="s">
        <v>65</v>
      </c>
      <c r="BN234" s="76" t="s">
        <v>2657</v>
      </c>
      <c r="BO234" s="82" t="str">
        <f>HYPERLINK("https://twitter.com/_jen_net_")</f>
        <v>https://twitter.com/_jen_net_</v>
      </c>
      <c r="BP234" s="76" t="str">
        <f>REPLACE(INDEX(GroupVertices[Group],MATCH(Vertices[[#This Row],[Vertex]],GroupVertices[Vertex],0)),1,1,"")</f>
        <v>5</v>
      </c>
      <c r="BQ234" s="45"/>
      <c r="BR234" s="46"/>
      <c r="BS234" s="45"/>
      <c r="BT234" s="46"/>
      <c r="BU234" s="45"/>
      <c r="BV234" s="46"/>
      <c r="BW234" s="45"/>
      <c r="BX234" s="46"/>
      <c r="BY234" s="45"/>
      <c r="BZ234" s="45"/>
      <c r="CA234" s="45"/>
      <c r="CB234" s="45"/>
      <c r="CC234" s="45"/>
      <c r="CD234" s="45"/>
      <c r="CE234" s="45"/>
      <c r="CF234" s="45"/>
      <c r="CG234" s="45"/>
      <c r="CH234" s="45"/>
      <c r="CI234" s="45"/>
      <c r="CJ234" s="2"/>
    </row>
    <row r="235" spans="1:88" ht="15">
      <c r="A235" s="61" t="s">
        <v>476</v>
      </c>
      <c r="B235" s="62"/>
      <c r="C235" s="62"/>
      <c r="D235" s="63">
        <v>535</v>
      </c>
      <c r="E235" s="65"/>
      <c r="F235" s="100" t="str">
        <f>HYPERLINK("https://pbs.twimg.com/profile_images/1589358018038321152/wB_lkAgP_normal.jpg")</f>
        <v>https://pbs.twimg.com/profile_images/1589358018038321152/wB_lkAgP_normal.jpg</v>
      </c>
      <c r="G235" s="62"/>
      <c r="H235" s="66" t="s">
        <v>476</v>
      </c>
      <c r="I235" s="67"/>
      <c r="J235" s="67" t="s">
        <v>159</v>
      </c>
      <c r="K235" s="66" t="s">
        <v>2889</v>
      </c>
      <c r="L235" s="70">
        <v>477.0952380952381</v>
      </c>
      <c r="M235" s="71">
        <v>5351.26611328125</v>
      </c>
      <c r="N235" s="71">
        <v>2779.1337890625</v>
      </c>
      <c r="O235" s="72"/>
      <c r="P235" s="73"/>
      <c r="Q235" s="73"/>
      <c r="R235" s="86"/>
      <c r="S235" s="45">
        <v>1</v>
      </c>
      <c r="T235" s="45">
        <v>0</v>
      </c>
      <c r="U235" s="46">
        <v>0</v>
      </c>
      <c r="V235" s="46">
        <v>0.244055</v>
      </c>
      <c r="W235" s="46">
        <v>0.002917</v>
      </c>
      <c r="X235" s="46">
        <v>0.002766</v>
      </c>
      <c r="Y235" s="46">
        <v>0</v>
      </c>
      <c r="Z235" s="46">
        <v>0</v>
      </c>
      <c r="AA235" s="68">
        <v>235</v>
      </c>
      <c r="AB235" s="68"/>
      <c r="AC235" s="69"/>
      <c r="AD235" s="76" t="s">
        <v>1480</v>
      </c>
      <c r="AE235" s="80" t="s">
        <v>1779</v>
      </c>
      <c r="AF235" s="76">
        <v>639</v>
      </c>
      <c r="AG235" s="76">
        <v>292</v>
      </c>
      <c r="AH235" s="76">
        <v>35605</v>
      </c>
      <c r="AI235" s="76">
        <v>10</v>
      </c>
      <c r="AJ235" s="76">
        <v>34564</v>
      </c>
      <c r="AK235" s="76">
        <v>17</v>
      </c>
      <c r="AL235" s="76" t="b">
        <v>0</v>
      </c>
      <c r="AM235" s="78">
        <v>44871.84140046296</v>
      </c>
      <c r="AN235" s="76"/>
      <c r="AO235" s="76"/>
      <c r="AP235" s="76"/>
      <c r="AQ235" s="76"/>
      <c r="AR235" s="76"/>
      <c r="AS235" s="76"/>
      <c r="AT235" s="76"/>
      <c r="AU235" s="76"/>
      <c r="AV235" s="76">
        <v>1.61497644449676E+18</v>
      </c>
      <c r="AW235" s="76"/>
      <c r="AX235" s="76" t="b">
        <v>0</v>
      </c>
      <c r="AY235" s="76"/>
      <c r="AZ235" s="76"/>
      <c r="BA235" s="76" t="b">
        <v>0</v>
      </c>
      <c r="BB235" s="76" t="b">
        <v>1</v>
      </c>
      <c r="BC235" s="76" t="b">
        <v>1</v>
      </c>
      <c r="BD235" s="76" t="b">
        <v>0</v>
      </c>
      <c r="BE235" s="76" t="b">
        <v>0</v>
      </c>
      <c r="BF235" s="76" t="b">
        <v>0</v>
      </c>
      <c r="BG235" s="76" t="b">
        <v>0</v>
      </c>
      <c r="BH235" s="82" t="str">
        <f>HYPERLINK("https://pbs.twimg.com/profile_banners/1589349681880092674/1672049109")</f>
        <v>https://pbs.twimg.com/profile_banners/1589349681880092674/1672049109</v>
      </c>
      <c r="BI235" s="76"/>
      <c r="BJ235" s="76" t="s">
        <v>2656</v>
      </c>
      <c r="BK235" s="76" t="b">
        <v>0</v>
      </c>
      <c r="BL235" s="76"/>
      <c r="BM235" s="76" t="s">
        <v>65</v>
      </c>
      <c r="BN235" s="76" t="s">
        <v>2657</v>
      </c>
      <c r="BO235" s="82" t="str">
        <f>HYPERLINK("https://twitter.com/freebycrypto")</f>
        <v>https://twitter.com/freebycrypto</v>
      </c>
      <c r="BP235" s="76" t="str">
        <f>REPLACE(INDEX(GroupVertices[Group],MATCH(Vertices[[#This Row],[Vertex]],GroupVertices[Vertex],0)),1,1,"")</f>
        <v>5</v>
      </c>
      <c r="BQ235" s="45"/>
      <c r="BR235" s="46"/>
      <c r="BS235" s="45"/>
      <c r="BT235" s="46"/>
      <c r="BU235" s="45"/>
      <c r="BV235" s="46"/>
      <c r="BW235" s="45"/>
      <c r="BX235" s="46"/>
      <c r="BY235" s="45"/>
      <c r="BZ235" s="45"/>
      <c r="CA235" s="45"/>
      <c r="CB235" s="45"/>
      <c r="CC235" s="45"/>
      <c r="CD235" s="45"/>
      <c r="CE235" s="45"/>
      <c r="CF235" s="45"/>
      <c r="CG235" s="45"/>
      <c r="CH235" s="45"/>
      <c r="CI235" s="45"/>
      <c r="CJ235" s="2"/>
    </row>
    <row r="236" spans="1:88" ht="15">
      <c r="A236" s="61" t="s">
        <v>477</v>
      </c>
      <c r="B236" s="62"/>
      <c r="C236" s="62"/>
      <c r="D236" s="63">
        <v>535</v>
      </c>
      <c r="E236" s="65"/>
      <c r="F236" s="100" t="str">
        <f>HYPERLINK("https://pbs.twimg.com/profile_images/1567118361141866500/IxmIqWrh_normal.jpg")</f>
        <v>https://pbs.twimg.com/profile_images/1567118361141866500/IxmIqWrh_normal.jpg</v>
      </c>
      <c r="G236" s="62"/>
      <c r="H236" s="66" t="s">
        <v>477</v>
      </c>
      <c r="I236" s="67"/>
      <c r="J236" s="67" t="s">
        <v>159</v>
      </c>
      <c r="K236" s="66" t="s">
        <v>2890</v>
      </c>
      <c r="L236" s="70">
        <v>477.0952380952381</v>
      </c>
      <c r="M236" s="71">
        <v>5741.3349609375</v>
      </c>
      <c r="N236" s="71">
        <v>4076.388916015625</v>
      </c>
      <c r="O236" s="72"/>
      <c r="P236" s="73"/>
      <c r="Q236" s="73"/>
      <c r="R236" s="86"/>
      <c r="S236" s="45">
        <v>1</v>
      </c>
      <c r="T236" s="45">
        <v>0</v>
      </c>
      <c r="U236" s="46">
        <v>0</v>
      </c>
      <c r="V236" s="46">
        <v>0.244055</v>
      </c>
      <c r="W236" s="46">
        <v>0.002917</v>
      </c>
      <c r="X236" s="46">
        <v>0.002766</v>
      </c>
      <c r="Y236" s="46">
        <v>0</v>
      </c>
      <c r="Z236" s="46">
        <v>0</v>
      </c>
      <c r="AA236" s="68">
        <v>236</v>
      </c>
      <c r="AB236" s="68"/>
      <c r="AC236" s="69"/>
      <c r="AD236" s="76" t="s">
        <v>1481</v>
      </c>
      <c r="AE236" s="80" t="s">
        <v>1780</v>
      </c>
      <c r="AF236" s="76">
        <v>74263</v>
      </c>
      <c r="AG236" s="76">
        <v>322</v>
      </c>
      <c r="AH236" s="76">
        <v>55412</v>
      </c>
      <c r="AI236" s="76">
        <v>693</v>
      </c>
      <c r="AJ236" s="76">
        <v>11571</v>
      </c>
      <c r="AK236" s="76">
        <v>30879</v>
      </c>
      <c r="AL236" s="76" t="b">
        <v>0</v>
      </c>
      <c r="AM236" s="78">
        <v>42034.2362037037</v>
      </c>
      <c r="AN236" s="76" t="s">
        <v>1991</v>
      </c>
      <c r="AO236" s="76" t="s">
        <v>2265</v>
      </c>
      <c r="AP236" s="82" t="str">
        <f>HYPERLINK("https://t.co/of7kT4ypMf")</f>
        <v>https://t.co/of7kT4ypMf</v>
      </c>
      <c r="AQ236" s="82" t="str">
        <f>HYPERLINK("https://www.youtube.com/@BitcoinNewsCom")</f>
        <v>https://www.youtube.com/@BitcoinNewsCom</v>
      </c>
      <c r="AR236" s="76" t="s">
        <v>2522</v>
      </c>
      <c r="AS236" s="76" t="s">
        <v>2591</v>
      </c>
      <c r="AT236" s="76" t="s">
        <v>2603</v>
      </c>
      <c r="AU236" s="76" t="s">
        <v>2645</v>
      </c>
      <c r="AV236" s="76"/>
      <c r="AW236" s="82" t="str">
        <f>HYPERLINK("https://t.co/of7kT4ypMf")</f>
        <v>https://t.co/of7kT4ypMf</v>
      </c>
      <c r="AX236" s="76" t="b">
        <v>1</v>
      </c>
      <c r="AY236" s="76"/>
      <c r="AZ236" s="76"/>
      <c r="BA236" s="76" t="b">
        <v>1</v>
      </c>
      <c r="BB236" s="76" t="b">
        <v>1</v>
      </c>
      <c r="BC236" s="76" t="b">
        <v>1</v>
      </c>
      <c r="BD236" s="76" t="b">
        <v>0</v>
      </c>
      <c r="BE236" s="76" t="b">
        <v>1</v>
      </c>
      <c r="BF236" s="76" t="b">
        <v>0</v>
      </c>
      <c r="BG236" s="76" t="b">
        <v>0</v>
      </c>
      <c r="BH236" s="82" t="str">
        <f>HYPERLINK("https://pbs.twimg.com/profile_banners/3005014565/1689568281")</f>
        <v>https://pbs.twimg.com/profile_banners/3005014565/1689568281</v>
      </c>
      <c r="BI236" s="76"/>
      <c r="BJ236" s="76" t="s">
        <v>2656</v>
      </c>
      <c r="BK236" s="76" t="b">
        <v>0</v>
      </c>
      <c r="BL236" s="76"/>
      <c r="BM236" s="76" t="s">
        <v>65</v>
      </c>
      <c r="BN236" s="76" t="s">
        <v>2657</v>
      </c>
      <c r="BO236" s="82" t="str">
        <f>HYPERLINK("https://twitter.com/bitcoinnewscom")</f>
        <v>https://twitter.com/bitcoinnewscom</v>
      </c>
      <c r="BP236" s="76" t="str">
        <f>REPLACE(INDEX(GroupVertices[Group],MATCH(Vertices[[#This Row],[Vertex]],GroupVertices[Vertex],0)),1,1,"")</f>
        <v>5</v>
      </c>
      <c r="BQ236" s="45"/>
      <c r="BR236" s="46"/>
      <c r="BS236" s="45"/>
      <c r="BT236" s="46"/>
      <c r="BU236" s="45"/>
      <c r="BV236" s="46"/>
      <c r="BW236" s="45"/>
      <c r="BX236" s="46"/>
      <c r="BY236" s="45"/>
      <c r="BZ236" s="45"/>
      <c r="CA236" s="45"/>
      <c r="CB236" s="45"/>
      <c r="CC236" s="45"/>
      <c r="CD236" s="45"/>
      <c r="CE236" s="45"/>
      <c r="CF236" s="45"/>
      <c r="CG236" s="45"/>
      <c r="CH236" s="45"/>
      <c r="CI236" s="45"/>
      <c r="CJ236" s="2"/>
    </row>
    <row r="237" spans="1:88" ht="15">
      <c r="A237" s="61" t="s">
        <v>478</v>
      </c>
      <c r="B237" s="62"/>
      <c r="C237" s="62"/>
      <c r="D237" s="63">
        <v>535</v>
      </c>
      <c r="E237" s="65"/>
      <c r="F237" s="100" t="str">
        <f>HYPERLINK("https://pbs.twimg.com/profile_images/1669298827910692865/BiExtwbe_normal.jpg")</f>
        <v>https://pbs.twimg.com/profile_images/1669298827910692865/BiExtwbe_normal.jpg</v>
      </c>
      <c r="G237" s="62"/>
      <c r="H237" s="66" t="s">
        <v>478</v>
      </c>
      <c r="I237" s="67"/>
      <c r="J237" s="67" t="s">
        <v>159</v>
      </c>
      <c r="K237" s="66" t="s">
        <v>2891</v>
      </c>
      <c r="L237" s="70">
        <v>477.0952380952381</v>
      </c>
      <c r="M237" s="71">
        <v>4893.287109375</v>
      </c>
      <c r="N237" s="71">
        <v>3598.310546875</v>
      </c>
      <c r="O237" s="72"/>
      <c r="P237" s="73"/>
      <c r="Q237" s="73"/>
      <c r="R237" s="86"/>
      <c r="S237" s="45">
        <v>1</v>
      </c>
      <c r="T237" s="45">
        <v>0</v>
      </c>
      <c r="U237" s="46">
        <v>0</v>
      </c>
      <c r="V237" s="46">
        <v>0.244055</v>
      </c>
      <c r="W237" s="46">
        <v>0.002917</v>
      </c>
      <c r="X237" s="46">
        <v>0.002766</v>
      </c>
      <c r="Y237" s="46">
        <v>0</v>
      </c>
      <c r="Z237" s="46">
        <v>0</v>
      </c>
      <c r="AA237" s="68">
        <v>237</v>
      </c>
      <c r="AB237" s="68"/>
      <c r="AC237" s="69"/>
      <c r="AD237" s="76" t="s">
        <v>1482</v>
      </c>
      <c r="AE237" s="80" t="s">
        <v>1781</v>
      </c>
      <c r="AF237" s="76">
        <v>75</v>
      </c>
      <c r="AG237" s="76">
        <v>1335</v>
      </c>
      <c r="AH237" s="76">
        <v>6098</v>
      </c>
      <c r="AI237" s="76">
        <v>3</v>
      </c>
      <c r="AJ237" s="76">
        <v>3024</v>
      </c>
      <c r="AK237" s="76">
        <v>16</v>
      </c>
      <c r="AL237" s="76" t="b">
        <v>0</v>
      </c>
      <c r="AM237" s="78">
        <v>44506.809224537035</v>
      </c>
      <c r="AN237" s="76"/>
      <c r="AO237" s="76" t="s">
        <v>2266</v>
      </c>
      <c r="AP237" s="82" t="str">
        <f>HYPERLINK("https://t.co/IHJvO0N4BK")</f>
        <v>https://t.co/IHJvO0N4BK</v>
      </c>
      <c r="AQ237" s="82" t="str">
        <f>HYPERLINK("https://bit.ly/43reSv3")</f>
        <v>https://bit.ly/43reSv3</v>
      </c>
      <c r="AR237" s="76" t="s">
        <v>2523</v>
      </c>
      <c r="AS237" s="76"/>
      <c r="AT237" s="76"/>
      <c r="AU237" s="76"/>
      <c r="AV237" s="76"/>
      <c r="AW237" s="82" t="str">
        <f>HYPERLINK("https://t.co/IHJvO0N4BK")</f>
        <v>https://t.co/IHJvO0N4BK</v>
      </c>
      <c r="AX237" s="76" t="b">
        <v>0</v>
      </c>
      <c r="AY237" s="76"/>
      <c r="AZ237" s="76"/>
      <c r="BA237" s="76" t="b">
        <v>0</v>
      </c>
      <c r="BB237" s="76" t="b">
        <v>1</v>
      </c>
      <c r="BC237" s="76" t="b">
        <v>1</v>
      </c>
      <c r="BD237" s="76" t="b">
        <v>0</v>
      </c>
      <c r="BE237" s="76" t="b">
        <v>1</v>
      </c>
      <c r="BF237" s="76" t="b">
        <v>0</v>
      </c>
      <c r="BG237" s="76" t="b">
        <v>0</v>
      </c>
      <c r="BH237" s="82" t="str">
        <f>HYPERLINK("https://pbs.twimg.com/profile_banners/1457066296353431556/1686826830")</f>
        <v>https://pbs.twimg.com/profile_banners/1457066296353431556/1686826830</v>
      </c>
      <c r="BI237" s="76"/>
      <c r="BJ237" s="76" t="s">
        <v>2656</v>
      </c>
      <c r="BK237" s="76" t="b">
        <v>0</v>
      </c>
      <c r="BL237" s="76"/>
      <c r="BM237" s="76" t="s">
        <v>65</v>
      </c>
      <c r="BN237" s="76" t="s">
        <v>2657</v>
      </c>
      <c r="BO237" s="82" t="str">
        <f>HYPERLINK("https://twitter.com/piergiorgio223")</f>
        <v>https://twitter.com/piergiorgio223</v>
      </c>
      <c r="BP237" s="76" t="str">
        <f>REPLACE(INDEX(GroupVertices[Group],MATCH(Vertices[[#This Row],[Vertex]],GroupVertices[Vertex],0)),1,1,"")</f>
        <v>5</v>
      </c>
      <c r="BQ237" s="45"/>
      <c r="BR237" s="46"/>
      <c r="BS237" s="45"/>
      <c r="BT237" s="46"/>
      <c r="BU237" s="45"/>
      <c r="BV237" s="46"/>
      <c r="BW237" s="45"/>
      <c r="BX237" s="46"/>
      <c r="BY237" s="45"/>
      <c r="BZ237" s="45"/>
      <c r="CA237" s="45"/>
      <c r="CB237" s="45"/>
      <c r="CC237" s="45"/>
      <c r="CD237" s="45"/>
      <c r="CE237" s="45"/>
      <c r="CF237" s="45"/>
      <c r="CG237" s="45"/>
      <c r="CH237" s="45"/>
      <c r="CI237" s="45"/>
      <c r="CJ237" s="2"/>
    </row>
    <row r="238" spans="1:88" ht="15">
      <c r="A238" s="61" t="s">
        <v>479</v>
      </c>
      <c r="B238" s="62"/>
      <c r="C238" s="62"/>
      <c r="D238" s="63">
        <v>535</v>
      </c>
      <c r="E238" s="65"/>
      <c r="F238" s="100" t="str">
        <f>HYPERLINK("https://pbs.twimg.com/profile_images/1362967301507670017/SETiwaco_normal.jpg")</f>
        <v>https://pbs.twimg.com/profile_images/1362967301507670017/SETiwaco_normal.jpg</v>
      </c>
      <c r="G238" s="62"/>
      <c r="H238" s="66" t="s">
        <v>479</v>
      </c>
      <c r="I238" s="67"/>
      <c r="J238" s="67" t="s">
        <v>159</v>
      </c>
      <c r="K238" s="66" t="s">
        <v>2892</v>
      </c>
      <c r="L238" s="70">
        <v>477.0952380952381</v>
      </c>
      <c r="M238" s="71">
        <v>5388.48779296875</v>
      </c>
      <c r="N238" s="71">
        <v>3461.957275390625</v>
      </c>
      <c r="O238" s="72"/>
      <c r="P238" s="73"/>
      <c r="Q238" s="73"/>
      <c r="R238" s="86"/>
      <c r="S238" s="45">
        <v>1</v>
      </c>
      <c r="T238" s="45">
        <v>0</v>
      </c>
      <c r="U238" s="46">
        <v>0</v>
      </c>
      <c r="V238" s="46">
        <v>0.244055</v>
      </c>
      <c r="W238" s="46">
        <v>0.002917</v>
      </c>
      <c r="X238" s="46">
        <v>0.002766</v>
      </c>
      <c r="Y238" s="46">
        <v>0</v>
      </c>
      <c r="Z238" s="46">
        <v>0</v>
      </c>
      <c r="AA238" s="68">
        <v>238</v>
      </c>
      <c r="AB238" s="68"/>
      <c r="AC238" s="69"/>
      <c r="AD238" s="76" t="s">
        <v>1483</v>
      </c>
      <c r="AE238" s="80" t="s">
        <v>1782</v>
      </c>
      <c r="AF238" s="76">
        <v>2867</v>
      </c>
      <c r="AG238" s="76">
        <v>5000</v>
      </c>
      <c r="AH238" s="76">
        <v>180245</v>
      </c>
      <c r="AI238" s="76">
        <v>35</v>
      </c>
      <c r="AJ238" s="76">
        <v>212128</v>
      </c>
      <c r="AK238" s="76">
        <v>23</v>
      </c>
      <c r="AL238" s="76" t="b">
        <v>0</v>
      </c>
      <c r="AM238" s="78">
        <v>42229.596724537034</v>
      </c>
      <c r="AN238" s="76" t="s">
        <v>1992</v>
      </c>
      <c r="AO238" s="76" t="s">
        <v>2267</v>
      </c>
      <c r="AP238" s="82" t="str">
        <f>HYPERLINK("https://t.co/KHNoBJyAvv")</f>
        <v>https://t.co/KHNoBJyAvv</v>
      </c>
      <c r="AQ238" s="82" t="str">
        <f>HYPERLINK("https://bitcoin.org/bitcoin.pdf")</f>
        <v>https://bitcoin.org/bitcoin.pdf</v>
      </c>
      <c r="AR238" s="76" t="s">
        <v>2524</v>
      </c>
      <c r="AS238" s="76"/>
      <c r="AT238" s="76"/>
      <c r="AU238" s="76"/>
      <c r="AV238" s="76">
        <v>1.35398002676563E+18</v>
      </c>
      <c r="AW238" s="82" t="str">
        <f>HYPERLINK("https://t.co/KHNoBJyAvv")</f>
        <v>https://t.co/KHNoBJyAvv</v>
      </c>
      <c r="AX238" s="76" t="b">
        <v>0</v>
      </c>
      <c r="AY238" s="76"/>
      <c r="AZ238" s="76"/>
      <c r="BA238" s="76" t="b">
        <v>0</v>
      </c>
      <c r="BB238" s="76" t="b">
        <v>1</v>
      </c>
      <c r="BC238" s="76" t="b">
        <v>1</v>
      </c>
      <c r="BD238" s="76" t="b">
        <v>0</v>
      </c>
      <c r="BE238" s="76" t="b">
        <v>1</v>
      </c>
      <c r="BF238" s="76" t="b">
        <v>0</v>
      </c>
      <c r="BG238" s="76" t="b">
        <v>0</v>
      </c>
      <c r="BH238" s="82" t="str">
        <f>HYPERLINK("https://pbs.twimg.com/profile_banners/3420170151/1690168797")</f>
        <v>https://pbs.twimg.com/profile_banners/3420170151/1690168797</v>
      </c>
      <c r="BI238" s="76"/>
      <c r="BJ238" s="76" t="s">
        <v>2656</v>
      </c>
      <c r="BK238" s="76" t="b">
        <v>0</v>
      </c>
      <c r="BL238" s="76"/>
      <c r="BM238" s="76" t="s">
        <v>65</v>
      </c>
      <c r="BN238" s="76" t="s">
        <v>2657</v>
      </c>
      <c r="BO238" s="82" t="str">
        <f>HYPERLINK("https://twitter.com/btcyn")</f>
        <v>https://twitter.com/btcyn</v>
      </c>
      <c r="BP238" s="76" t="str">
        <f>REPLACE(INDEX(GroupVertices[Group],MATCH(Vertices[[#This Row],[Vertex]],GroupVertices[Vertex],0)),1,1,"")</f>
        <v>5</v>
      </c>
      <c r="BQ238" s="45"/>
      <c r="BR238" s="46"/>
      <c r="BS238" s="45"/>
      <c r="BT238" s="46"/>
      <c r="BU238" s="45"/>
      <c r="BV238" s="46"/>
      <c r="BW238" s="45"/>
      <c r="BX238" s="46"/>
      <c r="BY238" s="45"/>
      <c r="BZ238" s="45"/>
      <c r="CA238" s="45"/>
      <c r="CB238" s="45"/>
      <c r="CC238" s="45"/>
      <c r="CD238" s="45"/>
      <c r="CE238" s="45"/>
      <c r="CF238" s="45"/>
      <c r="CG238" s="45"/>
      <c r="CH238" s="45"/>
      <c r="CI238" s="45"/>
      <c r="CJ238" s="2"/>
    </row>
    <row r="239" spans="1:88" ht="15">
      <c r="A239" s="61" t="s">
        <v>480</v>
      </c>
      <c r="B239" s="62"/>
      <c r="C239" s="62"/>
      <c r="D239" s="63">
        <v>535</v>
      </c>
      <c r="E239" s="65"/>
      <c r="F239" s="100" t="str">
        <f>HYPERLINK("https://pbs.twimg.com/profile_images/1641221212578754562/DfiC0KW2_normal.png")</f>
        <v>https://pbs.twimg.com/profile_images/1641221212578754562/DfiC0KW2_normal.png</v>
      </c>
      <c r="G239" s="62"/>
      <c r="H239" s="66" t="s">
        <v>480</v>
      </c>
      <c r="I239" s="67"/>
      <c r="J239" s="67" t="s">
        <v>159</v>
      </c>
      <c r="K239" s="66" t="s">
        <v>2893</v>
      </c>
      <c r="L239" s="70">
        <v>477.0952380952381</v>
      </c>
      <c r="M239" s="71">
        <v>4937.58349609375</v>
      </c>
      <c r="N239" s="71">
        <v>6043.22705078125</v>
      </c>
      <c r="O239" s="72"/>
      <c r="P239" s="73"/>
      <c r="Q239" s="73"/>
      <c r="R239" s="86"/>
      <c r="S239" s="45">
        <v>1</v>
      </c>
      <c r="T239" s="45">
        <v>0</v>
      </c>
      <c r="U239" s="46">
        <v>0</v>
      </c>
      <c r="V239" s="46">
        <v>0.244055</v>
      </c>
      <c r="W239" s="46">
        <v>0.002917</v>
      </c>
      <c r="X239" s="46">
        <v>0.002766</v>
      </c>
      <c r="Y239" s="46">
        <v>0</v>
      </c>
      <c r="Z239" s="46">
        <v>0</v>
      </c>
      <c r="AA239" s="68">
        <v>239</v>
      </c>
      <c r="AB239" s="68"/>
      <c r="AC239" s="69"/>
      <c r="AD239" s="76" t="s">
        <v>1484</v>
      </c>
      <c r="AE239" s="80" t="s">
        <v>1783</v>
      </c>
      <c r="AF239" s="76">
        <v>2027534</v>
      </c>
      <c r="AG239" s="76">
        <v>3</v>
      </c>
      <c r="AH239" s="76">
        <v>10540</v>
      </c>
      <c r="AI239" s="76">
        <v>9561</v>
      </c>
      <c r="AJ239" s="76">
        <v>40098</v>
      </c>
      <c r="AK239" s="76">
        <v>792</v>
      </c>
      <c r="AL239" s="76" t="b">
        <v>0</v>
      </c>
      <c r="AM239" s="78">
        <v>44314.83625</v>
      </c>
      <c r="AN239" s="76" t="s">
        <v>1993</v>
      </c>
      <c r="AO239" s="76" t="s">
        <v>2268</v>
      </c>
      <c r="AP239" s="82" t="str">
        <f>HYPERLINK("https://t.co/tUTSayKve7")</f>
        <v>https://t.co/tUTSayKve7</v>
      </c>
      <c r="AQ239" s="82" t="str">
        <f>HYPERLINK("https://watcher.guru")</f>
        <v>https://watcher.guru</v>
      </c>
      <c r="AR239" s="76" t="s">
        <v>2525</v>
      </c>
      <c r="AS239" s="76"/>
      <c r="AT239" s="76"/>
      <c r="AU239" s="76"/>
      <c r="AV239" s="76">
        <v>1.57232477309023E+18</v>
      </c>
      <c r="AW239" s="82" t="str">
        <f>HYPERLINK("https://t.co/tUTSayKve7")</f>
        <v>https://t.co/tUTSayKve7</v>
      </c>
      <c r="AX239" s="76" t="b">
        <v>1</v>
      </c>
      <c r="AY239" s="76"/>
      <c r="AZ239" s="76"/>
      <c r="BA239" s="76" t="b">
        <v>1</v>
      </c>
      <c r="BB239" s="76" t="b">
        <v>1</v>
      </c>
      <c r="BC239" s="76" t="b">
        <v>1</v>
      </c>
      <c r="BD239" s="76" t="b">
        <v>0</v>
      </c>
      <c r="BE239" s="76" t="b">
        <v>1</v>
      </c>
      <c r="BF239" s="76" t="b">
        <v>0</v>
      </c>
      <c r="BG239" s="76" t="b">
        <v>0</v>
      </c>
      <c r="BH239" s="82" t="str">
        <f>HYPERLINK("https://pbs.twimg.com/profile_banners/1387497871751196672/1672776767")</f>
        <v>https://pbs.twimg.com/profile_banners/1387497871751196672/1672776767</v>
      </c>
      <c r="BI239" s="76"/>
      <c r="BJ239" s="76" t="s">
        <v>2656</v>
      </c>
      <c r="BK239" s="76" t="b">
        <v>0</v>
      </c>
      <c r="BL239" s="76"/>
      <c r="BM239" s="76" t="s">
        <v>65</v>
      </c>
      <c r="BN239" s="76" t="s">
        <v>2657</v>
      </c>
      <c r="BO239" s="82" t="str">
        <f>HYPERLINK("https://twitter.com/watcherguru")</f>
        <v>https://twitter.com/watcherguru</v>
      </c>
      <c r="BP239" s="76" t="str">
        <f>REPLACE(INDEX(GroupVertices[Group],MATCH(Vertices[[#This Row],[Vertex]],GroupVertices[Vertex],0)),1,1,"")</f>
        <v>5</v>
      </c>
      <c r="BQ239" s="45"/>
      <c r="BR239" s="46"/>
      <c r="BS239" s="45"/>
      <c r="BT239" s="46"/>
      <c r="BU239" s="45"/>
      <c r="BV239" s="46"/>
      <c r="BW239" s="45"/>
      <c r="BX239" s="46"/>
      <c r="BY239" s="45"/>
      <c r="BZ239" s="45"/>
      <c r="CA239" s="45"/>
      <c r="CB239" s="45"/>
      <c r="CC239" s="45"/>
      <c r="CD239" s="45"/>
      <c r="CE239" s="45"/>
      <c r="CF239" s="45"/>
      <c r="CG239" s="45"/>
      <c r="CH239" s="45"/>
      <c r="CI239" s="45"/>
      <c r="CJ239" s="2"/>
    </row>
    <row r="240" spans="1:88" ht="15">
      <c r="A240" s="61" t="s">
        <v>481</v>
      </c>
      <c r="B240" s="62"/>
      <c r="C240" s="62"/>
      <c r="D240" s="63">
        <v>535</v>
      </c>
      <c r="E240" s="65"/>
      <c r="F240" s="100" t="str">
        <f>HYPERLINK("https://pbs.twimg.com/profile_images/1444022922377576453/AzvXYXGr_normal.jpg")</f>
        <v>https://pbs.twimg.com/profile_images/1444022922377576453/AzvXYXGr_normal.jpg</v>
      </c>
      <c r="G240" s="62"/>
      <c r="H240" s="66" t="s">
        <v>481</v>
      </c>
      <c r="I240" s="67"/>
      <c r="J240" s="67" t="s">
        <v>159</v>
      </c>
      <c r="K240" s="66" t="s">
        <v>2894</v>
      </c>
      <c r="L240" s="70">
        <v>477.0952380952381</v>
      </c>
      <c r="M240" s="71">
        <v>4320.16259765625</v>
      </c>
      <c r="N240" s="71">
        <v>4507.91015625</v>
      </c>
      <c r="O240" s="72"/>
      <c r="P240" s="73"/>
      <c r="Q240" s="73"/>
      <c r="R240" s="86"/>
      <c r="S240" s="45">
        <v>1</v>
      </c>
      <c r="T240" s="45">
        <v>0</v>
      </c>
      <c r="U240" s="46">
        <v>0</v>
      </c>
      <c r="V240" s="46">
        <v>0.244055</v>
      </c>
      <c r="W240" s="46">
        <v>0.002917</v>
      </c>
      <c r="X240" s="46">
        <v>0.002766</v>
      </c>
      <c r="Y240" s="46">
        <v>0</v>
      </c>
      <c r="Z240" s="46">
        <v>0</v>
      </c>
      <c r="AA240" s="68">
        <v>240</v>
      </c>
      <c r="AB240" s="68"/>
      <c r="AC240" s="69"/>
      <c r="AD240" s="76" t="s">
        <v>1485</v>
      </c>
      <c r="AE240" s="80" t="s">
        <v>1784</v>
      </c>
      <c r="AF240" s="76">
        <v>2978924</v>
      </c>
      <c r="AG240" s="76">
        <v>932</v>
      </c>
      <c r="AH240" s="76">
        <v>31564</v>
      </c>
      <c r="AI240" s="76">
        <v>16500</v>
      </c>
      <c r="AJ240" s="76">
        <v>31823</v>
      </c>
      <c r="AK240" s="76">
        <v>11397</v>
      </c>
      <c r="AL240" s="76" t="b">
        <v>0</v>
      </c>
      <c r="AM240" s="78">
        <v>40779.635347222225</v>
      </c>
      <c r="AN240" s="76" t="s">
        <v>1863</v>
      </c>
      <c r="AO240" s="76" t="s">
        <v>2269</v>
      </c>
      <c r="AP240" s="82" t="str">
        <f>HYPERLINK("https://t.co/UPj0DCrpdu")</f>
        <v>https://t.co/UPj0DCrpdu</v>
      </c>
      <c r="AQ240" s="82" t="str">
        <f>HYPERLINK("http://BitcoinMagazine.com")</f>
        <v>http://BitcoinMagazine.com</v>
      </c>
      <c r="AR240" s="76" t="s">
        <v>2526</v>
      </c>
      <c r="AS240" s="76" t="s">
        <v>2592</v>
      </c>
      <c r="AT240" s="76" t="s">
        <v>2604</v>
      </c>
      <c r="AU240" s="76" t="s">
        <v>2646</v>
      </c>
      <c r="AV240" s="76">
        <v>1.6961683703815E+18</v>
      </c>
      <c r="AW240" s="82" t="str">
        <f>HYPERLINK("https://t.co/UPj0DCrpdu")</f>
        <v>https://t.co/UPj0DCrpdu</v>
      </c>
      <c r="AX240" s="76" t="b">
        <v>1</v>
      </c>
      <c r="AY240" s="76"/>
      <c r="AZ240" s="76"/>
      <c r="BA240" s="76" t="b">
        <v>0</v>
      </c>
      <c r="BB240" s="76" t="b">
        <v>1</v>
      </c>
      <c r="BC240" s="76" t="b">
        <v>0</v>
      </c>
      <c r="BD240" s="76" t="b">
        <v>0</v>
      </c>
      <c r="BE240" s="76" t="b">
        <v>1</v>
      </c>
      <c r="BF240" s="76" t="b">
        <v>0</v>
      </c>
      <c r="BG240" s="76" t="b">
        <v>0</v>
      </c>
      <c r="BH240" s="82" t="str">
        <f>HYPERLINK("https://pbs.twimg.com/profile_banners/361289499/1693234221")</f>
        <v>https://pbs.twimg.com/profile_banners/361289499/1693234221</v>
      </c>
      <c r="BI240" s="76"/>
      <c r="BJ240" s="76" t="s">
        <v>2655</v>
      </c>
      <c r="BK240" s="76" t="b">
        <v>0</v>
      </c>
      <c r="BL240" s="76"/>
      <c r="BM240" s="76" t="s">
        <v>65</v>
      </c>
      <c r="BN240" s="76" t="s">
        <v>2657</v>
      </c>
      <c r="BO240" s="82" t="str">
        <f>HYPERLINK("https://twitter.com/bitcoinmagazine")</f>
        <v>https://twitter.com/bitcoinmagazine</v>
      </c>
      <c r="BP240" s="76" t="str">
        <f>REPLACE(INDEX(GroupVertices[Group],MATCH(Vertices[[#This Row],[Vertex]],GroupVertices[Vertex],0)),1,1,"")</f>
        <v>5</v>
      </c>
      <c r="BQ240" s="45"/>
      <c r="BR240" s="46"/>
      <c r="BS240" s="45"/>
      <c r="BT240" s="46"/>
      <c r="BU240" s="45"/>
      <c r="BV240" s="46"/>
      <c r="BW240" s="45"/>
      <c r="BX240" s="46"/>
      <c r="BY240" s="45"/>
      <c r="BZ240" s="45"/>
      <c r="CA240" s="45"/>
      <c r="CB240" s="45"/>
      <c r="CC240" s="45"/>
      <c r="CD240" s="45"/>
      <c r="CE240" s="45"/>
      <c r="CF240" s="45"/>
      <c r="CG240" s="45"/>
      <c r="CH240" s="45"/>
      <c r="CI240" s="45"/>
      <c r="CJ240" s="2"/>
    </row>
    <row r="241" spans="1:88" ht="15">
      <c r="A241" s="61" t="s">
        <v>482</v>
      </c>
      <c r="B241" s="62"/>
      <c r="C241" s="62"/>
      <c r="D241" s="63">
        <v>535</v>
      </c>
      <c r="E241" s="65"/>
      <c r="F241" s="100" t="str">
        <f>HYPERLINK("https://pbs.twimg.com/profile_images/1773883015/schlappen_100_normal.jpg")</f>
        <v>https://pbs.twimg.com/profile_images/1773883015/schlappen_100_normal.jpg</v>
      </c>
      <c r="G241" s="62"/>
      <c r="H241" s="66" t="s">
        <v>482</v>
      </c>
      <c r="I241" s="67"/>
      <c r="J241" s="67" t="s">
        <v>159</v>
      </c>
      <c r="K241" s="66" t="s">
        <v>2895</v>
      </c>
      <c r="L241" s="70">
        <v>477.0952380952381</v>
      </c>
      <c r="M241" s="71">
        <v>4652.53125</v>
      </c>
      <c r="N241" s="71">
        <v>5670.94140625</v>
      </c>
      <c r="O241" s="72"/>
      <c r="P241" s="73"/>
      <c r="Q241" s="73"/>
      <c r="R241" s="86"/>
      <c r="S241" s="45">
        <v>1</v>
      </c>
      <c r="T241" s="45">
        <v>0</v>
      </c>
      <c r="U241" s="46">
        <v>0</v>
      </c>
      <c r="V241" s="46">
        <v>0.244055</v>
      </c>
      <c r="W241" s="46">
        <v>0.002917</v>
      </c>
      <c r="X241" s="46">
        <v>0.002766</v>
      </c>
      <c r="Y241" s="46">
        <v>0</v>
      </c>
      <c r="Z241" s="46">
        <v>0</v>
      </c>
      <c r="AA241" s="68">
        <v>241</v>
      </c>
      <c r="AB241" s="68"/>
      <c r="AC241" s="69"/>
      <c r="AD241" s="76" t="s">
        <v>1486</v>
      </c>
      <c r="AE241" s="80" t="s">
        <v>1785</v>
      </c>
      <c r="AF241" s="76">
        <v>98</v>
      </c>
      <c r="AG241" s="76">
        <v>718</v>
      </c>
      <c r="AH241" s="76">
        <v>7824</v>
      </c>
      <c r="AI241" s="76">
        <v>2</v>
      </c>
      <c r="AJ241" s="76">
        <v>38617</v>
      </c>
      <c r="AK241" s="76">
        <v>526</v>
      </c>
      <c r="AL241" s="76" t="b">
        <v>0</v>
      </c>
      <c r="AM241" s="78">
        <v>40930.86284722222</v>
      </c>
      <c r="AN241" s="76" t="s">
        <v>1994</v>
      </c>
      <c r="AO241" s="76"/>
      <c r="AP241" s="76"/>
      <c r="AQ241" s="76"/>
      <c r="AR241" s="76"/>
      <c r="AS241" s="76"/>
      <c r="AT241" s="76"/>
      <c r="AU241" s="76"/>
      <c r="AV241" s="76"/>
      <c r="AW241" s="76"/>
      <c r="AX241" s="76" t="b">
        <v>0</v>
      </c>
      <c r="AY241" s="76"/>
      <c r="AZ241" s="76"/>
      <c r="BA241" s="76" t="b">
        <v>1</v>
      </c>
      <c r="BB241" s="76" t="b">
        <v>1</v>
      </c>
      <c r="BC241" s="76" t="b">
        <v>1</v>
      </c>
      <c r="BD241" s="76" t="b">
        <v>0</v>
      </c>
      <c r="BE241" s="76" t="b">
        <v>1</v>
      </c>
      <c r="BF241" s="76" t="b">
        <v>0</v>
      </c>
      <c r="BG241" s="76" t="b">
        <v>0</v>
      </c>
      <c r="BH241" s="76"/>
      <c r="BI241" s="76"/>
      <c r="BJ241" s="76" t="s">
        <v>2656</v>
      </c>
      <c r="BK241" s="76" t="b">
        <v>0</v>
      </c>
      <c r="BL241" s="76"/>
      <c r="BM241" s="76" t="s">
        <v>65</v>
      </c>
      <c r="BN241" s="76" t="s">
        <v>2657</v>
      </c>
      <c r="BO241" s="82" t="str">
        <f>HYPERLINK("https://twitter.com/tripplepunkt")</f>
        <v>https://twitter.com/tripplepunkt</v>
      </c>
      <c r="BP241" s="76" t="str">
        <f>REPLACE(INDEX(GroupVertices[Group],MATCH(Vertices[[#This Row],[Vertex]],GroupVertices[Vertex],0)),1,1,"")</f>
        <v>5</v>
      </c>
      <c r="BQ241" s="45"/>
      <c r="BR241" s="46"/>
      <c r="BS241" s="45"/>
      <c r="BT241" s="46"/>
      <c r="BU241" s="45"/>
      <c r="BV241" s="46"/>
      <c r="BW241" s="45"/>
      <c r="BX241" s="46"/>
      <c r="BY241" s="45"/>
      <c r="BZ241" s="45"/>
      <c r="CA241" s="45"/>
      <c r="CB241" s="45"/>
      <c r="CC241" s="45"/>
      <c r="CD241" s="45"/>
      <c r="CE241" s="45"/>
      <c r="CF241" s="45"/>
      <c r="CG241" s="45"/>
      <c r="CH241" s="45"/>
      <c r="CI241" s="45"/>
      <c r="CJ241" s="2"/>
    </row>
    <row r="242" spans="1:88" ht="15">
      <c r="A242" s="61" t="s">
        <v>483</v>
      </c>
      <c r="B242" s="62"/>
      <c r="C242" s="62"/>
      <c r="D242" s="63">
        <v>535</v>
      </c>
      <c r="E242" s="65"/>
      <c r="F242" s="100" t="str">
        <f>HYPERLINK("https://abs.twimg.com/sticky/default_profile_images/default_profile_normal.png")</f>
        <v>https://abs.twimg.com/sticky/default_profile_images/default_profile_normal.png</v>
      </c>
      <c r="G242" s="62"/>
      <c r="H242" s="66" t="s">
        <v>483</v>
      </c>
      <c r="I242" s="67"/>
      <c r="J242" s="67" t="s">
        <v>159</v>
      </c>
      <c r="K242" s="66" t="s">
        <v>2896</v>
      </c>
      <c r="L242" s="70">
        <v>477.0952380952381</v>
      </c>
      <c r="M242" s="71">
        <v>6071.57958984375</v>
      </c>
      <c r="N242" s="71">
        <v>4610.37255859375</v>
      </c>
      <c r="O242" s="72"/>
      <c r="P242" s="73"/>
      <c r="Q242" s="73"/>
      <c r="R242" s="86"/>
      <c r="S242" s="45">
        <v>1</v>
      </c>
      <c r="T242" s="45">
        <v>0</v>
      </c>
      <c r="U242" s="46">
        <v>0</v>
      </c>
      <c r="V242" s="46">
        <v>0.244055</v>
      </c>
      <c r="W242" s="46">
        <v>0.002917</v>
      </c>
      <c r="X242" s="46">
        <v>0.002766</v>
      </c>
      <c r="Y242" s="46">
        <v>0</v>
      </c>
      <c r="Z242" s="46">
        <v>0</v>
      </c>
      <c r="AA242" s="68">
        <v>242</v>
      </c>
      <c r="AB242" s="68"/>
      <c r="AC242" s="69"/>
      <c r="AD242" s="76" t="s">
        <v>1487</v>
      </c>
      <c r="AE242" s="80" t="s">
        <v>1786</v>
      </c>
      <c r="AF242" s="76">
        <v>120</v>
      </c>
      <c r="AG242" s="76">
        <v>50</v>
      </c>
      <c r="AH242" s="76">
        <v>43687</v>
      </c>
      <c r="AI242" s="76">
        <v>16</v>
      </c>
      <c r="AJ242" s="76">
        <v>34622</v>
      </c>
      <c r="AK242" s="76">
        <v>8780</v>
      </c>
      <c r="AL242" s="76" t="b">
        <v>0</v>
      </c>
      <c r="AM242" s="78">
        <v>41405.45591435185</v>
      </c>
      <c r="AN242" s="76" t="s">
        <v>1995</v>
      </c>
      <c r="AO242" s="76"/>
      <c r="AP242" s="76"/>
      <c r="AQ242" s="76"/>
      <c r="AR242" s="76"/>
      <c r="AS242" s="76"/>
      <c r="AT242" s="76"/>
      <c r="AU242" s="76"/>
      <c r="AV242" s="76"/>
      <c r="AW242" s="76"/>
      <c r="AX242" s="76" t="b">
        <v>0</v>
      </c>
      <c r="AY242" s="76"/>
      <c r="AZ242" s="76"/>
      <c r="BA242" s="76" t="b">
        <v>1</v>
      </c>
      <c r="BB242" s="76" t="b">
        <v>0</v>
      </c>
      <c r="BC242" s="76" t="b">
        <v>1</v>
      </c>
      <c r="BD242" s="76" t="b">
        <v>1</v>
      </c>
      <c r="BE242" s="76" t="b">
        <v>1</v>
      </c>
      <c r="BF242" s="76" t="b">
        <v>0</v>
      </c>
      <c r="BG242" s="76" t="b">
        <v>0</v>
      </c>
      <c r="BH242" s="76"/>
      <c r="BI242" s="76"/>
      <c r="BJ242" s="76" t="s">
        <v>2656</v>
      </c>
      <c r="BK242" s="76" t="b">
        <v>0</v>
      </c>
      <c r="BL242" s="76"/>
      <c r="BM242" s="76" t="s">
        <v>65</v>
      </c>
      <c r="BN242" s="76" t="s">
        <v>2657</v>
      </c>
      <c r="BO242" s="82" t="str">
        <f>HYPERLINK("https://twitter.com/301andi")</f>
        <v>https://twitter.com/301andi</v>
      </c>
      <c r="BP242" s="76" t="str">
        <f>REPLACE(INDEX(GroupVertices[Group],MATCH(Vertices[[#This Row],[Vertex]],GroupVertices[Vertex],0)),1,1,"")</f>
        <v>5</v>
      </c>
      <c r="BQ242" s="45"/>
      <c r="BR242" s="46"/>
      <c r="BS242" s="45"/>
      <c r="BT242" s="46"/>
      <c r="BU242" s="45"/>
      <c r="BV242" s="46"/>
      <c r="BW242" s="45"/>
      <c r="BX242" s="46"/>
      <c r="BY242" s="45"/>
      <c r="BZ242" s="45"/>
      <c r="CA242" s="45"/>
      <c r="CB242" s="45"/>
      <c r="CC242" s="45"/>
      <c r="CD242" s="45"/>
      <c r="CE242" s="45"/>
      <c r="CF242" s="45"/>
      <c r="CG242" s="45"/>
      <c r="CH242" s="45"/>
      <c r="CI242" s="45"/>
      <c r="CJ242" s="2"/>
    </row>
    <row r="243" spans="1:88" ht="15">
      <c r="A243" s="61" t="s">
        <v>484</v>
      </c>
      <c r="B243" s="62"/>
      <c r="C243" s="62"/>
      <c r="D243" s="63">
        <v>535</v>
      </c>
      <c r="E243" s="65"/>
      <c r="F243" s="100" t="str">
        <f>HYPERLINK("https://pbs.twimg.com/profile_images/1612713210045661186/l9HwXAHR_normal.png")</f>
        <v>https://pbs.twimg.com/profile_images/1612713210045661186/l9HwXAHR_normal.png</v>
      </c>
      <c r="G243" s="62"/>
      <c r="H243" s="66" t="s">
        <v>484</v>
      </c>
      <c r="I243" s="67"/>
      <c r="J243" s="67" t="s">
        <v>159</v>
      </c>
      <c r="K243" s="66" t="s">
        <v>2897</v>
      </c>
      <c r="L243" s="70">
        <v>477.0952380952381</v>
      </c>
      <c r="M243" s="71">
        <v>5751.689453125</v>
      </c>
      <c r="N243" s="71">
        <v>3135.193359375</v>
      </c>
      <c r="O243" s="72"/>
      <c r="P243" s="73"/>
      <c r="Q243" s="73"/>
      <c r="R243" s="86"/>
      <c r="S243" s="45">
        <v>1</v>
      </c>
      <c r="T243" s="45">
        <v>0</v>
      </c>
      <c r="U243" s="46">
        <v>0</v>
      </c>
      <c r="V243" s="46">
        <v>0.244055</v>
      </c>
      <c r="W243" s="46">
        <v>0.002917</v>
      </c>
      <c r="X243" s="46">
        <v>0.002766</v>
      </c>
      <c r="Y243" s="46">
        <v>0</v>
      </c>
      <c r="Z243" s="46">
        <v>0</v>
      </c>
      <c r="AA243" s="68">
        <v>243</v>
      </c>
      <c r="AB243" s="68"/>
      <c r="AC243" s="69"/>
      <c r="AD243" s="76" t="s">
        <v>1488</v>
      </c>
      <c r="AE243" s="80" t="s">
        <v>1787</v>
      </c>
      <c r="AF243" s="76">
        <v>4875</v>
      </c>
      <c r="AG243" s="76">
        <v>848</v>
      </c>
      <c r="AH243" s="76">
        <v>48726</v>
      </c>
      <c r="AI243" s="76">
        <v>1405</v>
      </c>
      <c r="AJ243" s="76">
        <v>7045</v>
      </c>
      <c r="AK243" s="76">
        <v>16711</v>
      </c>
      <c r="AL243" s="76" t="b">
        <v>0</v>
      </c>
      <c r="AM243" s="78">
        <v>39897.72131944444</v>
      </c>
      <c r="AN243" s="76" t="s">
        <v>1996</v>
      </c>
      <c r="AO243" s="76" t="s">
        <v>2270</v>
      </c>
      <c r="AP243" s="82" t="str">
        <f>HYPERLINK("https://t.co/crTG1oeiO0")</f>
        <v>https://t.co/crTG1oeiO0</v>
      </c>
      <c r="AQ243" s="82" t="str">
        <f>HYPERLINK("https://bit.ly/2J9R3mm")</f>
        <v>https://bit.ly/2J9R3mm</v>
      </c>
      <c r="AR243" s="76" t="s">
        <v>2527</v>
      </c>
      <c r="AS243" s="76"/>
      <c r="AT243" s="76"/>
      <c r="AU243" s="76"/>
      <c r="AV243" s="76">
        <v>1.69868895483537E+18</v>
      </c>
      <c r="AW243" s="82" t="str">
        <f>HYPERLINK("https://t.co/crTG1oeiO0")</f>
        <v>https://t.co/crTG1oeiO0</v>
      </c>
      <c r="AX243" s="76" t="b">
        <v>0</v>
      </c>
      <c r="AY243" s="76"/>
      <c r="AZ243" s="76"/>
      <c r="BA243" s="76" t="b">
        <v>1</v>
      </c>
      <c r="BB243" s="76" t="b">
        <v>1</v>
      </c>
      <c r="BC243" s="76" t="b">
        <v>0</v>
      </c>
      <c r="BD243" s="76" t="b">
        <v>0</v>
      </c>
      <c r="BE243" s="76" t="b">
        <v>1</v>
      </c>
      <c r="BF243" s="76" t="b">
        <v>0</v>
      </c>
      <c r="BG243" s="76" t="b">
        <v>0</v>
      </c>
      <c r="BH243" s="82" t="str">
        <f>HYPERLINK("https://pbs.twimg.com/profile_banners/26541437/1692608424")</f>
        <v>https://pbs.twimg.com/profile_banners/26541437/1692608424</v>
      </c>
      <c r="BI243" s="76"/>
      <c r="BJ243" s="76" t="s">
        <v>2656</v>
      </c>
      <c r="BK243" s="76" t="b">
        <v>0</v>
      </c>
      <c r="BL243" s="76"/>
      <c r="BM243" s="76" t="s">
        <v>65</v>
      </c>
      <c r="BN243" s="76" t="s">
        <v>2657</v>
      </c>
      <c r="BO243" s="82" t="str">
        <f>HYPERLINK("https://twitter.com/algoworks")</f>
        <v>https://twitter.com/algoworks</v>
      </c>
      <c r="BP243" s="76" t="str">
        <f>REPLACE(INDEX(GroupVertices[Group],MATCH(Vertices[[#This Row],[Vertex]],GroupVertices[Vertex],0)),1,1,"")</f>
        <v>5</v>
      </c>
      <c r="BQ243" s="45"/>
      <c r="BR243" s="46"/>
      <c r="BS243" s="45"/>
      <c r="BT243" s="46"/>
      <c r="BU243" s="45"/>
      <c r="BV243" s="46"/>
      <c r="BW243" s="45"/>
      <c r="BX243" s="46"/>
      <c r="BY243" s="45"/>
      <c r="BZ243" s="45"/>
      <c r="CA243" s="45"/>
      <c r="CB243" s="45"/>
      <c r="CC243" s="45"/>
      <c r="CD243" s="45"/>
      <c r="CE243" s="45"/>
      <c r="CF243" s="45"/>
      <c r="CG243" s="45"/>
      <c r="CH243" s="45"/>
      <c r="CI243" s="45"/>
      <c r="CJ243" s="2"/>
    </row>
    <row r="244" spans="1:88" ht="15">
      <c r="A244" s="61" t="s">
        <v>485</v>
      </c>
      <c r="B244" s="62"/>
      <c r="C244" s="62"/>
      <c r="D244" s="63">
        <v>535</v>
      </c>
      <c r="E244" s="65"/>
      <c r="F244" s="100" t="str">
        <f>HYPERLINK("https://pbs.twimg.com/profile_images/1697684356448522242/mywPLRXQ_normal.jpg")</f>
        <v>https://pbs.twimg.com/profile_images/1697684356448522242/mywPLRXQ_normal.jpg</v>
      </c>
      <c r="G244" s="62"/>
      <c r="H244" s="66" t="s">
        <v>485</v>
      </c>
      <c r="I244" s="67"/>
      <c r="J244" s="67" t="s">
        <v>159</v>
      </c>
      <c r="K244" s="66" t="s">
        <v>2898</v>
      </c>
      <c r="L244" s="70">
        <v>477.0952380952381</v>
      </c>
      <c r="M244" s="71">
        <v>4402.1875</v>
      </c>
      <c r="N244" s="71">
        <v>3835.5908203125</v>
      </c>
      <c r="O244" s="72"/>
      <c r="P244" s="73"/>
      <c r="Q244" s="73"/>
      <c r="R244" s="86"/>
      <c r="S244" s="45">
        <v>1</v>
      </c>
      <c r="T244" s="45">
        <v>0</v>
      </c>
      <c r="U244" s="46">
        <v>0</v>
      </c>
      <c r="V244" s="46">
        <v>0.244055</v>
      </c>
      <c r="W244" s="46">
        <v>0.002917</v>
      </c>
      <c r="X244" s="46">
        <v>0.002766</v>
      </c>
      <c r="Y244" s="46">
        <v>0</v>
      </c>
      <c r="Z244" s="46">
        <v>0</v>
      </c>
      <c r="AA244" s="68">
        <v>244</v>
      </c>
      <c r="AB244" s="68"/>
      <c r="AC244" s="69"/>
      <c r="AD244" s="76" t="s">
        <v>1489</v>
      </c>
      <c r="AE244" s="80" t="s">
        <v>1788</v>
      </c>
      <c r="AF244" s="76">
        <v>55</v>
      </c>
      <c r="AG244" s="76">
        <v>40</v>
      </c>
      <c r="AH244" s="76">
        <v>436</v>
      </c>
      <c r="AI244" s="76">
        <v>1</v>
      </c>
      <c r="AJ244" s="76">
        <v>1430</v>
      </c>
      <c r="AK244" s="76">
        <v>36</v>
      </c>
      <c r="AL244" s="76" t="b">
        <v>0</v>
      </c>
      <c r="AM244" s="78">
        <v>45021.417233796295</v>
      </c>
      <c r="AN244" s="76" t="s">
        <v>1997</v>
      </c>
      <c r="AO244" s="76" t="s">
        <v>2271</v>
      </c>
      <c r="AP244" s="76"/>
      <c r="AQ244" s="76"/>
      <c r="AR244" s="76"/>
      <c r="AS244" s="76"/>
      <c r="AT244" s="76"/>
      <c r="AU244" s="76"/>
      <c r="AV244" s="76">
        <v>1.69785600218643E+18</v>
      </c>
      <c r="AW244" s="76"/>
      <c r="AX244" s="76" t="b">
        <v>0</v>
      </c>
      <c r="AY244" s="76"/>
      <c r="AZ244" s="76"/>
      <c r="BA244" s="76" t="b">
        <v>0</v>
      </c>
      <c r="BB244" s="76" t="b">
        <v>1</v>
      </c>
      <c r="BC244" s="76" t="b">
        <v>1</v>
      </c>
      <c r="BD244" s="76" t="b">
        <v>0</v>
      </c>
      <c r="BE244" s="76" t="b">
        <v>0</v>
      </c>
      <c r="BF244" s="76" t="b">
        <v>0</v>
      </c>
      <c r="BG244" s="76" t="b">
        <v>0</v>
      </c>
      <c r="BH244" s="82" t="str">
        <f>HYPERLINK("https://pbs.twimg.com/profile_banners/1643554227615064065/1693508446")</f>
        <v>https://pbs.twimg.com/profile_banners/1643554227615064065/1693508446</v>
      </c>
      <c r="BI244" s="76"/>
      <c r="BJ244" s="76" t="s">
        <v>2656</v>
      </c>
      <c r="BK244" s="76" t="b">
        <v>0</v>
      </c>
      <c r="BL244" s="76"/>
      <c r="BM244" s="76" t="s">
        <v>65</v>
      </c>
      <c r="BN244" s="76" t="s">
        <v>2657</v>
      </c>
      <c r="BO244" s="82" t="str">
        <f>HYPERLINK("https://twitter.com/whizz_ai")</f>
        <v>https://twitter.com/whizz_ai</v>
      </c>
      <c r="BP244" s="76" t="str">
        <f>REPLACE(INDEX(GroupVertices[Group],MATCH(Vertices[[#This Row],[Vertex]],GroupVertices[Vertex],0)),1,1,"")</f>
        <v>5</v>
      </c>
      <c r="BQ244" s="45"/>
      <c r="BR244" s="46"/>
      <c r="BS244" s="45"/>
      <c r="BT244" s="46"/>
      <c r="BU244" s="45"/>
      <c r="BV244" s="46"/>
      <c r="BW244" s="45"/>
      <c r="BX244" s="46"/>
      <c r="BY244" s="45"/>
      <c r="BZ244" s="45"/>
      <c r="CA244" s="45"/>
      <c r="CB244" s="45"/>
      <c r="CC244" s="45"/>
      <c r="CD244" s="45"/>
      <c r="CE244" s="45"/>
      <c r="CF244" s="45"/>
      <c r="CG244" s="45"/>
      <c r="CH244" s="45"/>
      <c r="CI244" s="45"/>
      <c r="CJ244" s="2"/>
    </row>
    <row r="245" spans="1:88" ht="15">
      <c r="A245" s="61" t="s">
        <v>486</v>
      </c>
      <c r="B245" s="62"/>
      <c r="C245" s="62"/>
      <c r="D245" s="63">
        <v>535</v>
      </c>
      <c r="E245" s="65"/>
      <c r="F245" s="100" t="str">
        <f>HYPERLINK("https://pbs.twimg.com/profile_images/1473518429910888449/EfDAPclo_normal.jpg")</f>
        <v>https://pbs.twimg.com/profile_images/1473518429910888449/EfDAPclo_normal.jpg</v>
      </c>
      <c r="G245" s="62"/>
      <c r="H245" s="66" t="s">
        <v>486</v>
      </c>
      <c r="I245" s="67"/>
      <c r="J245" s="67" t="s">
        <v>159</v>
      </c>
      <c r="K245" s="66" t="s">
        <v>2899</v>
      </c>
      <c r="L245" s="70">
        <v>477.0952380952381</v>
      </c>
      <c r="M245" s="71">
        <v>4427.51220703125</v>
      </c>
      <c r="N245" s="71">
        <v>5203.228515625</v>
      </c>
      <c r="O245" s="72"/>
      <c r="P245" s="73"/>
      <c r="Q245" s="73"/>
      <c r="R245" s="86"/>
      <c r="S245" s="45">
        <v>1</v>
      </c>
      <c r="T245" s="45">
        <v>0</v>
      </c>
      <c r="U245" s="46">
        <v>0</v>
      </c>
      <c r="V245" s="46">
        <v>0.244055</v>
      </c>
      <c r="W245" s="46">
        <v>0.002917</v>
      </c>
      <c r="X245" s="46">
        <v>0.002766</v>
      </c>
      <c r="Y245" s="46">
        <v>0</v>
      </c>
      <c r="Z245" s="46">
        <v>0</v>
      </c>
      <c r="AA245" s="68">
        <v>245</v>
      </c>
      <c r="AB245" s="68"/>
      <c r="AC245" s="69"/>
      <c r="AD245" s="76" t="s">
        <v>1490</v>
      </c>
      <c r="AE245" s="80" t="s">
        <v>1789</v>
      </c>
      <c r="AF245" s="76">
        <v>202</v>
      </c>
      <c r="AG245" s="76">
        <v>1623</v>
      </c>
      <c r="AH245" s="76">
        <v>129</v>
      </c>
      <c r="AI245" s="76">
        <v>0</v>
      </c>
      <c r="AJ245" s="76">
        <v>943</v>
      </c>
      <c r="AK245" s="76">
        <v>0</v>
      </c>
      <c r="AL245" s="76" t="b">
        <v>0</v>
      </c>
      <c r="AM245" s="78">
        <v>43302.39319444444</v>
      </c>
      <c r="AN245" s="76"/>
      <c r="AO245" s="76" t="s">
        <v>2272</v>
      </c>
      <c r="AP245" s="76"/>
      <c r="AQ245" s="76"/>
      <c r="AR245" s="76"/>
      <c r="AS245" s="76"/>
      <c r="AT245" s="76"/>
      <c r="AU245" s="76"/>
      <c r="AV245" s="76"/>
      <c r="AW245" s="76"/>
      <c r="AX245" s="76" t="b">
        <v>0</v>
      </c>
      <c r="AY245" s="76"/>
      <c r="AZ245" s="76"/>
      <c r="BA245" s="76" t="b">
        <v>0</v>
      </c>
      <c r="BB245" s="76" t="b">
        <v>1</v>
      </c>
      <c r="BC245" s="76" t="b">
        <v>1</v>
      </c>
      <c r="BD245" s="76" t="b">
        <v>0</v>
      </c>
      <c r="BE245" s="76" t="b">
        <v>1</v>
      </c>
      <c r="BF245" s="76" t="b">
        <v>0</v>
      </c>
      <c r="BG245" s="76" t="b">
        <v>0</v>
      </c>
      <c r="BH245" s="82" t="str">
        <f>HYPERLINK("https://pbs.twimg.com/profile_banners/1020600823343022080/1617737985")</f>
        <v>https://pbs.twimg.com/profile_banners/1020600823343022080/1617737985</v>
      </c>
      <c r="BI245" s="76"/>
      <c r="BJ245" s="76" t="s">
        <v>2656</v>
      </c>
      <c r="BK245" s="76" t="b">
        <v>0</v>
      </c>
      <c r="BL245" s="76"/>
      <c r="BM245" s="76" t="s">
        <v>65</v>
      </c>
      <c r="BN245" s="76" t="s">
        <v>2657</v>
      </c>
      <c r="BO245" s="82" t="str">
        <f>HYPERLINK("https://twitter.com/sivamurugappan")</f>
        <v>https://twitter.com/sivamurugappan</v>
      </c>
      <c r="BP245" s="76" t="str">
        <f>REPLACE(INDEX(GroupVertices[Group],MATCH(Vertices[[#This Row],[Vertex]],GroupVertices[Vertex],0)),1,1,"")</f>
        <v>5</v>
      </c>
      <c r="BQ245" s="45"/>
      <c r="BR245" s="46"/>
      <c r="BS245" s="45"/>
      <c r="BT245" s="46"/>
      <c r="BU245" s="45"/>
      <c r="BV245" s="46"/>
      <c r="BW245" s="45"/>
      <c r="BX245" s="46"/>
      <c r="BY245" s="45"/>
      <c r="BZ245" s="45"/>
      <c r="CA245" s="45"/>
      <c r="CB245" s="45"/>
      <c r="CC245" s="45"/>
      <c r="CD245" s="45"/>
      <c r="CE245" s="45"/>
      <c r="CF245" s="45"/>
      <c r="CG245" s="45"/>
      <c r="CH245" s="45"/>
      <c r="CI245" s="45"/>
      <c r="CJ245" s="2"/>
    </row>
    <row r="246" spans="1:88" ht="15">
      <c r="A246" s="61" t="s">
        <v>487</v>
      </c>
      <c r="B246" s="62"/>
      <c r="C246" s="62"/>
      <c r="D246" s="63">
        <v>535</v>
      </c>
      <c r="E246" s="65"/>
      <c r="F246" s="100" t="str">
        <f>HYPERLINK("https://pbs.twimg.com/profile_images/1634962073380696064/0NgO4FHB_normal.jpg")</f>
        <v>https://pbs.twimg.com/profile_images/1634962073380696064/0NgO4FHB_normal.jpg</v>
      </c>
      <c r="G246" s="62"/>
      <c r="H246" s="66" t="s">
        <v>487</v>
      </c>
      <c r="I246" s="67"/>
      <c r="J246" s="67" t="s">
        <v>159</v>
      </c>
      <c r="K246" s="66" t="s">
        <v>2900</v>
      </c>
      <c r="L246" s="70">
        <v>477.0952380952381</v>
      </c>
      <c r="M246" s="71">
        <v>4960.6318359375</v>
      </c>
      <c r="N246" s="71">
        <v>2837.92626953125</v>
      </c>
      <c r="O246" s="72"/>
      <c r="P246" s="73"/>
      <c r="Q246" s="73"/>
      <c r="R246" s="86"/>
      <c r="S246" s="45">
        <v>1</v>
      </c>
      <c r="T246" s="45">
        <v>0</v>
      </c>
      <c r="U246" s="46">
        <v>0</v>
      </c>
      <c r="V246" s="46">
        <v>0.244055</v>
      </c>
      <c r="W246" s="46">
        <v>0.002917</v>
      </c>
      <c r="X246" s="46">
        <v>0.002766</v>
      </c>
      <c r="Y246" s="46">
        <v>0</v>
      </c>
      <c r="Z246" s="46">
        <v>0</v>
      </c>
      <c r="AA246" s="68">
        <v>246</v>
      </c>
      <c r="AB246" s="68"/>
      <c r="AC246" s="69"/>
      <c r="AD246" s="76" t="s">
        <v>1491</v>
      </c>
      <c r="AE246" s="80" t="s">
        <v>1790</v>
      </c>
      <c r="AF246" s="76">
        <v>110721</v>
      </c>
      <c r="AG246" s="76">
        <v>115143</v>
      </c>
      <c r="AH246" s="76">
        <v>41472</v>
      </c>
      <c r="AI246" s="76">
        <v>39</v>
      </c>
      <c r="AJ246" s="76">
        <v>45421</v>
      </c>
      <c r="AK246" s="76">
        <v>4259</v>
      </c>
      <c r="AL246" s="76" t="b">
        <v>0</v>
      </c>
      <c r="AM246" s="78">
        <v>41782.57915509259</v>
      </c>
      <c r="AN246" s="82" t="str">
        <f>HYPERLINK("https://www.therainbownavy.com")</f>
        <v>https://www.therainbownavy.com</v>
      </c>
      <c r="AO246" s="76" t="s">
        <v>2273</v>
      </c>
      <c r="AP246" s="82" t="str">
        <f>HYPERLINK("https://t.co/Tlk9dNCZtz")</f>
        <v>https://t.co/Tlk9dNCZtz</v>
      </c>
      <c r="AQ246" s="82" t="str">
        <f>HYPERLINK("https://www.tribel.com/rainbownavy")</f>
        <v>https://www.tribel.com/rainbownavy</v>
      </c>
      <c r="AR246" s="76" t="s">
        <v>2528</v>
      </c>
      <c r="AS246" s="76"/>
      <c r="AT246" s="76"/>
      <c r="AU246" s="76"/>
      <c r="AV246" s="76">
        <v>1.63482985891957E+18</v>
      </c>
      <c r="AW246" s="82" t="str">
        <f>HYPERLINK("https://t.co/Tlk9dNCZtz")</f>
        <v>https://t.co/Tlk9dNCZtz</v>
      </c>
      <c r="AX246" s="76" t="b">
        <v>0</v>
      </c>
      <c r="AY246" s="76"/>
      <c r="AZ246" s="76"/>
      <c r="BA246" s="76" t="b">
        <v>1</v>
      </c>
      <c r="BB246" s="76" t="b">
        <v>0</v>
      </c>
      <c r="BC246" s="76" t="b">
        <v>0</v>
      </c>
      <c r="BD246" s="76" t="b">
        <v>0</v>
      </c>
      <c r="BE246" s="76" t="b">
        <v>1</v>
      </c>
      <c r="BF246" s="76" t="b">
        <v>0</v>
      </c>
      <c r="BG246" s="76" t="b">
        <v>0</v>
      </c>
      <c r="BH246" s="82" t="str">
        <f>HYPERLINK("https://pbs.twimg.com/profile_banners/2517897416/1692126867")</f>
        <v>https://pbs.twimg.com/profile_banners/2517897416/1692126867</v>
      </c>
      <c r="BI246" s="76"/>
      <c r="BJ246" s="76" t="s">
        <v>2656</v>
      </c>
      <c r="BK246" s="76" t="b">
        <v>0</v>
      </c>
      <c r="BL246" s="76"/>
      <c r="BM246" s="76" t="s">
        <v>65</v>
      </c>
      <c r="BN246" s="76" t="s">
        <v>2657</v>
      </c>
      <c r="BO246" s="82" t="str">
        <f>HYPERLINK("https://twitter.com/therainbownavy2")</f>
        <v>https://twitter.com/therainbownavy2</v>
      </c>
      <c r="BP246" s="76" t="str">
        <f>REPLACE(INDEX(GroupVertices[Group],MATCH(Vertices[[#This Row],[Vertex]],GroupVertices[Vertex],0)),1,1,"")</f>
        <v>5</v>
      </c>
      <c r="BQ246" s="45"/>
      <c r="BR246" s="46"/>
      <c r="BS246" s="45"/>
      <c r="BT246" s="46"/>
      <c r="BU246" s="45"/>
      <c r="BV246" s="46"/>
      <c r="BW246" s="45"/>
      <c r="BX246" s="46"/>
      <c r="BY246" s="45"/>
      <c r="BZ246" s="45"/>
      <c r="CA246" s="45"/>
      <c r="CB246" s="45"/>
      <c r="CC246" s="45"/>
      <c r="CD246" s="45"/>
      <c r="CE246" s="45"/>
      <c r="CF246" s="45"/>
      <c r="CG246" s="45"/>
      <c r="CH246" s="45"/>
      <c r="CI246" s="45"/>
      <c r="CJ246" s="2"/>
    </row>
    <row r="247" spans="1:88" ht="15">
      <c r="A247" s="61" t="s">
        <v>488</v>
      </c>
      <c r="B247" s="62"/>
      <c r="C247" s="62"/>
      <c r="D247" s="63">
        <v>535</v>
      </c>
      <c r="E247" s="65"/>
      <c r="F247" s="100" t="str">
        <f>HYPERLINK("https://pbs.twimg.com/profile_images/1589994037167243265/s3ev36T8_normal.png")</f>
        <v>https://pbs.twimg.com/profile_images/1589994037167243265/s3ev36T8_normal.png</v>
      </c>
      <c r="G247" s="62"/>
      <c r="H247" s="66" t="s">
        <v>488</v>
      </c>
      <c r="I247" s="67"/>
      <c r="J247" s="67" t="s">
        <v>159</v>
      </c>
      <c r="K247" s="66" t="s">
        <v>2901</v>
      </c>
      <c r="L247" s="70">
        <v>477.0952380952381</v>
      </c>
      <c r="M247" s="71">
        <v>4584.7890625</v>
      </c>
      <c r="N247" s="71">
        <v>3225.08203125</v>
      </c>
      <c r="O247" s="72"/>
      <c r="P247" s="73"/>
      <c r="Q247" s="73"/>
      <c r="R247" s="86"/>
      <c r="S247" s="45">
        <v>1</v>
      </c>
      <c r="T247" s="45">
        <v>0</v>
      </c>
      <c r="U247" s="46">
        <v>0</v>
      </c>
      <c r="V247" s="46">
        <v>0.244055</v>
      </c>
      <c r="W247" s="46">
        <v>0.002917</v>
      </c>
      <c r="X247" s="46">
        <v>0.002766</v>
      </c>
      <c r="Y247" s="46">
        <v>0</v>
      </c>
      <c r="Z247" s="46">
        <v>0</v>
      </c>
      <c r="AA247" s="68">
        <v>247</v>
      </c>
      <c r="AB247" s="68"/>
      <c r="AC247" s="69"/>
      <c r="AD247" s="76" t="s">
        <v>1492</v>
      </c>
      <c r="AE247" s="80" t="s">
        <v>1791</v>
      </c>
      <c r="AF247" s="76">
        <v>144822</v>
      </c>
      <c r="AG247" s="76">
        <v>5695</v>
      </c>
      <c r="AH247" s="76">
        <v>310337</v>
      </c>
      <c r="AI247" s="76">
        <v>744</v>
      </c>
      <c r="AJ247" s="76">
        <v>4229</v>
      </c>
      <c r="AK247" s="76">
        <v>2739</v>
      </c>
      <c r="AL247" s="76" t="b">
        <v>0</v>
      </c>
      <c r="AM247" s="78">
        <v>40589.94770833333</v>
      </c>
      <c r="AN247" s="76" t="s">
        <v>1998</v>
      </c>
      <c r="AO247" s="76" t="s">
        <v>2274</v>
      </c>
      <c r="AP247" s="82" t="str">
        <f>HYPERLINK("https://t.co/j8PZhEtkAF")</f>
        <v>https://t.co/j8PZhEtkAF</v>
      </c>
      <c r="AQ247" s="82" t="str">
        <f>HYPERLINK("https://lnkd.in/TW")</f>
        <v>https://lnkd.in/TW</v>
      </c>
      <c r="AR247" s="76" t="s">
        <v>2529</v>
      </c>
      <c r="AS247" s="76"/>
      <c r="AT247" s="76"/>
      <c r="AU247" s="76"/>
      <c r="AV247" s="76">
        <v>1.69374807907203E+18</v>
      </c>
      <c r="AW247" s="82" t="str">
        <f>HYPERLINK("https://t.co/j8PZhEtkAF")</f>
        <v>https://t.co/j8PZhEtkAF</v>
      </c>
      <c r="AX247" s="76" t="b">
        <v>1</v>
      </c>
      <c r="AY247" s="76"/>
      <c r="AZ247" s="76"/>
      <c r="BA247" s="76" t="b">
        <v>1</v>
      </c>
      <c r="BB247" s="76" t="b">
        <v>1</v>
      </c>
      <c r="BC247" s="76" t="b">
        <v>0</v>
      </c>
      <c r="BD247" s="76" t="b">
        <v>0</v>
      </c>
      <c r="BE247" s="76" t="b">
        <v>1</v>
      </c>
      <c r="BF247" s="76" t="b">
        <v>0</v>
      </c>
      <c r="BG247" s="76" t="b">
        <v>0</v>
      </c>
      <c r="BH247" s="82" t="str">
        <f>HYPERLINK("https://pbs.twimg.com/profile_banners/252792134/1687807715")</f>
        <v>https://pbs.twimg.com/profile_banners/252792134/1687807715</v>
      </c>
      <c r="BI247" s="76"/>
      <c r="BJ247" s="76" t="s">
        <v>2656</v>
      </c>
      <c r="BK247" s="76" t="b">
        <v>0</v>
      </c>
      <c r="BL247" s="76"/>
      <c r="BM247" s="76" t="s">
        <v>65</v>
      </c>
      <c r="BN247" s="76" t="s">
        <v>2657</v>
      </c>
      <c r="BO247" s="82" t="str">
        <f>HYPERLINK("https://twitter.com/linkedinhelp")</f>
        <v>https://twitter.com/linkedinhelp</v>
      </c>
      <c r="BP247" s="76" t="str">
        <f>REPLACE(INDEX(GroupVertices[Group],MATCH(Vertices[[#This Row],[Vertex]],GroupVertices[Vertex],0)),1,1,"")</f>
        <v>5</v>
      </c>
      <c r="BQ247" s="45"/>
      <c r="BR247" s="46"/>
      <c r="BS247" s="45"/>
      <c r="BT247" s="46"/>
      <c r="BU247" s="45"/>
      <c r="BV247" s="46"/>
      <c r="BW247" s="45"/>
      <c r="BX247" s="46"/>
      <c r="BY247" s="45"/>
      <c r="BZ247" s="45"/>
      <c r="CA247" s="45"/>
      <c r="CB247" s="45"/>
      <c r="CC247" s="45"/>
      <c r="CD247" s="45"/>
      <c r="CE247" s="45"/>
      <c r="CF247" s="45"/>
      <c r="CG247" s="45"/>
      <c r="CH247" s="45"/>
      <c r="CI247" s="45"/>
      <c r="CJ247" s="2"/>
    </row>
    <row r="248" spans="1:88" ht="15">
      <c r="A248" s="61" t="s">
        <v>489</v>
      </c>
      <c r="B248" s="62"/>
      <c r="C248" s="62"/>
      <c r="D248" s="63">
        <v>535</v>
      </c>
      <c r="E248" s="65"/>
      <c r="F248" s="100" t="str">
        <f>HYPERLINK("https://pbs.twimg.com/profile_images/1686055940808753166/_NIkvBSK_normal.jpg")</f>
        <v>https://pbs.twimg.com/profile_images/1686055940808753166/_NIkvBSK_normal.jpg</v>
      </c>
      <c r="G248" s="62"/>
      <c r="H248" s="66" t="s">
        <v>489</v>
      </c>
      <c r="I248" s="67"/>
      <c r="J248" s="67" t="s">
        <v>159</v>
      </c>
      <c r="K248" s="66" t="s">
        <v>2902</v>
      </c>
      <c r="L248" s="70">
        <v>477.0952380952381</v>
      </c>
      <c r="M248" s="71">
        <v>5650.77685546875</v>
      </c>
      <c r="N248" s="71">
        <v>5842.58251953125</v>
      </c>
      <c r="O248" s="72"/>
      <c r="P248" s="73"/>
      <c r="Q248" s="73"/>
      <c r="R248" s="86"/>
      <c r="S248" s="45">
        <v>1</v>
      </c>
      <c r="T248" s="45">
        <v>0</v>
      </c>
      <c r="U248" s="46">
        <v>0</v>
      </c>
      <c r="V248" s="46">
        <v>0.244055</v>
      </c>
      <c r="W248" s="46">
        <v>0.002917</v>
      </c>
      <c r="X248" s="46">
        <v>0.002766</v>
      </c>
      <c r="Y248" s="46">
        <v>0</v>
      </c>
      <c r="Z248" s="46">
        <v>0</v>
      </c>
      <c r="AA248" s="68">
        <v>248</v>
      </c>
      <c r="AB248" s="68"/>
      <c r="AC248" s="69"/>
      <c r="AD248" s="76" t="s">
        <v>1493</v>
      </c>
      <c r="AE248" s="80" t="s">
        <v>1792</v>
      </c>
      <c r="AF248" s="76">
        <v>11392</v>
      </c>
      <c r="AG248" s="76">
        <v>4011</v>
      </c>
      <c r="AH248" s="76">
        <v>24183</v>
      </c>
      <c r="AI248" s="76">
        <v>205</v>
      </c>
      <c r="AJ248" s="76">
        <v>36163</v>
      </c>
      <c r="AK248" s="76">
        <v>4133</v>
      </c>
      <c r="AL248" s="76" t="b">
        <v>0</v>
      </c>
      <c r="AM248" s="78">
        <v>43590.76777777778</v>
      </c>
      <c r="AN248" s="76" t="s">
        <v>1999</v>
      </c>
      <c r="AO248" s="76" t="s">
        <v>2275</v>
      </c>
      <c r="AP248" s="82" t="str">
        <f>HYPERLINK("https://t.co/nCXRx7dOvK")</f>
        <v>https://t.co/nCXRx7dOvK</v>
      </c>
      <c r="AQ248" s="82" t="str">
        <f>HYPERLINK("https://linktr.ee/tinopfaff")</f>
        <v>https://linktr.ee/tinopfaff</v>
      </c>
      <c r="AR248" s="76" t="s">
        <v>2530</v>
      </c>
      <c r="AS248" s="82" t="str">
        <f>HYPERLINK("https://t.co/axQmO7WO1W")</f>
        <v>https://t.co/axQmO7WO1W</v>
      </c>
      <c r="AT248" s="82" t="str">
        <f>HYPERLINK("http://gofund.me/fac0a4d6")</f>
        <v>http://gofund.me/fac0a4d6</v>
      </c>
      <c r="AU248" s="76" t="s">
        <v>2647</v>
      </c>
      <c r="AV248" s="76">
        <v>1.69903002476502E+18</v>
      </c>
      <c r="AW248" s="82" t="str">
        <f>HYPERLINK("https://t.co/nCXRx7dOvK")</f>
        <v>https://t.co/nCXRx7dOvK</v>
      </c>
      <c r="AX248" s="76" t="b">
        <v>0</v>
      </c>
      <c r="AY248" s="76"/>
      <c r="AZ248" s="76"/>
      <c r="BA248" s="76" t="b">
        <v>1</v>
      </c>
      <c r="BB248" s="76" t="b">
        <v>1</v>
      </c>
      <c r="BC248" s="76" t="b">
        <v>1</v>
      </c>
      <c r="BD248" s="76" t="b">
        <v>0</v>
      </c>
      <c r="BE248" s="76" t="b">
        <v>1</v>
      </c>
      <c r="BF248" s="76" t="b">
        <v>0</v>
      </c>
      <c r="BG248" s="76" t="b">
        <v>0</v>
      </c>
      <c r="BH248" s="82" t="str">
        <f>HYPERLINK("https://pbs.twimg.com/profile_banners/1125104271266144257/1693766125")</f>
        <v>https://pbs.twimg.com/profile_banners/1125104271266144257/1693766125</v>
      </c>
      <c r="BI248" s="76"/>
      <c r="BJ248" s="76" t="s">
        <v>2656</v>
      </c>
      <c r="BK248" s="76" t="b">
        <v>0</v>
      </c>
      <c r="BL248" s="76"/>
      <c r="BM248" s="76" t="s">
        <v>65</v>
      </c>
      <c r="BN248" s="76" t="s">
        <v>2657</v>
      </c>
      <c r="BO248" s="82" t="str">
        <f>HYPERLINK("https://twitter.com/tinopfaff")</f>
        <v>https://twitter.com/tinopfaff</v>
      </c>
      <c r="BP248" s="76" t="str">
        <f>REPLACE(INDEX(GroupVertices[Group],MATCH(Vertices[[#This Row],[Vertex]],GroupVertices[Vertex],0)),1,1,"")</f>
        <v>5</v>
      </c>
      <c r="BQ248" s="45"/>
      <c r="BR248" s="46"/>
      <c r="BS248" s="45"/>
      <c r="BT248" s="46"/>
      <c r="BU248" s="45"/>
      <c r="BV248" s="46"/>
      <c r="BW248" s="45"/>
      <c r="BX248" s="46"/>
      <c r="BY248" s="45"/>
      <c r="BZ248" s="45"/>
      <c r="CA248" s="45"/>
      <c r="CB248" s="45"/>
      <c r="CC248" s="45"/>
      <c r="CD248" s="45"/>
      <c r="CE248" s="45"/>
      <c r="CF248" s="45"/>
      <c r="CG248" s="45"/>
      <c r="CH248" s="45"/>
      <c r="CI248" s="45"/>
      <c r="CJ248" s="2"/>
    </row>
    <row r="249" spans="1:88" ht="15">
      <c r="A249" s="61" t="s">
        <v>490</v>
      </c>
      <c r="B249" s="62"/>
      <c r="C249" s="62"/>
      <c r="D249" s="63">
        <v>535</v>
      </c>
      <c r="E249" s="65"/>
      <c r="F249" s="100" t="str">
        <f>HYPERLINK("https://pbs.twimg.com/profile_images/1661161645857710081/6WtDIesg_normal.png")</f>
        <v>https://pbs.twimg.com/profile_images/1661161645857710081/6WtDIesg_normal.png</v>
      </c>
      <c r="G249" s="62"/>
      <c r="H249" s="66" t="s">
        <v>490</v>
      </c>
      <c r="I249" s="67"/>
      <c r="J249" s="67" t="s">
        <v>159</v>
      </c>
      <c r="K249" s="66" t="s">
        <v>2903</v>
      </c>
      <c r="L249" s="70">
        <v>477.0952380952381</v>
      </c>
      <c r="M249" s="71">
        <v>5322.158203125</v>
      </c>
      <c r="N249" s="71">
        <v>6087.62646484375</v>
      </c>
      <c r="O249" s="72"/>
      <c r="P249" s="73"/>
      <c r="Q249" s="73"/>
      <c r="R249" s="86"/>
      <c r="S249" s="45">
        <v>1</v>
      </c>
      <c r="T249" s="45">
        <v>0</v>
      </c>
      <c r="U249" s="46">
        <v>0</v>
      </c>
      <c r="V249" s="46">
        <v>0.244055</v>
      </c>
      <c r="W249" s="46">
        <v>0.002917</v>
      </c>
      <c r="X249" s="46">
        <v>0.002766</v>
      </c>
      <c r="Y249" s="46">
        <v>0</v>
      </c>
      <c r="Z249" s="46">
        <v>0</v>
      </c>
      <c r="AA249" s="68">
        <v>249</v>
      </c>
      <c r="AB249" s="68"/>
      <c r="AC249" s="69"/>
      <c r="AD249" s="76" t="s">
        <v>1494</v>
      </c>
      <c r="AE249" s="80" t="s">
        <v>1793</v>
      </c>
      <c r="AF249" s="76">
        <v>1801693</v>
      </c>
      <c r="AG249" s="76">
        <v>26</v>
      </c>
      <c r="AH249" s="76">
        <v>20150</v>
      </c>
      <c r="AI249" s="76">
        <v>17374</v>
      </c>
      <c r="AJ249" s="76">
        <v>7535</v>
      </c>
      <c r="AK249" s="76">
        <v>2203</v>
      </c>
      <c r="AL249" s="76" t="b">
        <v>0</v>
      </c>
      <c r="AM249" s="78">
        <v>39482.76528935185</v>
      </c>
      <c r="AN249" s="76" t="s">
        <v>1998</v>
      </c>
      <c r="AO249" s="76" t="s">
        <v>2276</v>
      </c>
      <c r="AP249" s="82" t="str">
        <f>HYPERLINK("https://t.co/1Ccsai5CQI")</f>
        <v>https://t.co/1Ccsai5CQI</v>
      </c>
      <c r="AQ249" s="82" t="str">
        <f>HYPERLINK("http://www.linkedin.com")</f>
        <v>http://www.linkedin.com</v>
      </c>
      <c r="AR249" s="76" t="s">
        <v>749</v>
      </c>
      <c r="AS249" s="76"/>
      <c r="AT249" s="76"/>
      <c r="AU249" s="76"/>
      <c r="AV249" s="76">
        <v>1.66075271927421E+18</v>
      </c>
      <c r="AW249" s="82" t="str">
        <f>HYPERLINK("https://t.co/1Ccsai5CQI")</f>
        <v>https://t.co/1Ccsai5CQI</v>
      </c>
      <c r="AX249" s="76" t="b">
        <v>1</v>
      </c>
      <c r="AY249" s="76"/>
      <c r="AZ249" s="76"/>
      <c r="BA249" s="76" t="b">
        <v>0</v>
      </c>
      <c r="BB249" s="76" t="b">
        <v>1</v>
      </c>
      <c r="BC249" s="76" t="b">
        <v>0</v>
      </c>
      <c r="BD249" s="76" t="b">
        <v>0</v>
      </c>
      <c r="BE249" s="76" t="b">
        <v>1</v>
      </c>
      <c r="BF249" s="76" t="b">
        <v>0</v>
      </c>
      <c r="BG249" s="76" t="b">
        <v>0</v>
      </c>
      <c r="BH249" s="82" t="str">
        <f>HYPERLINK("https://pbs.twimg.com/profile_banners/13058772/1684890286")</f>
        <v>https://pbs.twimg.com/profile_banners/13058772/1684890286</v>
      </c>
      <c r="BI249" s="76"/>
      <c r="BJ249" s="76" t="s">
        <v>2655</v>
      </c>
      <c r="BK249" s="76" t="b">
        <v>0</v>
      </c>
      <c r="BL249" s="76"/>
      <c r="BM249" s="76" t="s">
        <v>65</v>
      </c>
      <c r="BN249" s="76" t="s">
        <v>2657</v>
      </c>
      <c r="BO249" s="82" t="str">
        <f>HYPERLINK("https://twitter.com/linkedin")</f>
        <v>https://twitter.com/linkedin</v>
      </c>
      <c r="BP249" s="76" t="str">
        <f>REPLACE(INDEX(GroupVertices[Group],MATCH(Vertices[[#This Row],[Vertex]],GroupVertices[Vertex],0)),1,1,"")</f>
        <v>5</v>
      </c>
      <c r="BQ249" s="45"/>
      <c r="BR249" s="46"/>
      <c r="BS249" s="45"/>
      <c r="BT249" s="46"/>
      <c r="BU249" s="45"/>
      <c r="BV249" s="46"/>
      <c r="BW249" s="45"/>
      <c r="BX249" s="46"/>
      <c r="BY249" s="45"/>
      <c r="BZ249" s="45"/>
      <c r="CA249" s="45"/>
      <c r="CB249" s="45"/>
      <c r="CC249" s="45"/>
      <c r="CD249" s="45"/>
      <c r="CE249" s="45"/>
      <c r="CF249" s="45"/>
      <c r="CG249" s="45"/>
      <c r="CH249" s="45"/>
      <c r="CI249" s="45"/>
      <c r="CJ249" s="2"/>
    </row>
    <row r="250" spans="1:88" ht="15">
      <c r="A250" s="61" t="s">
        <v>240</v>
      </c>
      <c r="B250" s="62"/>
      <c r="C250" s="62"/>
      <c r="D250" s="63">
        <v>70</v>
      </c>
      <c r="E250" s="65"/>
      <c r="F250" s="100" t="str">
        <f>HYPERLINK("https://pbs.twimg.com/profile_images/1683859330783645697/_AiWFyyA_normal.jpg")</f>
        <v>https://pbs.twimg.com/profile_images/1683859330783645697/_AiWFyyA_normal.jpg</v>
      </c>
      <c r="G250" s="62"/>
      <c r="H250" s="66" t="s">
        <v>240</v>
      </c>
      <c r="I250" s="67"/>
      <c r="J250" s="67" t="s">
        <v>159</v>
      </c>
      <c r="K250" s="66" t="s">
        <v>2904</v>
      </c>
      <c r="L250" s="70">
        <v>1</v>
      </c>
      <c r="M250" s="71">
        <v>9669.9462890625</v>
      </c>
      <c r="N250" s="71">
        <v>863.8842163085938</v>
      </c>
      <c r="O250" s="72"/>
      <c r="P250" s="73"/>
      <c r="Q250" s="73"/>
      <c r="R250" s="86"/>
      <c r="S250" s="45">
        <v>0</v>
      </c>
      <c r="T250" s="45">
        <v>1</v>
      </c>
      <c r="U250" s="46">
        <v>0</v>
      </c>
      <c r="V250" s="46">
        <v>0.003175</v>
      </c>
      <c r="W250" s="46">
        <v>0</v>
      </c>
      <c r="X250" s="46">
        <v>0.003165</v>
      </c>
      <c r="Y250" s="46">
        <v>0</v>
      </c>
      <c r="Z250" s="46">
        <v>0</v>
      </c>
      <c r="AA250" s="68">
        <v>250</v>
      </c>
      <c r="AB250" s="68"/>
      <c r="AC250" s="69"/>
      <c r="AD250" s="76" t="s">
        <v>1495</v>
      </c>
      <c r="AE250" s="80" t="s">
        <v>1206</v>
      </c>
      <c r="AF250" s="76">
        <v>300</v>
      </c>
      <c r="AG250" s="76">
        <v>477</v>
      </c>
      <c r="AH250" s="76">
        <v>2531</v>
      </c>
      <c r="AI250" s="76">
        <v>0</v>
      </c>
      <c r="AJ250" s="76">
        <v>2109</v>
      </c>
      <c r="AK250" s="76">
        <v>786</v>
      </c>
      <c r="AL250" s="76" t="b">
        <v>0</v>
      </c>
      <c r="AM250" s="78">
        <v>43510.355671296296</v>
      </c>
      <c r="AN250" s="76" t="s">
        <v>2000</v>
      </c>
      <c r="AO250" s="76" t="s">
        <v>2277</v>
      </c>
      <c r="AP250" s="82" t="str">
        <f>HYPERLINK("https://t.co/b27w7NpAsy")</f>
        <v>https://t.co/b27w7NpAsy</v>
      </c>
      <c r="AQ250" s="82" t="str">
        <f>HYPERLINK("https://shaziaiqbal.wixsite.com/iqbalnotes")</f>
        <v>https://shaziaiqbal.wixsite.com/iqbalnotes</v>
      </c>
      <c r="AR250" s="76" t="s">
        <v>2531</v>
      </c>
      <c r="AS250" s="76"/>
      <c r="AT250" s="76"/>
      <c r="AU250" s="76"/>
      <c r="AV250" s="76"/>
      <c r="AW250" s="82" t="str">
        <f>HYPERLINK("https://t.co/b27w7NpAsy")</f>
        <v>https://t.co/b27w7NpAsy</v>
      </c>
      <c r="AX250" s="76" t="b">
        <v>0</v>
      </c>
      <c r="AY250" s="76"/>
      <c r="AZ250" s="76"/>
      <c r="BA250" s="76" t="b">
        <v>0</v>
      </c>
      <c r="BB250" s="76" t="b">
        <v>1</v>
      </c>
      <c r="BC250" s="76" t="b">
        <v>1</v>
      </c>
      <c r="BD250" s="76" t="b">
        <v>0</v>
      </c>
      <c r="BE250" s="76" t="b">
        <v>1</v>
      </c>
      <c r="BF250" s="76" t="b">
        <v>0</v>
      </c>
      <c r="BG250" s="76" t="b">
        <v>0</v>
      </c>
      <c r="BH250" s="82" t="str">
        <f>HYPERLINK("https://pbs.twimg.com/profile_banners/1095963897889214464/1646071571")</f>
        <v>https://pbs.twimg.com/profile_banners/1095963897889214464/1646071571</v>
      </c>
      <c r="BI250" s="76"/>
      <c r="BJ250" s="76" t="s">
        <v>2656</v>
      </c>
      <c r="BK250" s="76" t="b">
        <v>0</v>
      </c>
      <c r="BL250" s="76"/>
      <c r="BM250" s="76" t="s">
        <v>66</v>
      </c>
      <c r="BN250" s="76" t="s">
        <v>2657</v>
      </c>
      <c r="BO250" s="82" t="str">
        <f>HYPERLINK("https://twitter.com/shaziaiqbal2023")</f>
        <v>https://twitter.com/shaziaiqbal2023</v>
      </c>
      <c r="BP250" s="76" t="str">
        <f>REPLACE(INDEX(GroupVertices[Group],MATCH(Vertices[[#This Row],[Vertex]],GroupVertices[Vertex],0)),1,1,"")</f>
        <v>14</v>
      </c>
      <c r="BQ250" s="45">
        <v>1</v>
      </c>
      <c r="BR250" s="46">
        <v>3.225806451612903</v>
      </c>
      <c r="BS250" s="45">
        <v>1</v>
      </c>
      <c r="BT250" s="46">
        <v>3.225806451612903</v>
      </c>
      <c r="BU250" s="45">
        <v>0</v>
      </c>
      <c r="BV250" s="46">
        <v>0</v>
      </c>
      <c r="BW250" s="45">
        <v>19</v>
      </c>
      <c r="BX250" s="46">
        <v>61.29032258064516</v>
      </c>
      <c r="BY250" s="45">
        <v>31</v>
      </c>
      <c r="BZ250" s="45" t="s">
        <v>11315</v>
      </c>
      <c r="CA250" s="45" t="s">
        <v>11315</v>
      </c>
      <c r="CB250" s="45" t="s">
        <v>745</v>
      </c>
      <c r="CC250" s="45" t="s">
        <v>745</v>
      </c>
      <c r="CD250" s="45" t="s">
        <v>11355</v>
      </c>
      <c r="CE250" s="45" t="s">
        <v>11580</v>
      </c>
      <c r="CF250" s="112" t="s">
        <v>11605</v>
      </c>
      <c r="CG250" s="112" t="s">
        <v>11605</v>
      </c>
      <c r="CH250" s="112" t="s">
        <v>11660</v>
      </c>
      <c r="CI250" s="112" t="s">
        <v>11660</v>
      </c>
      <c r="CJ250" s="2"/>
    </row>
    <row r="251" spans="1:88" ht="15">
      <c r="A251" s="61" t="s">
        <v>491</v>
      </c>
      <c r="B251" s="62"/>
      <c r="C251" s="62"/>
      <c r="D251" s="63">
        <v>535</v>
      </c>
      <c r="E251" s="65"/>
      <c r="F251" s="100" t="str">
        <f>HYPERLINK("https://pbs.twimg.com/profile_images/995600650179416069/Cby3wUPY_normal.jpg")</f>
        <v>https://pbs.twimg.com/profile_images/995600650179416069/Cby3wUPY_normal.jpg</v>
      </c>
      <c r="G251" s="62"/>
      <c r="H251" s="66" t="s">
        <v>491</v>
      </c>
      <c r="I251" s="67"/>
      <c r="J251" s="67" t="s">
        <v>159</v>
      </c>
      <c r="K251" s="66" t="s">
        <v>2905</v>
      </c>
      <c r="L251" s="70">
        <v>477.0952380952381</v>
      </c>
      <c r="M251" s="71">
        <v>9669.9462890625</v>
      </c>
      <c r="N251" s="71">
        <v>385.9908142089844</v>
      </c>
      <c r="O251" s="72"/>
      <c r="P251" s="73"/>
      <c r="Q251" s="73"/>
      <c r="R251" s="86"/>
      <c r="S251" s="45">
        <v>1</v>
      </c>
      <c r="T251" s="45">
        <v>0</v>
      </c>
      <c r="U251" s="46">
        <v>0</v>
      </c>
      <c r="V251" s="46">
        <v>0.003175</v>
      </c>
      <c r="W251" s="46">
        <v>0</v>
      </c>
      <c r="X251" s="46">
        <v>0.003165</v>
      </c>
      <c r="Y251" s="46">
        <v>0</v>
      </c>
      <c r="Z251" s="46">
        <v>0</v>
      </c>
      <c r="AA251" s="68">
        <v>251</v>
      </c>
      <c r="AB251" s="68"/>
      <c r="AC251" s="69"/>
      <c r="AD251" s="76" t="s">
        <v>1496</v>
      </c>
      <c r="AE251" s="80" t="s">
        <v>1794</v>
      </c>
      <c r="AF251" s="76">
        <v>341</v>
      </c>
      <c r="AG251" s="76">
        <v>353</v>
      </c>
      <c r="AH251" s="76">
        <v>1863</v>
      </c>
      <c r="AI251" s="76">
        <v>5</v>
      </c>
      <c r="AJ251" s="76">
        <v>1384</v>
      </c>
      <c r="AK251" s="76">
        <v>753</v>
      </c>
      <c r="AL251" s="76" t="b">
        <v>0</v>
      </c>
      <c r="AM251" s="78">
        <v>43208.84824074074</v>
      </c>
      <c r="AN251" s="76" t="s">
        <v>2001</v>
      </c>
      <c r="AO251" s="76" t="s">
        <v>2278</v>
      </c>
      <c r="AP251" s="82" t="str">
        <f>HYPERLINK("https://t.co/rvqgRKn13P")</f>
        <v>https://t.co/rvqgRKn13P</v>
      </c>
      <c r="AQ251" s="82" t="str">
        <f>HYPERLINK("http://ltb.io/eposters/")</f>
        <v>http://ltb.io/eposters/</v>
      </c>
      <c r="AR251" s="76" t="s">
        <v>2532</v>
      </c>
      <c r="AS251" s="76"/>
      <c r="AT251" s="76"/>
      <c r="AU251" s="76"/>
      <c r="AV251" s="76">
        <v>1.52398370211982E+18</v>
      </c>
      <c r="AW251" s="82" t="str">
        <f>HYPERLINK("https://t.co/rvqgRKn13P")</f>
        <v>https://t.co/rvqgRKn13P</v>
      </c>
      <c r="AX251" s="76" t="b">
        <v>0</v>
      </c>
      <c r="AY251" s="76"/>
      <c r="AZ251" s="76"/>
      <c r="BA251" s="76" t="b">
        <v>0</v>
      </c>
      <c r="BB251" s="76" t="b">
        <v>1</v>
      </c>
      <c r="BC251" s="76" t="b">
        <v>0</v>
      </c>
      <c r="BD251" s="76" t="b">
        <v>0</v>
      </c>
      <c r="BE251" s="76" t="b">
        <v>1</v>
      </c>
      <c r="BF251" s="76" t="b">
        <v>0</v>
      </c>
      <c r="BG251" s="76" t="b">
        <v>0</v>
      </c>
      <c r="BH251" s="82" t="str">
        <f>HYPERLINK("https://pbs.twimg.com/profile_banners/986701264590442501/1524085125")</f>
        <v>https://pbs.twimg.com/profile_banners/986701264590442501/1524085125</v>
      </c>
      <c r="BI251" s="76"/>
      <c r="BJ251" s="76" t="s">
        <v>2656</v>
      </c>
      <c r="BK251" s="76" t="b">
        <v>0</v>
      </c>
      <c r="BL251" s="76"/>
      <c r="BM251" s="76" t="s">
        <v>65</v>
      </c>
      <c r="BN251" s="76" t="s">
        <v>2657</v>
      </c>
      <c r="BO251" s="82" t="str">
        <f>HYPERLINK("https://twitter.com/ltbeposters")</f>
        <v>https://twitter.com/ltbeposters</v>
      </c>
      <c r="BP251" s="76" t="str">
        <f>REPLACE(INDEX(GroupVertices[Group],MATCH(Vertices[[#This Row],[Vertex]],GroupVertices[Vertex],0)),1,1,"")</f>
        <v>14</v>
      </c>
      <c r="BQ251" s="45"/>
      <c r="BR251" s="46"/>
      <c r="BS251" s="45"/>
      <c r="BT251" s="46"/>
      <c r="BU251" s="45"/>
      <c r="BV251" s="46"/>
      <c r="BW251" s="45"/>
      <c r="BX251" s="46"/>
      <c r="BY251" s="45"/>
      <c r="BZ251" s="45"/>
      <c r="CA251" s="45"/>
      <c r="CB251" s="45"/>
      <c r="CC251" s="45"/>
      <c r="CD251" s="45"/>
      <c r="CE251" s="45"/>
      <c r="CF251" s="45"/>
      <c r="CG251" s="45"/>
      <c r="CH251" s="45"/>
      <c r="CI251" s="45"/>
      <c r="CJ251" s="2"/>
    </row>
    <row r="252" spans="1:88" ht="15">
      <c r="A252" s="61" t="s">
        <v>241</v>
      </c>
      <c r="B252" s="62"/>
      <c r="C252" s="62"/>
      <c r="D252" s="63">
        <v>70</v>
      </c>
      <c r="E252" s="65"/>
      <c r="F252" s="100" t="str">
        <f>HYPERLINK("https://pbs.twimg.com/profile_images/965324719120637952/L1nn6uxm_normal.jpg")</f>
        <v>https://pbs.twimg.com/profile_images/965324719120637952/L1nn6uxm_normal.jpg</v>
      </c>
      <c r="G252" s="62"/>
      <c r="H252" s="66" t="s">
        <v>241</v>
      </c>
      <c r="I252" s="67"/>
      <c r="J252" s="67" t="s">
        <v>159</v>
      </c>
      <c r="K252" s="66" t="s">
        <v>2906</v>
      </c>
      <c r="L252" s="70">
        <v>1</v>
      </c>
      <c r="M252" s="71">
        <v>7082.10791015625</v>
      </c>
      <c r="N252" s="71">
        <v>4654.603515625</v>
      </c>
      <c r="O252" s="72"/>
      <c r="P252" s="73"/>
      <c r="Q252" s="73"/>
      <c r="R252" s="86"/>
      <c r="S252" s="45">
        <v>0</v>
      </c>
      <c r="T252" s="45">
        <v>15</v>
      </c>
      <c r="U252" s="46">
        <v>928.005602</v>
      </c>
      <c r="V252" s="46">
        <v>0.338152</v>
      </c>
      <c r="W252" s="46">
        <v>0.113899</v>
      </c>
      <c r="X252" s="46">
        <v>0.003743</v>
      </c>
      <c r="Y252" s="46">
        <v>0.26666666666666666</v>
      </c>
      <c r="Z252" s="46">
        <v>0</v>
      </c>
      <c r="AA252" s="68">
        <v>252</v>
      </c>
      <c r="AB252" s="68"/>
      <c r="AC252" s="69"/>
      <c r="AD252" s="76" t="s">
        <v>1497</v>
      </c>
      <c r="AE252" s="80" t="s">
        <v>1207</v>
      </c>
      <c r="AF252" s="76">
        <v>8205</v>
      </c>
      <c r="AG252" s="76">
        <v>8512</v>
      </c>
      <c r="AH252" s="76">
        <v>66280</v>
      </c>
      <c r="AI252" s="76">
        <v>17</v>
      </c>
      <c r="AJ252" s="76">
        <v>14406</v>
      </c>
      <c r="AK252" s="76">
        <v>7422</v>
      </c>
      <c r="AL252" s="76" t="b">
        <v>0</v>
      </c>
      <c r="AM252" s="78">
        <v>42745.669895833336</v>
      </c>
      <c r="AN252" s="76" t="s">
        <v>2002</v>
      </c>
      <c r="AO252" s="76" t="s">
        <v>2279</v>
      </c>
      <c r="AP252" s="82" t="str">
        <f>HYPERLINK("https://t.co/snMDK5pEy6")</f>
        <v>https://t.co/snMDK5pEy6</v>
      </c>
      <c r="AQ252" s="82" t="str">
        <f>HYPERLINK("http://www.alittletotheright.org")</f>
        <v>http://www.alittletotheright.org</v>
      </c>
      <c r="AR252" s="76" t="s">
        <v>2533</v>
      </c>
      <c r="AS252" s="76"/>
      <c r="AT252" s="76"/>
      <c r="AU252" s="76"/>
      <c r="AV252" s="76">
        <v>1.34974742113647E+18</v>
      </c>
      <c r="AW252" s="82" t="str">
        <f>HYPERLINK("https://t.co/snMDK5pEy6")</f>
        <v>https://t.co/snMDK5pEy6</v>
      </c>
      <c r="AX252" s="76" t="b">
        <v>0</v>
      </c>
      <c r="AY252" s="76"/>
      <c r="AZ252" s="76"/>
      <c r="BA252" s="76" t="b">
        <v>0</v>
      </c>
      <c r="BB252" s="76" t="b">
        <v>0</v>
      </c>
      <c r="BC252" s="76" t="b">
        <v>1</v>
      </c>
      <c r="BD252" s="76" t="b">
        <v>0</v>
      </c>
      <c r="BE252" s="76" t="b">
        <v>1</v>
      </c>
      <c r="BF252" s="76" t="b">
        <v>0</v>
      </c>
      <c r="BG252" s="76" t="b">
        <v>0</v>
      </c>
      <c r="BH252" s="82" t="str">
        <f>HYPERLINK("https://pbs.twimg.com/profile_banners/818851053965869060/1588702018")</f>
        <v>https://pbs.twimg.com/profile_banners/818851053965869060/1588702018</v>
      </c>
      <c r="BI252" s="76"/>
      <c r="BJ252" s="76" t="s">
        <v>2656</v>
      </c>
      <c r="BK252" s="76" t="b">
        <v>0</v>
      </c>
      <c r="BL252" s="76"/>
      <c r="BM252" s="76" t="s">
        <v>66</v>
      </c>
      <c r="BN252" s="76" t="s">
        <v>2657</v>
      </c>
      <c r="BO252" s="82" t="str">
        <f>HYPERLINK("https://twitter.com/littletoright")</f>
        <v>https://twitter.com/littletoright</v>
      </c>
      <c r="BP252" s="76" t="str">
        <f>REPLACE(INDEX(GroupVertices[Group],MATCH(Vertices[[#This Row],[Vertex]],GroupVertices[Vertex],0)),1,1,"")</f>
        <v>8</v>
      </c>
      <c r="BQ252" s="45">
        <v>0</v>
      </c>
      <c r="BR252" s="46">
        <v>0</v>
      </c>
      <c r="BS252" s="45">
        <v>0</v>
      </c>
      <c r="BT252" s="46">
        <v>0</v>
      </c>
      <c r="BU252" s="45">
        <v>0</v>
      </c>
      <c r="BV252" s="46">
        <v>0</v>
      </c>
      <c r="BW252" s="45">
        <v>16</v>
      </c>
      <c r="BX252" s="46">
        <v>100</v>
      </c>
      <c r="BY252" s="45">
        <v>16</v>
      </c>
      <c r="BZ252" s="45"/>
      <c r="CA252" s="45"/>
      <c r="CB252" s="45"/>
      <c r="CC252" s="45"/>
      <c r="CD252" s="45"/>
      <c r="CE252" s="45"/>
      <c r="CF252" s="112" t="s">
        <v>11606</v>
      </c>
      <c r="CG252" s="112" t="s">
        <v>11606</v>
      </c>
      <c r="CH252" s="112" t="s">
        <v>11661</v>
      </c>
      <c r="CI252" s="112" t="s">
        <v>11661</v>
      </c>
      <c r="CJ252" s="2"/>
    </row>
    <row r="253" spans="1:88" ht="15">
      <c r="A253" s="61" t="s">
        <v>492</v>
      </c>
      <c r="B253" s="62"/>
      <c r="C253" s="62"/>
      <c r="D253" s="63">
        <v>1000</v>
      </c>
      <c r="E253" s="65"/>
      <c r="F253" s="100" t="str">
        <f>HYPERLINK("https://pbs.twimg.com/profile_images/1584715298317418496/2yknBAFM_normal.jpg")</f>
        <v>https://pbs.twimg.com/profile_images/1584715298317418496/2yknBAFM_normal.jpg</v>
      </c>
      <c r="G253" s="62"/>
      <c r="H253" s="66" t="s">
        <v>492</v>
      </c>
      <c r="I253" s="67"/>
      <c r="J253" s="67" t="s">
        <v>159</v>
      </c>
      <c r="K253" s="66" t="s">
        <v>2907</v>
      </c>
      <c r="L253" s="70">
        <v>2381.4761904761904</v>
      </c>
      <c r="M253" s="71">
        <v>7463.453125</v>
      </c>
      <c r="N253" s="71">
        <v>6001.423828125</v>
      </c>
      <c r="O253" s="72"/>
      <c r="P253" s="73"/>
      <c r="Q253" s="73"/>
      <c r="R253" s="86"/>
      <c r="S253" s="45">
        <v>5</v>
      </c>
      <c r="T253" s="45">
        <v>0</v>
      </c>
      <c r="U253" s="46">
        <v>0</v>
      </c>
      <c r="V253" s="46">
        <v>0.258196</v>
      </c>
      <c r="W253" s="46">
        <v>0.052101</v>
      </c>
      <c r="X253" s="46">
        <v>0.002875</v>
      </c>
      <c r="Y253" s="46">
        <v>0.8</v>
      </c>
      <c r="Z253" s="46">
        <v>0</v>
      </c>
      <c r="AA253" s="68">
        <v>253</v>
      </c>
      <c r="AB253" s="68"/>
      <c r="AC253" s="69"/>
      <c r="AD253" s="76" t="s">
        <v>1498</v>
      </c>
      <c r="AE253" s="80" t="s">
        <v>1795</v>
      </c>
      <c r="AF253" s="76">
        <v>5305</v>
      </c>
      <c r="AG253" s="76">
        <v>684</v>
      </c>
      <c r="AH253" s="76">
        <v>4829</v>
      </c>
      <c r="AI253" s="76">
        <v>31</v>
      </c>
      <c r="AJ253" s="76">
        <v>5468</v>
      </c>
      <c r="AK253" s="76">
        <v>215</v>
      </c>
      <c r="AL253" s="76" t="b">
        <v>0</v>
      </c>
      <c r="AM253" s="78">
        <v>41677.75846064815</v>
      </c>
      <c r="AN253" s="76"/>
      <c r="AO253" s="76" t="s">
        <v>2280</v>
      </c>
      <c r="AP253" s="82" t="str">
        <f>HYPERLINK("https://t.co/eBPjj1S14P")</f>
        <v>https://t.co/eBPjj1S14P</v>
      </c>
      <c r="AQ253" s="82" t="str">
        <f>HYPERLINK("https://www.ConfidentSpeaking.us")</f>
        <v>https://www.ConfidentSpeaking.us</v>
      </c>
      <c r="AR253" s="76" t="s">
        <v>2534</v>
      </c>
      <c r="AS253" s="76"/>
      <c r="AT253" s="76"/>
      <c r="AU253" s="76"/>
      <c r="AV253" s="76">
        <v>1.70070969851988E+18</v>
      </c>
      <c r="AW253" s="82" t="str">
        <f>HYPERLINK("https://t.co/eBPjj1S14P")</f>
        <v>https://t.co/eBPjj1S14P</v>
      </c>
      <c r="AX253" s="76" t="b">
        <v>1</v>
      </c>
      <c r="AY253" s="76"/>
      <c r="AZ253" s="76"/>
      <c r="BA253" s="76" t="b">
        <v>1</v>
      </c>
      <c r="BB253" s="76" t="b">
        <v>0</v>
      </c>
      <c r="BC253" s="76" t="b">
        <v>1</v>
      </c>
      <c r="BD253" s="76" t="b">
        <v>0</v>
      </c>
      <c r="BE253" s="76" t="b">
        <v>1</v>
      </c>
      <c r="BF253" s="76" t="b">
        <v>0</v>
      </c>
      <c r="BG253" s="76" t="b">
        <v>0</v>
      </c>
      <c r="BH253" s="82" t="str">
        <f>HYPERLINK("https://pbs.twimg.com/profile_banners/2332231189/1668200418")</f>
        <v>https://pbs.twimg.com/profile_banners/2332231189/1668200418</v>
      </c>
      <c r="BI253" s="76"/>
      <c r="BJ253" s="76" t="s">
        <v>2656</v>
      </c>
      <c r="BK253" s="76" t="b">
        <v>0</v>
      </c>
      <c r="BL253" s="76"/>
      <c r="BM253" s="76" t="s">
        <v>65</v>
      </c>
      <c r="BN253" s="76" t="s">
        <v>2657</v>
      </c>
      <c r="BO253" s="82" t="str">
        <f>HYPERLINK("https://twitter.com/simplytimtv")</f>
        <v>https://twitter.com/simplytimtv</v>
      </c>
      <c r="BP253" s="76" t="str">
        <f>REPLACE(INDEX(GroupVertices[Group],MATCH(Vertices[[#This Row],[Vertex]],GroupVertices[Vertex],0)),1,1,"")</f>
        <v>8</v>
      </c>
      <c r="BQ253" s="45"/>
      <c r="BR253" s="46"/>
      <c r="BS253" s="45"/>
      <c r="BT253" s="46"/>
      <c r="BU253" s="45"/>
      <c r="BV253" s="46"/>
      <c r="BW253" s="45"/>
      <c r="BX253" s="46"/>
      <c r="BY253" s="45"/>
      <c r="BZ253" s="45"/>
      <c r="CA253" s="45"/>
      <c r="CB253" s="45"/>
      <c r="CC253" s="45"/>
      <c r="CD253" s="45"/>
      <c r="CE253" s="45"/>
      <c r="CF253" s="45"/>
      <c r="CG253" s="45"/>
      <c r="CH253" s="45"/>
      <c r="CI253" s="45"/>
      <c r="CJ253" s="2"/>
    </row>
    <row r="254" spans="1:88" ht="15">
      <c r="A254" s="61" t="s">
        <v>261</v>
      </c>
      <c r="B254" s="62"/>
      <c r="C254" s="62"/>
      <c r="D254" s="63">
        <v>1000</v>
      </c>
      <c r="E254" s="65"/>
      <c r="F254" s="100" t="str">
        <f>HYPERLINK("https://pbs.twimg.com/profile_images/1646618443414745088/svPKHtn1_normal.jpg")</f>
        <v>https://pbs.twimg.com/profile_images/1646618443414745088/svPKHtn1_normal.jpg</v>
      </c>
      <c r="G254" s="62"/>
      <c r="H254" s="66" t="s">
        <v>261</v>
      </c>
      <c r="I254" s="67"/>
      <c r="J254" s="67" t="s">
        <v>159</v>
      </c>
      <c r="K254" s="66" t="s">
        <v>2908</v>
      </c>
      <c r="L254" s="70">
        <v>1905.3809523809523</v>
      </c>
      <c r="M254" s="71">
        <v>7217.24755859375</v>
      </c>
      <c r="N254" s="71">
        <v>5200.68505859375</v>
      </c>
      <c r="O254" s="72"/>
      <c r="P254" s="73"/>
      <c r="Q254" s="73"/>
      <c r="R254" s="86"/>
      <c r="S254" s="45">
        <v>4</v>
      </c>
      <c r="T254" s="45">
        <v>14</v>
      </c>
      <c r="U254" s="46">
        <v>928.005602</v>
      </c>
      <c r="V254" s="46">
        <v>0.338152</v>
      </c>
      <c r="W254" s="46">
        <v>0.113899</v>
      </c>
      <c r="X254" s="46">
        <v>0.003743</v>
      </c>
      <c r="Y254" s="46">
        <v>0.2523809523809524</v>
      </c>
      <c r="Z254" s="46">
        <v>0.2</v>
      </c>
      <c r="AA254" s="68">
        <v>254</v>
      </c>
      <c r="AB254" s="68"/>
      <c r="AC254" s="69"/>
      <c r="AD254" s="76" t="s">
        <v>1499</v>
      </c>
      <c r="AE254" s="80" t="s">
        <v>1796</v>
      </c>
      <c r="AF254" s="76">
        <v>4461</v>
      </c>
      <c r="AG254" s="76">
        <v>2579</v>
      </c>
      <c r="AH254" s="76">
        <v>12779</v>
      </c>
      <c r="AI254" s="76">
        <v>54</v>
      </c>
      <c r="AJ254" s="76">
        <v>16345</v>
      </c>
      <c r="AK254" s="76">
        <v>1768</v>
      </c>
      <c r="AL254" s="76" t="b">
        <v>0</v>
      </c>
      <c r="AM254" s="78">
        <v>40064.15738425926</v>
      </c>
      <c r="AN254" s="76" t="s">
        <v>2003</v>
      </c>
      <c r="AO254" s="76" t="s">
        <v>2281</v>
      </c>
      <c r="AP254" s="82" t="str">
        <f>HYPERLINK("https://t.co/1lsJxTjdnF")</f>
        <v>https://t.co/1lsJxTjdnF</v>
      </c>
      <c r="AQ254" s="82" t="str">
        <f>HYPERLINK("https://keyofcg.com/linktree")</f>
        <v>https://keyofcg.com/linktree</v>
      </c>
      <c r="AR254" s="76" t="s">
        <v>2535</v>
      </c>
      <c r="AS254" s="76"/>
      <c r="AT254" s="76"/>
      <c r="AU254" s="76"/>
      <c r="AV254" s="76">
        <v>1.60715319676149E+18</v>
      </c>
      <c r="AW254" s="82" t="str">
        <f>HYPERLINK("https://t.co/1lsJxTjdnF")</f>
        <v>https://t.co/1lsJxTjdnF</v>
      </c>
      <c r="AX254" s="76" t="b">
        <v>1</v>
      </c>
      <c r="AY254" s="76"/>
      <c r="AZ254" s="76"/>
      <c r="BA254" s="76" t="b">
        <v>0</v>
      </c>
      <c r="BB254" s="76" t="b">
        <v>1</v>
      </c>
      <c r="BC254" s="76" t="b">
        <v>1</v>
      </c>
      <c r="BD254" s="76" t="b">
        <v>0</v>
      </c>
      <c r="BE254" s="76" t="b">
        <v>1</v>
      </c>
      <c r="BF254" s="76" t="b">
        <v>0</v>
      </c>
      <c r="BG254" s="76" t="b">
        <v>0</v>
      </c>
      <c r="BH254" s="82" t="str">
        <f>HYPERLINK("https://pbs.twimg.com/profile_banners/72464113/1663717078")</f>
        <v>https://pbs.twimg.com/profile_banners/72464113/1663717078</v>
      </c>
      <c r="BI254" s="76"/>
      <c r="BJ254" s="76" t="s">
        <v>2656</v>
      </c>
      <c r="BK254" s="76" t="b">
        <v>0</v>
      </c>
      <c r="BL254" s="76"/>
      <c r="BM254" s="76" t="s">
        <v>66</v>
      </c>
      <c r="BN254" s="76" t="s">
        <v>2657</v>
      </c>
      <c r="BO254" s="82" t="str">
        <f>HYPERLINK("https://twitter.com/chrisgalesmusic")</f>
        <v>https://twitter.com/chrisgalesmusic</v>
      </c>
      <c r="BP254" s="76" t="str">
        <f>REPLACE(INDEX(GroupVertices[Group],MATCH(Vertices[[#This Row],[Vertex]],GroupVertices[Vertex],0)),1,1,"")</f>
        <v>8</v>
      </c>
      <c r="BQ254" s="45">
        <v>1</v>
      </c>
      <c r="BR254" s="46">
        <v>5.2631578947368425</v>
      </c>
      <c r="BS254" s="45">
        <v>0</v>
      </c>
      <c r="BT254" s="46">
        <v>0</v>
      </c>
      <c r="BU254" s="45">
        <v>0</v>
      </c>
      <c r="BV254" s="46">
        <v>0</v>
      </c>
      <c r="BW254" s="45">
        <v>16</v>
      </c>
      <c r="BX254" s="46">
        <v>84.21052631578948</v>
      </c>
      <c r="BY254" s="45">
        <v>19</v>
      </c>
      <c r="BZ254" s="45"/>
      <c r="CA254" s="45"/>
      <c r="CB254" s="45"/>
      <c r="CC254" s="45"/>
      <c r="CD254" s="45"/>
      <c r="CE254" s="45"/>
      <c r="CF254" s="112" t="s">
        <v>11607</v>
      </c>
      <c r="CG254" s="112" t="s">
        <v>11607</v>
      </c>
      <c r="CH254" s="112" t="s">
        <v>11662</v>
      </c>
      <c r="CI254" s="112" t="s">
        <v>11662</v>
      </c>
      <c r="CJ254" s="2"/>
    </row>
    <row r="255" spans="1:88" ht="15">
      <c r="A255" s="61" t="s">
        <v>262</v>
      </c>
      <c r="B255" s="62"/>
      <c r="C255" s="62"/>
      <c r="D255" s="63">
        <v>1000</v>
      </c>
      <c r="E255" s="65"/>
      <c r="F255" s="100" t="str">
        <f>HYPERLINK("https://pbs.twimg.com/profile_images/1700212395728060416/FLrANnNz_normal.jpg")</f>
        <v>https://pbs.twimg.com/profile_images/1700212395728060416/FLrANnNz_normal.jpg</v>
      </c>
      <c r="G255" s="62"/>
      <c r="H255" s="66" t="s">
        <v>262</v>
      </c>
      <c r="I255" s="67"/>
      <c r="J255" s="67" t="s">
        <v>159</v>
      </c>
      <c r="K255" s="66" t="s">
        <v>2909</v>
      </c>
      <c r="L255" s="70">
        <v>1905.3809523809523</v>
      </c>
      <c r="M255" s="71">
        <v>7306.00439453125</v>
      </c>
      <c r="N255" s="71">
        <v>4865.3447265625</v>
      </c>
      <c r="O255" s="72"/>
      <c r="P255" s="73"/>
      <c r="Q255" s="73"/>
      <c r="R255" s="86"/>
      <c r="S255" s="45">
        <v>4</v>
      </c>
      <c r="T255" s="45">
        <v>14</v>
      </c>
      <c r="U255" s="46">
        <v>928.005602</v>
      </c>
      <c r="V255" s="46">
        <v>0.338152</v>
      </c>
      <c r="W255" s="46">
        <v>0.113899</v>
      </c>
      <c r="X255" s="46">
        <v>0.003743</v>
      </c>
      <c r="Y255" s="46">
        <v>0.2523809523809524</v>
      </c>
      <c r="Z255" s="46">
        <v>0.2</v>
      </c>
      <c r="AA255" s="68">
        <v>255</v>
      </c>
      <c r="AB255" s="68"/>
      <c r="AC255" s="69"/>
      <c r="AD255" s="76" t="s">
        <v>1500</v>
      </c>
      <c r="AE255" s="80" t="s">
        <v>1797</v>
      </c>
      <c r="AF255" s="76">
        <v>2734</v>
      </c>
      <c r="AG255" s="76">
        <v>2997</v>
      </c>
      <c r="AH255" s="76">
        <v>101295</v>
      </c>
      <c r="AI255" s="76">
        <v>120</v>
      </c>
      <c r="AJ255" s="76">
        <v>39863</v>
      </c>
      <c r="AK255" s="76">
        <v>4977</v>
      </c>
      <c r="AL255" s="76" t="b">
        <v>0</v>
      </c>
      <c r="AM255" s="78">
        <v>39714.7884375</v>
      </c>
      <c r="AN255" s="76" t="s">
        <v>2004</v>
      </c>
      <c r="AO255" s="76" t="s">
        <v>2282</v>
      </c>
      <c r="AP255" s="82" t="str">
        <f>HYPERLINK("https://t.co/PNXJGvfTAG")</f>
        <v>https://t.co/PNXJGvfTAG</v>
      </c>
      <c r="AQ255" s="82" t="str">
        <f>HYPERLINK("http://www.SeeChrisLive.com")</f>
        <v>http://www.SeeChrisLive.com</v>
      </c>
      <c r="AR255" s="76" t="s">
        <v>2536</v>
      </c>
      <c r="AS255" s="76"/>
      <c r="AT255" s="76"/>
      <c r="AU255" s="76"/>
      <c r="AV255" s="76">
        <v>1.69736311276294E+18</v>
      </c>
      <c r="AW255" s="82" t="str">
        <f>HYPERLINK("https://t.co/PNXJGvfTAG")</f>
        <v>https://t.co/PNXJGvfTAG</v>
      </c>
      <c r="AX255" s="76" t="b">
        <v>0</v>
      </c>
      <c r="AY255" s="76"/>
      <c r="AZ255" s="76"/>
      <c r="BA255" s="76" t="b">
        <v>0</v>
      </c>
      <c r="BB255" s="76" t="b">
        <v>1</v>
      </c>
      <c r="BC255" s="76" t="b">
        <v>0</v>
      </c>
      <c r="BD255" s="76" t="b">
        <v>0</v>
      </c>
      <c r="BE255" s="76" t="b">
        <v>1</v>
      </c>
      <c r="BF255" s="76" t="b">
        <v>0</v>
      </c>
      <c r="BG255" s="76" t="b">
        <v>0</v>
      </c>
      <c r="BH255" s="82" t="str">
        <f>HYPERLINK("https://pbs.twimg.com/profile_banners/16423356/1693004616")</f>
        <v>https://pbs.twimg.com/profile_banners/16423356/1693004616</v>
      </c>
      <c r="BI255" s="76"/>
      <c r="BJ255" s="76" t="s">
        <v>2656</v>
      </c>
      <c r="BK255" s="76" t="b">
        <v>0</v>
      </c>
      <c r="BL255" s="76"/>
      <c r="BM255" s="76" t="s">
        <v>66</v>
      </c>
      <c r="BN255" s="76" t="s">
        <v>2657</v>
      </c>
      <c r="BO255" s="82" t="str">
        <f>HYPERLINK("https://twitter.com/chrismontmusic")</f>
        <v>https://twitter.com/chrismontmusic</v>
      </c>
      <c r="BP255" s="76" t="str">
        <f>REPLACE(INDEX(GroupVertices[Group],MATCH(Vertices[[#This Row],[Vertex]],GroupVertices[Vertex],0)),1,1,"")</f>
        <v>8</v>
      </c>
      <c r="BQ255" s="45">
        <v>1</v>
      </c>
      <c r="BR255" s="46">
        <v>6.25</v>
      </c>
      <c r="BS255" s="45">
        <v>0</v>
      </c>
      <c r="BT255" s="46">
        <v>0</v>
      </c>
      <c r="BU255" s="45">
        <v>0</v>
      </c>
      <c r="BV255" s="46">
        <v>0</v>
      </c>
      <c r="BW255" s="45">
        <v>14</v>
      </c>
      <c r="BX255" s="46">
        <v>87.5</v>
      </c>
      <c r="BY255" s="45">
        <v>16</v>
      </c>
      <c r="BZ255" s="45"/>
      <c r="CA255" s="45"/>
      <c r="CB255" s="45"/>
      <c r="CC255" s="45"/>
      <c r="CD255" s="45"/>
      <c r="CE255" s="45"/>
      <c r="CF255" s="112" t="s">
        <v>11608</v>
      </c>
      <c r="CG255" s="112" t="s">
        <v>11608</v>
      </c>
      <c r="CH255" s="112" t="s">
        <v>11663</v>
      </c>
      <c r="CI255" s="112" t="s">
        <v>11663</v>
      </c>
      <c r="CJ255" s="2"/>
    </row>
    <row r="256" spans="1:88" ht="15">
      <c r="A256" s="61" t="s">
        <v>493</v>
      </c>
      <c r="B256" s="62"/>
      <c r="C256" s="62"/>
      <c r="D256" s="63">
        <v>1000</v>
      </c>
      <c r="E256" s="65"/>
      <c r="F256" s="100" t="str">
        <f>HYPERLINK("https://pbs.twimg.com/profile_images/1534546926510784513/wpy8CRoh_normal.jpg")</f>
        <v>https://pbs.twimg.com/profile_images/1534546926510784513/wpy8CRoh_normal.jpg</v>
      </c>
      <c r="G256" s="62"/>
      <c r="H256" s="66" t="s">
        <v>493</v>
      </c>
      <c r="I256" s="67"/>
      <c r="J256" s="67" t="s">
        <v>159</v>
      </c>
      <c r="K256" s="66" t="s">
        <v>2910</v>
      </c>
      <c r="L256" s="70">
        <v>2381.4761904761904</v>
      </c>
      <c r="M256" s="71">
        <v>7874.70361328125</v>
      </c>
      <c r="N256" s="71">
        <v>5514.494140625</v>
      </c>
      <c r="O256" s="72"/>
      <c r="P256" s="73"/>
      <c r="Q256" s="73"/>
      <c r="R256" s="86"/>
      <c r="S256" s="45">
        <v>5</v>
      </c>
      <c r="T256" s="45">
        <v>0</v>
      </c>
      <c r="U256" s="46">
        <v>0</v>
      </c>
      <c r="V256" s="46">
        <v>0.258196</v>
      </c>
      <c r="W256" s="46">
        <v>0.052101</v>
      </c>
      <c r="X256" s="46">
        <v>0.002875</v>
      </c>
      <c r="Y256" s="46">
        <v>0.8</v>
      </c>
      <c r="Z256" s="46">
        <v>0</v>
      </c>
      <c r="AA256" s="68">
        <v>256</v>
      </c>
      <c r="AB256" s="68"/>
      <c r="AC256" s="69"/>
      <c r="AD256" s="76" t="s">
        <v>1501</v>
      </c>
      <c r="AE256" s="80" t="s">
        <v>1798</v>
      </c>
      <c r="AF256" s="76">
        <v>239029</v>
      </c>
      <c r="AG256" s="76">
        <v>235937</v>
      </c>
      <c r="AH256" s="76">
        <v>39849</v>
      </c>
      <c r="AI256" s="76">
        <v>69</v>
      </c>
      <c r="AJ256" s="76">
        <v>271156</v>
      </c>
      <c r="AK256" s="76">
        <v>4063</v>
      </c>
      <c r="AL256" s="76" t="b">
        <v>0</v>
      </c>
      <c r="AM256" s="78">
        <v>41302.17868055555</v>
      </c>
      <c r="AN256" s="76" t="s">
        <v>2005</v>
      </c>
      <c r="AO256" s="76" t="s">
        <v>2283</v>
      </c>
      <c r="AP256" s="82" t="str">
        <f>HYPERLINK("https://t.co/8AdpIxemLD")</f>
        <v>https://t.co/8AdpIxemLD</v>
      </c>
      <c r="AQ256" s="82" t="str">
        <f>HYPERLINK("https://www.youtube.com/channel/UC3XfcIeF9bVQiccvnuBYuQQ/twitter/callback")</f>
        <v>https://www.youtube.com/channel/UC3XfcIeF9bVQiccvnuBYuQQ/twitter/callback</v>
      </c>
      <c r="AR256" s="76" t="s">
        <v>2537</v>
      </c>
      <c r="AS256" s="82" t="str">
        <f>HYPERLINK("https://t.co/nwl0G3uV7w")</f>
        <v>https://t.co/nwl0G3uV7w</v>
      </c>
      <c r="AT256" s="82" t="str">
        <f>HYPERLINK("http://reverbnation.com/freebird3")</f>
        <v>http://reverbnation.com/freebird3</v>
      </c>
      <c r="AU256" s="76" t="s">
        <v>2648</v>
      </c>
      <c r="AV256" s="76">
        <v>1.6440636919298E+18</v>
      </c>
      <c r="AW256" s="82" t="str">
        <f>HYPERLINK("https://t.co/8AdpIxemLD")</f>
        <v>https://t.co/8AdpIxemLD</v>
      </c>
      <c r="AX256" s="76" t="b">
        <v>0</v>
      </c>
      <c r="AY256" s="76"/>
      <c r="AZ256" s="76"/>
      <c r="BA256" s="76" t="b">
        <v>0</v>
      </c>
      <c r="BB256" s="76" t="b">
        <v>1</v>
      </c>
      <c r="BC256" s="76" t="b">
        <v>1</v>
      </c>
      <c r="BD256" s="76" t="b">
        <v>0</v>
      </c>
      <c r="BE256" s="76" t="b">
        <v>1</v>
      </c>
      <c r="BF256" s="76" t="b">
        <v>0</v>
      </c>
      <c r="BG256" s="76" t="b">
        <v>0</v>
      </c>
      <c r="BH256" s="82" t="str">
        <f>HYPERLINK("https://pbs.twimg.com/profile_banners/1126976456/1654705534")</f>
        <v>https://pbs.twimg.com/profile_banners/1126976456/1654705534</v>
      </c>
      <c r="BI256" s="76"/>
      <c r="BJ256" s="76" t="s">
        <v>2656</v>
      </c>
      <c r="BK256" s="76" t="b">
        <v>0</v>
      </c>
      <c r="BL256" s="76"/>
      <c r="BM256" s="76" t="s">
        <v>65</v>
      </c>
      <c r="BN256" s="76" t="s">
        <v>2657</v>
      </c>
      <c r="BO256" s="82" t="str">
        <f>HYPERLINK("https://twitter.com/markbird17")</f>
        <v>https://twitter.com/markbird17</v>
      </c>
      <c r="BP256" s="76" t="str">
        <f>REPLACE(INDEX(GroupVertices[Group],MATCH(Vertices[[#This Row],[Vertex]],GroupVertices[Vertex],0)),1,1,"")</f>
        <v>8</v>
      </c>
      <c r="BQ256" s="45"/>
      <c r="BR256" s="46"/>
      <c r="BS256" s="45"/>
      <c r="BT256" s="46"/>
      <c r="BU256" s="45"/>
      <c r="BV256" s="46"/>
      <c r="BW256" s="45"/>
      <c r="BX256" s="46"/>
      <c r="BY256" s="45"/>
      <c r="BZ256" s="45"/>
      <c r="CA256" s="45"/>
      <c r="CB256" s="45"/>
      <c r="CC256" s="45"/>
      <c r="CD256" s="45"/>
      <c r="CE256" s="45"/>
      <c r="CF256" s="45"/>
      <c r="CG256" s="45"/>
      <c r="CH256" s="45"/>
      <c r="CI256" s="45"/>
      <c r="CJ256" s="2"/>
    </row>
    <row r="257" spans="1:88" ht="15">
      <c r="A257" s="61" t="s">
        <v>494</v>
      </c>
      <c r="B257" s="62"/>
      <c r="C257" s="62"/>
      <c r="D257" s="63">
        <v>1000</v>
      </c>
      <c r="E257" s="65"/>
      <c r="F257" s="100" t="str">
        <f>HYPERLINK("https://pbs.twimg.com/profile_images/778201188864974848/XJnd6uyS_normal.jpg")</f>
        <v>https://pbs.twimg.com/profile_images/778201188864974848/XJnd6uyS_normal.jpg</v>
      </c>
      <c r="G257" s="62"/>
      <c r="H257" s="66" t="s">
        <v>494</v>
      </c>
      <c r="I257" s="67"/>
      <c r="J257" s="67" t="s">
        <v>159</v>
      </c>
      <c r="K257" s="66" t="s">
        <v>2911</v>
      </c>
      <c r="L257" s="70">
        <v>2381.4761904761904</v>
      </c>
      <c r="M257" s="71">
        <v>6906.47216796875</v>
      </c>
      <c r="N257" s="71">
        <v>6087.62646484375</v>
      </c>
      <c r="O257" s="72"/>
      <c r="P257" s="73"/>
      <c r="Q257" s="73"/>
      <c r="R257" s="86"/>
      <c r="S257" s="45">
        <v>5</v>
      </c>
      <c r="T257" s="45">
        <v>0</v>
      </c>
      <c r="U257" s="46">
        <v>0</v>
      </c>
      <c r="V257" s="46">
        <v>0.258196</v>
      </c>
      <c r="W257" s="46">
        <v>0.052101</v>
      </c>
      <c r="X257" s="46">
        <v>0.002875</v>
      </c>
      <c r="Y257" s="46">
        <v>0.8</v>
      </c>
      <c r="Z257" s="46">
        <v>0</v>
      </c>
      <c r="AA257" s="68">
        <v>257</v>
      </c>
      <c r="AB257" s="68"/>
      <c r="AC257" s="69"/>
      <c r="AD257" s="76" t="s">
        <v>1502</v>
      </c>
      <c r="AE257" s="80" t="s">
        <v>1799</v>
      </c>
      <c r="AF257" s="76">
        <v>482</v>
      </c>
      <c r="AG257" s="76">
        <v>299</v>
      </c>
      <c r="AH257" s="76">
        <v>90</v>
      </c>
      <c r="AI257" s="76">
        <v>18</v>
      </c>
      <c r="AJ257" s="76">
        <v>431</v>
      </c>
      <c r="AK257" s="76">
        <v>0</v>
      </c>
      <c r="AL257" s="76" t="b">
        <v>0</v>
      </c>
      <c r="AM257" s="78">
        <v>40849.673472222225</v>
      </c>
      <c r="AN257" s="76" t="s">
        <v>2006</v>
      </c>
      <c r="AO257" s="76" t="s">
        <v>2284</v>
      </c>
      <c r="AP257" s="82" t="str">
        <f>HYPERLINK("https://t.co/WQn2wvdkZl")</f>
        <v>https://t.co/WQn2wvdkZl</v>
      </c>
      <c r="AQ257" s="82" t="str">
        <f>HYPERLINK("http://EckmanGuides.com")</f>
        <v>http://EckmanGuides.com</v>
      </c>
      <c r="AR257" s="76" t="s">
        <v>2538</v>
      </c>
      <c r="AS257" s="76"/>
      <c r="AT257" s="76"/>
      <c r="AU257" s="76"/>
      <c r="AV257" s="76"/>
      <c r="AW257" s="82" t="str">
        <f>HYPERLINK("https://t.co/WQn2wvdkZl")</f>
        <v>https://t.co/WQn2wvdkZl</v>
      </c>
      <c r="AX257" s="76" t="b">
        <v>0</v>
      </c>
      <c r="AY257" s="76"/>
      <c r="AZ257" s="76"/>
      <c r="BA257" s="76" t="b">
        <v>0</v>
      </c>
      <c r="BB257" s="76" t="b">
        <v>1</v>
      </c>
      <c r="BC257" s="76" t="b">
        <v>1</v>
      </c>
      <c r="BD257" s="76" t="b">
        <v>0</v>
      </c>
      <c r="BE257" s="76" t="b">
        <v>0</v>
      </c>
      <c r="BF257" s="76" t="b">
        <v>0</v>
      </c>
      <c r="BG257" s="76" t="b">
        <v>0</v>
      </c>
      <c r="BH257" s="82" t="str">
        <f>HYPERLINK("https://pbs.twimg.com/profile_banners/403511848/1459295923")</f>
        <v>https://pbs.twimg.com/profile_banners/403511848/1459295923</v>
      </c>
      <c r="BI257" s="76"/>
      <c r="BJ257" s="76" t="s">
        <v>2656</v>
      </c>
      <c r="BK257" s="76" t="b">
        <v>0</v>
      </c>
      <c r="BL257" s="76"/>
      <c r="BM257" s="76" t="s">
        <v>65</v>
      </c>
      <c r="BN257" s="76" t="s">
        <v>2657</v>
      </c>
      <c r="BO257" s="82" t="str">
        <f>HYPERLINK("https://twitter.com/hanseckman")</f>
        <v>https://twitter.com/hanseckman</v>
      </c>
      <c r="BP257" s="76" t="str">
        <f>REPLACE(INDEX(GroupVertices[Group],MATCH(Vertices[[#This Row],[Vertex]],GroupVertices[Vertex],0)),1,1,"")</f>
        <v>8</v>
      </c>
      <c r="BQ257" s="45"/>
      <c r="BR257" s="46"/>
      <c r="BS257" s="45"/>
      <c r="BT257" s="46"/>
      <c r="BU257" s="45"/>
      <c r="BV257" s="46"/>
      <c r="BW257" s="45"/>
      <c r="BX257" s="46"/>
      <c r="BY257" s="45"/>
      <c r="BZ257" s="45"/>
      <c r="CA257" s="45"/>
      <c r="CB257" s="45"/>
      <c r="CC257" s="45"/>
      <c r="CD257" s="45"/>
      <c r="CE257" s="45"/>
      <c r="CF257" s="45"/>
      <c r="CG257" s="45"/>
      <c r="CH257" s="45"/>
      <c r="CI257" s="45"/>
      <c r="CJ257" s="2"/>
    </row>
    <row r="258" spans="1:88" ht="15">
      <c r="A258" s="61" t="s">
        <v>495</v>
      </c>
      <c r="B258" s="62"/>
      <c r="C258" s="62"/>
      <c r="D258" s="63">
        <v>1000</v>
      </c>
      <c r="E258" s="65"/>
      <c r="F258" s="100" t="str">
        <f>HYPERLINK("https://pbs.twimg.com/profile_images/378800000640446331/2510977e15531d101c499df5f62ed1d3_normal.jpeg")</f>
        <v>https://pbs.twimg.com/profile_images/378800000640446331/2510977e15531d101c499df5f62ed1d3_normal.jpeg</v>
      </c>
      <c r="G258" s="62"/>
      <c r="H258" s="66" t="s">
        <v>495</v>
      </c>
      <c r="I258" s="67"/>
      <c r="J258" s="67" t="s">
        <v>159</v>
      </c>
      <c r="K258" s="66" t="s">
        <v>2912</v>
      </c>
      <c r="L258" s="70">
        <v>2381.4761904761904</v>
      </c>
      <c r="M258" s="71">
        <v>7982.216796875</v>
      </c>
      <c r="N258" s="71">
        <v>4815.646484375</v>
      </c>
      <c r="O258" s="72"/>
      <c r="P258" s="73"/>
      <c r="Q258" s="73"/>
      <c r="R258" s="86"/>
      <c r="S258" s="45">
        <v>5</v>
      </c>
      <c r="T258" s="45">
        <v>0</v>
      </c>
      <c r="U258" s="46">
        <v>0</v>
      </c>
      <c r="V258" s="46">
        <v>0.258196</v>
      </c>
      <c r="W258" s="46">
        <v>0.052101</v>
      </c>
      <c r="X258" s="46">
        <v>0.002875</v>
      </c>
      <c r="Y258" s="46">
        <v>0.8</v>
      </c>
      <c r="Z258" s="46">
        <v>0</v>
      </c>
      <c r="AA258" s="68">
        <v>258</v>
      </c>
      <c r="AB258" s="68"/>
      <c r="AC258" s="69"/>
      <c r="AD258" s="76" t="s">
        <v>1503</v>
      </c>
      <c r="AE258" s="80" t="s">
        <v>1800</v>
      </c>
      <c r="AF258" s="76">
        <v>10434</v>
      </c>
      <c r="AG258" s="76">
        <v>8944</v>
      </c>
      <c r="AH258" s="76">
        <v>106343</v>
      </c>
      <c r="AI258" s="76">
        <v>425</v>
      </c>
      <c r="AJ258" s="76">
        <v>47351</v>
      </c>
      <c r="AK258" s="76">
        <v>12640</v>
      </c>
      <c r="AL258" s="76" t="b">
        <v>0</v>
      </c>
      <c r="AM258" s="78">
        <v>39973.91136574074</v>
      </c>
      <c r="AN258" s="76" t="s">
        <v>2007</v>
      </c>
      <c r="AO258" s="76" t="s">
        <v>2285</v>
      </c>
      <c r="AP258" s="82" t="str">
        <f>HYPERLINK("https://t.co/gJKhwOt1qn")</f>
        <v>https://t.co/gJKhwOt1qn</v>
      </c>
      <c r="AQ258" s="82" t="str">
        <f>HYPERLINK("https://bonniegortler.com")</f>
        <v>https://bonniegortler.com</v>
      </c>
      <c r="AR258" s="76" t="s">
        <v>2539</v>
      </c>
      <c r="AS258" s="82" t="str">
        <f>HYPERLINK("https://t.co/haz4ZHsVa7")</f>
        <v>https://t.co/haz4ZHsVa7</v>
      </c>
      <c r="AT258" s="82" t="str">
        <f>HYPERLINK("http://bit.ly/3Els35y")</f>
        <v>http://bit.ly/3Els35y</v>
      </c>
      <c r="AU258" s="76" t="s">
        <v>2649</v>
      </c>
      <c r="AV258" s="76">
        <v>1.61154699930805E+18</v>
      </c>
      <c r="AW258" s="82" t="str">
        <f>HYPERLINK("https://t.co/gJKhwOt1qn")</f>
        <v>https://t.co/gJKhwOt1qn</v>
      </c>
      <c r="AX258" s="76" t="b">
        <v>1</v>
      </c>
      <c r="AY258" s="76"/>
      <c r="AZ258" s="76"/>
      <c r="BA258" s="76" t="b">
        <v>0</v>
      </c>
      <c r="BB258" s="76" t="b">
        <v>1</v>
      </c>
      <c r="BC258" s="76" t="b">
        <v>0</v>
      </c>
      <c r="BD258" s="76" t="b">
        <v>0</v>
      </c>
      <c r="BE258" s="76" t="b">
        <v>1</v>
      </c>
      <c r="BF258" s="76" t="b">
        <v>0</v>
      </c>
      <c r="BG258" s="76" t="b">
        <v>0</v>
      </c>
      <c r="BH258" s="82" t="str">
        <f>HYPERLINK("https://pbs.twimg.com/profile_banners/45955305/1679078745")</f>
        <v>https://pbs.twimg.com/profile_banners/45955305/1679078745</v>
      </c>
      <c r="BI258" s="76"/>
      <c r="BJ258" s="76" t="s">
        <v>2656</v>
      </c>
      <c r="BK258" s="76" t="b">
        <v>0</v>
      </c>
      <c r="BL258" s="76"/>
      <c r="BM258" s="76" t="s">
        <v>65</v>
      </c>
      <c r="BN258" s="76" t="s">
        <v>2657</v>
      </c>
      <c r="BO258" s="82" t="str">
        <f>HYPERLINK("https://twitter.com/optiongirl")</f>
        <v>https://twitter.com/optiongirl</v>
      </c>
      <c r="BP258" s="76" t="str">
        <f>REPLACE(INDEX(GroupVertices[Group],MATCH(Vertices[[#This Row],[Vertex]],GroupVertices[Vertex],0)),1,1,"")</f>
        <v>8</v>
      </c>
      <c r="BQ258" s="45"/>
      <c r="BR258" s="46"/>
      <c r="BS258" s="45"/>
      <c r="BT258" s="46"/>
      <c r="BU258" s="45"/>
      <c r="BV258" s="46"/>
      <c r="BW258" s="45"/>
      <c r="BX258" s="46"/>
      <c r="BY258" s="45"/>
      <c r="BZ258" s="45"/>
      <c r="CA258" s="45"/>
      <c r="CB258" s="45"/>
      <c r="CC258" s="45"/>
      <c r="CD258" s="45"/>
      <c r="CE258" s="45"/>
      <c r="CF258" s="45"/>
      <c r="CG258" s="45"/>
      <c r="CH258" s="45"/>
      <c r="CI258" s="45"/>
      <c r="CJ258" s="2"/>
    </row>
    <row r="259" spans="1:88" ht="15">
      <c r="A259" s="61" t="s">
        <v>496</v>
      </c>
      <c r="B259" s="62"/>
      <c r="C259" s="62"/>
      <c r="D259" s="63">
        <v>1000</v>
      </c>
      <c r="E259" s="65"/>
      <c r="F259" s="100" t="str">
        <f>HYPERLINK("https://pbs.twimg.com/profile_images/1054665011208089600/_bSiljTl_normal.jpg")</f>
        <v>https://pbs.twimg.com/profile_images/1054665011208089600/_bSiljTl_normal.jpg</v>
      </c>
      <c r="G259" s="62"/>
      <c r="H259" s="66" t="s">
        <v>496</v>
      </c>
      <c r="I259" s="67"/>
      <c r="J259" s="67" t="s">
        <v>159</v>
      </c>
      <c r="K259" s="66" t="s">
        <v>2913</v>
      </c>
      <c r="L259" s="70">
        <v>2381.4761904761904</v>
      </c>
      <c r="M259" s="71">
        <v>7253.82080078125</v>
      </c>
      <c r="N259" s="71">
        <v>3823.14697265625</v>
      </c>
      <c r="O259" s="72"/>
      <c r="P259" s="73"/>
      <c r="Q259" s="73"/>
      <c r="R259" s="86"/>
      <c r="S259" s="45">
        <v>5</v>
      </c>
      <c r="T259" s="45">
        <v>0</v>
      </c>
      <c r="U259" s="46">
        <v>0</v>
      </c>
      <c r="V259" s="46">
        <v>0.258196</v>
      </c>
      <c r="W259" s="46">
        <v>0.052101</v>
      </c>
      <c r="X259" s="46">
        <v>0.002875</v>
      </c>
      <c r="Y259" s="46">
        <v>0.8</v>
      </c>
      <c r="Z259" s="46">
        <v>0</v>
      </c>
      <c r="AA259" s="68">
        <v>259</v>
      </c>
      <c r="AB259" s="68"/>
      <c r="AC259" s="69"/>
      <c r="AD259" s="76" t="s">
        <v>1504</v>
      </c>
      <c r="AE259" s="80" t="s">
        <v>1801</v>
      </c>
      <c r="AF259" s="76">
        <v>33509</v>
      </c>
      <c r="AG259" s="76">
        <v>112</v>
      </c>
      <c r="AH259" s="76">
        <v>184562</v>
      </c>
      <c r="AI259" s="76">
        <v>2044</v>
      </c>
      <c r="AJ259" s="76">
        <v>3644</v>
      </c>
      <c r="AK259" s="76">
        <v>22847</v>
      </c>
      <c r="AL259" s="76" t="b">
        <v>0</v>
      </c>
      <c r="AM259" s="78">
        <v>40156.80134259259</v>
      </c>
      <c r="AN259" s="76" t="s">
        <v>2008</v>
      </c>
      <c r="AO259" s="76" t="s">
        <v>2286</v>
      </c>
      <c r="AP259" s="82" t="str">
        <f>HYPERLINK("https://t.co/ImJGqF7IDi")</f>
        <v>https://t.co/ImJGqF7IDi</v>
      </c>
      <c r="AQ259" s="82" t="str">
        <f>HYPERLINK("https://uk.linkedin.com/in/davemillner")</f>
        <v>https://uk.linkedin.com/in/davemillner</v>
      </c>
      <c r="AR259" s="76" t="s">
        <v>2540</v>
      </c>
      <c r="AS259" s="76"/>
      <c r="AT259" s="76"/>
      <c r="AU259" s="76"/>
      <c r="AV259" s="76"/>
      <c r="AW259" s="82" t="str">
        <f>HYPERLINK("https://t.co/ImJGqF7IDi")</f>
        <v>https://t.co/ImJGqF7IDi</v>
      </c>
      <c r="AX259" s="76" t="b">
        <v>0</v>
      </c>
      <c r="AY259" s="76"/>
      <c r="AZ259" s="76"/>
      <c r="BA259" s="76" t="b">
        <v>0</v>
      </c>
      <c r="BB259" s="76" t="b">
        <v>1</v>
      </c>
      <c r="BC259" s="76" t="b">
        <v>0</v>
      </c>
      <c r="BD259" s="76" t="b">
        <v>0</v>
      </c>
      <c r="BE259" s="76" t="b">
        <v>0</v>
      </c>
      <c r="BF259" s="76" t="b">
        <v>0</v>
      </c>
      <c r="BG259" s="76" t="b">
        <v>0</v>
      </c>
      <c r="BH259" s="82" t="str">
        <f>HYPERLINK("https://pbs.twimg.com/profile_banners/95711125/1540286756")</f>
        <v>https://pbs.twimg.com/profile_banners/95711125/1540286756</v>
      </c>
      <c r="BI259" s="76"/>
      <c r="BJ259" s="76" t="s">
        <v>2656</v>
      </c>
      <c r="BK259" s="76" t="b">
        <v>0</v>
      </c>
      <c r="BL259" s="76"/>
      <c r="BM259" s="76" t="s">
        <v>65</v>
      </c>
      <c r="BN259" s="76" t="s">
        <v>2657</v>
      </c>
      <c r="BO259" s="82" t="str">
        <f>HYPERLINK("https://twitter.com/hrcurator")</f>
        <v>https://twitter.com/hrcurator</v>
      </c>
      <c r="BP259" s="76" t="str">
        <f>REPLACE(INDEX(GroupVertices[Group],MATCH(Vertices[[#This Row],[Vertex]],GroupVertices[Vertex],0)),1,1,"")</f>
        <v>8</v>
      </c>
      <c r="BQ259" s="45"/>
      <c r="BR259" s="46"/>
      <c r="BS259" s="45"/>
      <c r="BT259" s="46"/>
      <c r="BU259" s="45"/>
      <c r="BV259" s="46"/>
      <c r="BW259" s="45"/>
      <c r="BX259" s="46"/>
      <c r="BY259" s="45"/>
      <c r="BZ259" s="45"/>
      <c r="CA259" s="45"/>
      <c r="CB259" s="45"/>
      <c r="CC259" s="45"/>
      <c r="CD259" s="45"/>
      <c r="CE259" s="45"/>
      <c r="CF259" s="45"/>
      <c r="CG259" s="45"/>
      <c r="CH259" s="45"/>
      <c r="CI259" s="45"/>
      <c r="CJ259" s="2"/>
    </row>
    <row r="260" spans="1:88" ht="15">
      <c r="A260" s="61" t="s">
        <v>497</v>
      </c>
      <c r="B260" s="62"/>
      <c r="C260" s="62"/>
      <c r="D260" s="63">
        <v>1000</v>
      </c>
      <c r="E260" s="65"/>
      <c r="F260" s="100" t="str">
        <f>HYPERLINK("https://pbs.twimg.com/profile_images/764371049/gina_small_normal.jpg")</f>
        <v>https://pbs.twimg.com/profile_images/764371049/gina_small_normal.jpg</v>
      </c>
      <c r="G260" s="62"/>
      <c r="H260" s="66" t="s">
        <v>497</v>
      </c>
      <c r="I260" s="67"/>
      <c r="J260" s="67" t="s">
        <v>159</v>
      </c>
      <c r="K260" s="66" t="s">
        <v>2914</v>
      </c>
      <c r="L260" s="70">
        <v>2381.4761904761904</v>
      </c>
      <c r="M260" s="71">
        <v>7744.36181640625</v>
      </c>
      <c r="N260" s="71">
        <v>4168.865234375</v>
      </c>
      <c r="O260" s="72"/>
      <c r="P260" s="73"/>
      <c r="Q260" s="73"/>
      <c r="R260" s="86"/>
      <c r="S260" s="45">
        <v>5</v>
      </c>
      <c r="T260" s="45">
        <v>0</v>
      </c>
      <c r="U260" s="46">
        <v>0</v>
      </c>
      <c r="V260" s="46">
        <v>0.258196</v>
      </c>
      <c r="W260" s="46">
        <v>0.052101</v>
      </c>
      <c r="X260" s="46">
        <v>0.002875</v>
      </c>
      <c r="Y260" s="46">
        <v>0.8</v>
      </c>
      <c r="Z260" s="46">
        <v>0</v>
      </c>
      <c r="AA260" s="68">
        <v>260</v>
      </c>
      <c r="AB260" s="68"/>
      <c r="AC260" s="69"/>
      <c r="AD260" s="76" t="s">
        <v>1505</v>
      </c>
      <c r="AE260" s="80" t="s">
        <v>1802</v>
      </c>
      <c r="AF260" s="76">
        <v>11918</v>
      </c>
      <c r="AG260" s="76">
        <v>5790</v>
      </c>
      <c r="AH260" s="76">
        <v>78499</v>
      </c>
      <c r="AI260" s="76">
        <v>228</v>
      </c>
      <c r="AJ260" s="76">
        <v>41117</v>
      </c>
      <c r="AK260" s="76">
        <v>3819</v>
      </c>
      <c r="AL260" s="76" t="b">
        <v>0</v>
      </c>
      <c r="AM260" s="78">
        <v>39649.56015046296</v>
      </c>
      <c r="AN260" s="76" t="s">
        <v>2009</v>
      </c>
      <c r="AO260" s="76" t="s">
        <v>2287</v>
      </c>
      <c r="AP260" s="82" t="str">
        <f>HYPERLINK("https://t.co/zxsVGjAzjm")</f>
        <v>https://t.co/zxsVGjAzjm</v>
      </c>
      <c r="AQ260" s="82" t="str">
        <f>HYPERLINK("http://tbhcblog.blogspot.com/")</f>
        <v>http://tbhcblog.blogspot.com/</v>
      </c>
      <c r="AR260" s="76" t="s">
        <v>2541</v>
      </c>
      <c r="AS260" s="76"/>
      <c r="AT260" s="76"/>
      <c r="AU260" s="76"/>
      <c r="AV260" s="76">
        <v>1.33500939716938E+18</v>
      </c>
      <c r="AW260" s="82" t="str">
        <f>HYPERLINK("https://t.co/zxsVGjAzjm")</f>
        <v>https://t.co/zxsVGjAzjm</v>
      </c>
      <c r="AX260" s="76" t="b">
        <v>1</v>
      </c>
      <c r="AY260" s="76"/>
      <c r="AZ260" s="76"/>
      <c r="BA260" s="76" t="b">
        <v>0</v>
      </c>
      <c r="BB260" s="76" t="b">
        <v>0</v>
      </c>
      <c r="BC260" s="76" t="b">
        <v>0</v>
      </c>
      <c r="BD260" s="76" t="b">
        <v>0</v>
      </c>
      <c r="BE260" s="76" t="b">
        <v>1</v>
      </c>
      <c r="BF260" s="76" t="b">
        <v>0</v>
      </c>
      <c r="BG260" s="76" t="b">
        <v>0</v>
      </c>
      <c r="BH260" s="82" t="str">
        <f>HYPERLINK("https://pbs.twimg.com/profile_banners/15501088/1598579227")</f>
        <v>https://pbs.twimg.com/profile_banners/15501088/1598579227</v>
      </c>
      <c r="BI260" s="76"/>
      <c r="BJ260" s="76" t="s">
        <v>2656</v>
      </c>
      <c r="BK260" s="76" t="b">
        <v>0</v>
      </c>
      <c r="BL260" s="76"/>
      <c r="BM260" s="76" t="s">
        <v>65</v>
      </c>
      <c r="BN260" s="76" t="s">
        <v>2657</v>
      </c>
      <c r="BO260" s="82" t="str">
        <f>HYPERLINK("https://twitter.com/ginabella")</f>
        <v>https://twitter.com/ginabella</v>
      </c>
      <c r="BP260" s="76" t="str">
        <f>REPLACE(INDEX(GroupVertices[Group],MATCH(Vertices[[#This Row],[Vertex]],GroupVertices[Vertex],0)),1,1,"")</f>
        <v>8</v>
      </c>
      <c r="BQ260" s="45"/>
      <c r="BR260" s="46"/>
      <c r="BS260" s="45"/>
      <c r="BT260" s="46"/>
      <c r="BU260" s="45"/>
      <c r="BV260" s="46"/>
      <c r="BW260" s="45"/>
      <c r="BX260" s="46"/>
      <c r="BY260" s="45"/>
      <c r="BZ260" s="45"/>
      <c r="CA260" s="45"/>
      <c r="CB260" s="45"/>
      <c r="CC260" s="45"/>
      <c r="CD260" s="45"/>
      <c r="CE260" s="45"/>
      <c r="CF260" s="45"/>
      <c r="CG260" s="45"/>
      <c r="CH260" s="45"/>
      <c r="CI260" s="45"/>
      <c r="CJ260" s="2"/>
    </row>
    <row r="261" spans="1:88" ht="15">
      <c r="A261" s="61" t="s">
        <v>498</v>
      </c>
      <c r="B261" s="62"/>
      <c r="C261" s="62"/>
      <c r="D261" s="63">
        <v>1000</v>
      </c>
      <c r="E261" s="65"/>
      <c r="F261" s="100" t="str">
        <f>HYPERLINK("https://pbs.twimg.com/profile_images/3212071244/52340fcb91e6ebb5990e496b8f4cc083_normal.png")</f>
        <v>https://pbs.twimg.com/profile_images/3212071244/52340fcb91e6ebb5990e496b8f4cc083_normal.png</v>
      </c>
      <c r="G261" s="62"/>
      <c r="H261" s="66" t="s">
        <v>498</v>
      </c>
      <c r="I261" s="67"/>
      <c r="J261" s="67" t="s">
        <v>159</v>
      </c>
      <c r="K261" s="66" t="s">
        <v>2915</v>
      </c>
      <c r="L261" s="70">
        <v>2381.4761904761904</v>
      </c>
      <c r="M261" s="71">
        <v>6177.72607421875</v>
      </c>
      <c r="N261" s="71">
        <v>5096.2041015625</v>
      </c>
      <c r="O261" s="72"/>
      <c r="P261" s="73"/>
      <c r="Q261" s="73"/>
      <c r="R261" s="86"/>
      <c r="S261" s="45">
        <v>5</v>
      </c>
      <c r="T261" s="45">
        <v>0</v>
      </c>
      <c r="U261" s="46">
        <v>0</v>
      </c>
      <c r="V261" s="46">
        <v>0.258196</v>
      </c>
      <c r="W261" s="46">
        <v>0.052101</v>
      </c>
      <c r="X261" s="46">
        <v>0.002875</v>
      </c>
      <c r="Y261" s="46">
        <v>0.8</v>
      </c>
      <c r="Z261" s="46">
        <v>0</v>
      </c>
      <c r="AA261" s="68">
        <v>261</v>
      </c>
      <c r="AB261" s="68"/>
      <c r="AC261" s="69"/>
      <c r="AD261" s="76" t="s">
        <v>1506</v>
      </c>
      <c r="AE261" s="80" t="s">
        <v>1803</v>
      </c>
      <c r="AF261" s="76">
        <v>112767</v>
      </c>
      <c r="AG261" s="76">
        <v>96020</v>
      </c>
      <c r="AH261" s="76">
        <v>145541</v>
      </c>
      <c r="AI261" s="76">
        <v>1431</v>
      </c>
      <c r="AJ261" s="76">
        <v>4273</v>
      </c>
      <c r="AK261" s="76">
        <v>6229</v>
      </c>
      <c r="AL261" s="76" t="b">
        <v>0</v>
      </c>
      <c r="AM261" s="78">
        <v>39744.99085648148</v>
      </c>
      <c r="AN261" s="76" t="s">
        <v>2010</v>
      </c>
      <c r="AO261" s="76" t="s">
        <v>2288</v>
      </c>
      <c r="AP261" s="82" t="str">
        <f>HYPERLINK("https://t.co/c90k8uj34C")</f>
        <v>https://t.co/c90k8uj34C</v>
      </c>
      <c r="AQ261" s="82" t="str">
        <f>HYPERLINK("http://www.youtube.com/user/hiqutipie")</f>
        <v>http://www.youtube.com/user/hiqutipie</v>
      </c>
      <c r="AR261" s="76" t="s">
        <v>2542</v>
      </c>
      <c r="AS261" s="76"/>
      <c r="AT261" s="76"/>
      <c r="AU261" s="76"/>
      <c r="AV261" s="76"/>
      <c r="AW261" s="82" t="str">
        <f>HYPERLINK("https://t.co/c90k8uj34C")</f>
        <v>https://t.co/c90k8uj34C</v>
      </c>
      <c r="AX261" s="76" t="b">
        <v>0</v>
      </c>
      <c r="AY261" s="76"/>
      <c r="AZ261" s="76"/>
      <c r="BA261" s="76" t="b">
        <v>1</v>
      </c>
      <c r="BB261" s="76" t="b">
        <v>1</v>
      </c>
      <c r="BC261" s="76" t="b">
        <v>0</v>
      </c>
      <c r="BD261" s="76" t="b">
        <v>0</v>
      </c>
      <c r="BE261" s="76" t="b">
        <v>1</v>
      </c>
      <c r="BF261" s="76" t="b">
        <v>0</v>
      </c>
      <c r="BG261" s="76" t="b">
        <v>0</v>
      </c>
      <c r="BH261" s="82" t="str">
        <f>HYPERLINK("https://pbs.twimg.com/profile_banners/16939324/1431957161")</f>
        <v>https://pbs.twimg.com/profile_banners/16939324/1431957161</v>
      </c>
      <c r="BI261" s="76"/>
      <c r="BJ261" s="76" t="s">
        <v>2656</v>
      </c>
      <c r="BK261" s="76" t="b">
        <v>0</v>
      </c>
      <c r="BL261" s="76"/>
      <c r="BM261" s="76" t="s">
        <v>65</v>
      </c>
      <c r="BN261" s="76" t="s">
        <v>2657</v>
      </c>
      <c r="BO261" s="82" t="str">
        <f>HYPERLINK("https://twitter.com/hiqutipie")</f>
        <v>https://twitter.com/hiqutipie</v>
      </c>
      <c r="BP261" s="76" t="str">
        <f>REPLACE(INDEX(GroupVertices[Group],MATCH(Vertices[[#This Row],[Vertex]],GroupVertices[Vertex],0)),1,1,"")</f>
        <v>8</v>
      </c>
      <c r="BQ261" s="45"/>
      <c r="BR261" s="46"/>
      <c r="BS261" s="45"/>
      <c r="BT261" s="46"/>
      <c r="BU261" s="45"/>
      <c r="BV261" s="46"/>
      <c r="BW261" s="45"/>
      <c r="BX261" s="46"/>
      <c r="BY261" s="45"/>
      <c r="BZ261" s="45"/>
      <c r="CA261" s="45"/>
      <c r="CB261" s="45"/>
      <c r="CC261" s="45"/>
      <c r="CD261" s="45"/>
      <c r="CE261" s="45"/>
      <c r="CF261" s="45"/>
      <c r="CG261" s="45"/>
      <c r="CH261" s="45"/>
      <c r="CI261" s="45"/>
      <c r="CJ261" s="2"/>
    </row>
    <row r="262" spans="1:88" ht="15">
      <c r="A262" s="61" t="s">
        <v>499</v>
      </c>
      <c r="B262" s="62"/>
      <c r="C262" s="62"/>
      <c r="D262" s="63">
        <v>1000</v>
      </c>
      <c r="E262" s="65"/>
      <c r="F262" s="100" t="str">
        <f>HYPERLINK("https://pbs.twimg.com/profile_images/1526286024749490176/QTzIe19__normal.jpg")</f>
        <v>https://pbs.twimg.com/profile_images/1526286024749490176/QTzIe19__normal.jpg</v>
      </c>
      <c r="G262" s="62"/>
      <c r="H262" s="66" t="s">
        <v>499</v>
      </c>
      <c r="I262" s="67"/>
      <c r="J262" s="67" t="s">
        <v>159</v>
      </c>
      <c r="K262" s="66" t="s">
        <v>2916</v>
      </c>
      <c r="L262" s="70">
        <v>2381.4761904761904</v>
      </c>
      <c r="M262" s="71">
        <v>6695.5693359375</v>
      </c>
      <c r="N262" s="71">
        <v>3910.34033203125</v>
      </c>
      <c r="O262" s="72"/>
      <c r="P262" s="73"/>
      <c r="Q262" s="73"/>
      <c r="R262" s="86"/>
      <c r="S262" s="45">
        <v>5</v>
      </c>
      <c r="T262" s="45">
        <v>0</v>
      </c>
      <c r="U262" s="46">
        <v>0</v>
      </c>
      <c r="V262" s="46">
        <v>0.258196</v>
      </c>
      <c r="W262" s="46">
        <v>0.052101</v>
      </c>
      <c r="X262" s="46">
        <v>0.002875</v>
      </c>
      <c r="Y262" s="46">
        <v>0.8</v>
      </c>
      <c r="Z262" s="46">
        <v>0</v>
      </c>
      <c r="AA262" s="68">
        <v>262</v>
      </c>
      <c r="AB262" s="68"/>
      <c r="AC262" s="69"/>
      <c r="AD262" s="76" t="s">
        <v>1507</v>
      </c>
      <c r="AE262" s="80" t="s">
        <v>1804</v>
      </c>
      <c r="AF262" s="76">
        <v>4479</v>
      </c>
      <c r="AG262" s="76">
        <v>744</v>
      </c>
      <c r="AH262" s="76">
        <v>4316</v>
      </c>
      <c r="AI262" s="76">
        <v>106</v>
      </c>
      <c r="AJ262" s="76">
        <v>2392</v>
      </c>
      <c r="AK262" s="76">
        <v>570</v>
      </c>
      <c r="AL262" s="76" t="b">
        <v>0</v>
      </c>
      <c r="AM262" s="78">
        <v>40251.93142361111</v>
      </c>
      <c r="AN262" s="76" t="s">
        <v>2011</v>
      </c>
      <c r="AO262" s="76" t="s">
        <v>2289</v>
      </c>
      <c r="AP262" s="82" t="str">
        <f>HYPERLINK("https://t.co/ygp3t1o6PM")</f>
        <v>https://t.co/ygp3t1o6PM</v>
      </c>
      <c r="AQ262" s="82" t="str">
        <f>HYPERLINK("https://www.ticketscene.ca/events/44365/")</f>
        <v>https://www.ticketscene.ca/events/44365/</v>
      </c>
      <c r="AR262" s="76" t="s">
        <v>2543</v>
      </c>
      <c r="AS262" s="76"/>
      <c r="AT262" s="76"/>
      <c r="AU262" s="76"/>
      <c r="AV262" s="76"/>
      <c r="AW262" s="82" t="str">
        <f>HYPERLINK("https://t.co/ygp3t1o6PM")</f>
        <v>https://t.co/ygp3t1o6PM</v>
      </c>
      <c r="AX262" s="76" t="b">
        <v>0</v>
      </c>
      <c r="AY262" s="76"/>
      <c r="AZ262" s="76"/>
      <c r="BA262" s="76" t="b">
        <v>0</v>
      </c>
      <c r="BB262" s="76" t="b">
        <v>1</v>
      </c>
      <c r="BC262" s="76" t="b">
        <v>0</v>
      </c>
      <c r="BD262" s="76" t="b">
        <v>0</v>
      </c>
      <c r="BE262" s="76" t="b">
        <v>0</v>
      </c>
      <c r="BF262" s="76" t="b">
        <v>0</v>
      </c>
      <c r="BG262" s="76" t="b">
        <v>0</v>
      </c>
      <c r="BH262" s="82" t="str">
        <f>HYPERLINK("https://pbs.twimg.com/profile_banners/123072079/1674934436")</f>
        <v>https://pbs.twimg.com/profile_banners/123072079/1674934436</v>
      </c>
      <c r="BI262" s="76"/>
      <c r="BJ262" s="76" t="s">
        <v>2656</v>
      </c>
      <c r="BK262" s="76" t="b">
        <v>0</v>
      </c>
      <c r="BL262" s="76"/>
      <c r="BM262" s="76" t="s">
        <v>65</v>
      </c>
      <c r="BN262" s="76" t="s">
        <v>2657</v>
      </c>
      <c r="BO262" s="82" t="str">
        <f>HYPERLINK("https://twitter.com/kitchenerblues")</f>
        <v>https://twitter.com/kitchenerblues</v>
      </c>
      <c r="BP262" s="76" t="str">
        <f>REPLACE(INDEX(GroupVertices[Group],MATCH(Vertices[[#This Row],[Vertex]],GroupVertices[Vertex],0)),1,1,"")</f>
        <v>8</v>
      </c>
      <c r="BQ262" s="45"/>
      <c r="BR262" s="46"/>
      <c r="BS262" s="45"/>
      <c r="BT262" s="46"/>
      <c r="BU262" s="45"/>
      <c r="BV262" s="46"/>
      <c r="BW262" s="45"/>
      <c r="BX262" s="46"/>
      <c r="BY262" s="45"/>
      <c r="BZ262" s="45"/>
      <c r="CA262" s="45"/>
      <c r="CB262" s="45"/>
      <c r="CC262" s="45"/>
      <c r="CD262" s="45"/>
      <c r="CE262" s="45"/>
      <c r="CF262" s="45"/>
      <c r="CG262" s="45"/>
      <c r="CH262" s="45"/>
      <c r="CI262" s="45"/>
      <c r="CJ262" s="2"/>
    </row>
    <row r="263" spans="1:88" ht="15">
      <c r="A263" s="61" t="s">
        <v>500</v>
      </c>
      <c r="B263" s="62"/>
      <c r="C263" s="62"/>
      <c r="D263" s="63">
        <v>1000</v>
      </c>
      <c r="E263" s="65"/>
      <c r="F263" s="100" t="str">
        <f>HYPERLINK("https://pbs.twimg.com/profile_images/1700986642285334528/4_VhDrpK_normal.jpg")</f>
        <v>https://pbs.twimg.com/profile_images/1700986642285334528/4_VhDrpK_normal.jpg</v>
      </c>
      <c r="G263" s="62"/>
      <c r="H263" s="66" t="s">
        <v>500</v>
      </c>
      <c r="I263" s="67"/>
      <c r="J263" s="67" t="s">
        <v>159</v>
      </c>
      <c r="K263" s="66" t="s">
        <v>2917</v>
      </c>
      <c r="L263" s="70">
        <v>2381.4761904761904</v>
      </c>
      <c r="M263" s="71">
        <v>6414.44921875</v>
      </c>
      <c r="N263" s="71">
        <v>5741.7724609375</v>
      </c>
      <c r="O263" s="72"/>
      <c r="P263" s="73"/>
      <c r="Q263" s="73"/>
      <c r="R263" s="86"/>
      <c r="S263" s="45">
        <v>5</v>
      </c>
      <c r="T263" s="45">
        <v>0</v>
      </c>
      <c r="U263" s="46">
        <v>0</v>
      </c>
      <c r="V263" s="46">
        <v>0.258196</v>
      </c>
      <c r="W263" s="46">
        <v>0.052101</v>
      </c>
      <c r="X263" s="46">
        <v>0.002875</v>
      </c>
      <c r="Y263" s="46">
        <v>0.8</v>
      </c>
      <c r="Z263" s="46">
        <v>0</v>
      </c>
      <c r="AA263" s="68">
        <v>263</v>
      </c>
      <c r="AB263" s="68"/>
      <c r="AC263" s="69"/>
      <c r="AD263" s="76" t="s">
        <v>1508</v>
      </c>
      <c r="AE263" s="80" t="s">
        <v>1805</v>
      </c>
      <c r="AF263" s="76">
        <v>3722</v>
      </c>
      <c r="AG263" s="76">
        <v>1992</v>
      </c>
      <c r="AH263" s="76">
        <v>85195</v>
      </c>
      <c r="AI263" s="76">
        <v>93</v>
      </c>
      <c r="AJ263" s="76">
        <v>226864</v>
      </c>
      <c r="AK263" s="76">
        <v>10130</v>
      </c>
      <c r="AL263" s="76" t="b">
        <v>0</v>
      </c>
      <c r="AM263" s="78">
        <v>41003.799895833334</v>
      </c>
      <c r="AN263" s="76" t="s">
        <v>2012</v>
      </c>
      <c r="AO263" s="76" t="s">
        <v>2290</v>
      </c>
      <c r="AP263" s="82" t="str">
        <f>HYPERLINK("https://t.co/XmFdEX2bDW")</f>
        <v>https://t.co/XmFdEX2bDW</v>
      </c>
      <c r="AQ263" s="82" t="str">
        <f>HYPERLINK("http://www.davidgogo.com")</f>
        <v>http://www.davidgogo.com</v>
      </c>
      <c r="AR263" s="76" t="s">
        <v>2544</v>
      </c>
      <c r="AS263" s="76"/>
      <c r="AT263" s="76"/>
      <c r="AU263" s="76"/>
      <c r="AV263" s="76">
        <v>1.23491203524413E+18</v>
      </c>
      <c r="AW263" s="82" t="str">
        <f>HYPERLINK("https://t.co/XmFdEX2bDW")</f>
        <v>https://t.co/XmFdEX2bDW</v>
      </c>
      <c r="AX263" s="76" t="b">
        <v>0</v>
      </c>
      <c r="AY263" s="76"/>
      <c r="AZ263" s="76"/>
      <c r="BA263" s="76" t="b">
        <v>0</v>
      </c>
      <c r="BB263" s="76" t="b">
        <v>1</v>
      </c>
      <c r="BC263" s="76" t="b">
        <v>1</v>
      </c>
      <c r="BD263" s="76" t="b">
        <v>0</v>
      </c>
      <c r="BE263" s="76" t="b">
        <v>1</v>
      </c>
      <c r="BF263" s="76" t="b">
        <v>0</v>
      </c>
      <c r="BG263" s="76" t="b">
        <v>0</v>
      </c>
      <c r="BH263" s="82" t="str">
        <f>HYPERLINK("https://pbs.twimg.com/profile_banners/545370091/1692986160")</f>
        <v>https://pbs.twimg.com/profile_banners/545370091/1692986160</v>
      </c>
      <c r="BI263" s="76"/>
      <c r="BJ263" s="76" t="s">
        <v>2656</v>
      </c>
      <c r="BK263" s="76" t="b">
        <v>0</v>
      </c>
      <c r="BL263" s="76"/>
      <c r="BM263" s="76" t="s">
        <v>65</v>
      </c>
      <c r="BN263" s="76" t="s">
        <v>2657</v>
      </c>
      <c r="BO263" s="82" t="str">
        <f>HYPERLINK("https://twitter.com/davidgogoblues")</f>
        <v>https://twitter.com/davidgogoblues</v>
      </c>
      <c r="BP263" s="76" t="str">
        <f>REPLACE(INDEX(GroupVertices[Group],MATCH(Vertices[[#This Row],[Vertex]],GroupVertices[Vertex],0)),1,1,"")</f>
        <v>8</v>
      </c>
      <c r="BQ263" s="45"/>
      <c r="BR263" s="46"/>
      <c r="BS263" s="45"/>
      <c r="BT263" s="46"/>
      <c r="BU263" s="45"/>
      <c r="BV263" s="46"/>
      <c r="BW263" s="45"/>
      <c r="BX263" s="46"/>
      <c r="BY263" s="45"/>
      <c r="BZ263" s="45"/>
      <c r="CA263" s="45"/>
      <c r="CB263" s="45"/>
      <c r="CC263" s="45"/>
      <c r="CD263" s="45"/>
      <c r="CE263" s="45"/>
      <c r="CF263" s="45"/>
      <c r="CG263" s="45"/>
      <c r="CH263" s="45"/>
      <c r="CI263" s="45"/>
      <c r="CJ263" s="2"/>
    </row>
    <row r="264" spans="1:88" ht="15">
      <c r="A264" s="61" t="s">
        <v>501</v>
      </c>
      <c r="B264" s="62"/>
      <c r="C264" s="62"/>
      <c r="D264" s="63">
        <v>1000</v>
      </c>
      <c r="E264" s="65"/>
      <c r="F264" s="100" t="str">
        <f>HYPERLINK("https://pbs.twimg.com/profile_images/1674134516464603155/iJIZD8tC_normal.jpg")</f>
        <v>https://pbs.twimg.com/profile_images/1674134516464603155/iJIZD8tC_normal.jpg</v>
      </c>
      <c r="G264" s="62"/>
      <c r="H264" s="66" t="s">
        <v>501</v>
      </c>
      <c r="I264" s="67"/>
      <c r="J264" s="67" t="s">
        <v>159</v>
      </c>
      <c r="K264" s="66" t="s">
        <v>2918</v>
      </c>
      <c r="L264" s="70">
        <v>2381.4761904761904</v>
      </c>
      <c r="M264" s="71">
        <v>6284.89404296875</v>
      </c>
      <c r="N264" s="71">
        <v>4395.52294921875</v>
      </c>
      <c r="O264" s="72"/>
      <c r="P264" s="73"/>
      <c r="Q264" s="73"/>
      <c r="R264" s="86"/>
      <c r="S264" s="45">
        <v>5</v>
      </c>
      <c r="T264" s="45">
        <v>0</v>
      </c>
      <c r="U264" s="46">
        <v>0</v>
      </c>
      <c r="V264" s="46">
        <v>0.258196</v>
      </c>
      <c r="W264" s="46">
        <v>0.052101</v>
      </c>
      <c r="X264" s="46">
        <v>0.002875</v>
      </c>
      <c r="Y264" s="46">
        <v>0.8</v>
      </c>
      <c r="Z264" s="46">
        <v>0</v>
      </c>
      <c r="AA264" s="68">
        <v>264</v>
      </c>
      <c r="AB264" s="68"/>
      <c r="AC264" s="69"/>
      <c r="AD264" s="76" t="s">
        <v>1509</v>
      </c>
      <c r="AE264" s="80" t="s">
        <v>1806</v>
      </c>
      <c r="AF264" s="76">
        <v>2511</v>
      </c>
      <c r="AG264" s="76">
        <v>1322</v>
      </c>
      <c r="AH264" s="76">
        <v>1581</v>
      </c>
      <c r="AI264" s="76">
        <v>16</v>
      </c>
      <c r="AJ264" s="76">
        <v>3186</v>
      </c>
      <c r="AK264" s="76">
        <v>69</v>
      </c>
      <c r="AL264" s="76" t="b">
        <v>0</v>
      </c>
      <c r="AM264" s="78">
        <v>44547.04393518518</v>
      </c>
      <c r="AN264" s="76"/>
      <c r="AO264" s="76" t="s">
        <v>2291</v>
      </c>
      <c r="AP264" s="76"/>
      <c r="AQ264" s="76"/>
      <c r="AR264" s="76"/>
      <c r="AS264" s="76"/>
      <c r="AT264" s="76"/>
      <c r="AU264" s="76"/>
      <c r="AV264" s="76">
        <v>1.69845210687572E+18</v>
      </c>
      <c r="AW264" s="76"/>
      <c r="AX264" s="76" t="b">
        <v>0</v>
      </c>
      <c r="AY264" s="76"/>
      <c r="AZ264" s="76"/>
      <c r="BA264" s="76" t="b">
        <v>0</v>
      </c>
      <c r="BB264" s="76" t="b">
        <v>1</v>
      </c>
      <c r="BC264" s="76" t="b">
        <v>1</v>
      </c>
      <c r="BD264" s="76" t="b">
        <v>0</v>
      </c>
      <c r="BE264" s="76" t="b">
        <v>1</v>
      </c>
      <c r="BF264" s="76" t="b">
        <v>0</v>
      </c>
      <c r="BG264" s="76" t="b">
        <v>0</v>
      </c>
      <c r="BH264" s="82" t="str">
        <f>HYPERLINK("https://pbs.twimg.com/profile_banners/1471646895424561161/1642343063")</f>
        <v>https://pbs.twimg.com/profile_banners/1471646895424561161/1642343063</v>
      </c>
      <c r="BI264" s="76"/>
      <c r="BJ264" s="76" t="s">
        <v>2656</v>
      </c>
      <c r="BK264" s="76" t="b">
        <v>0</v>
      </c>
      <c r="BL264" s="76"/>
      <c r="BM264" s="76" t="s">
        <v>65</v>
      </c>
      <c r="BN264" s="76" t="s">
        <v>2657</v>
      </c>
      <c r="BO264" s="82" t="str">
        <f>HYPERLINK("https://twitter.com/2cshadowfox")</f>
        <v>https://twitter.com/2cshadowfox</v>
      </c>
      <c r="BP264" s="76" t="str">
        <f>REPLACE(INDEX(GroupVertices[Group],MATCH(Vertices[[#This Row],[Vertex]],GroupVertices[Vertex],0)),1,1,"")</f>
        <v>8</v>
      </c>
      <c r="BQ264" s="45"/>
      <c r="BR264" s="46"/>
      <c r="BS264" s="45"/>
      <c r="BT264" s="46"/>
      <c r="BU264" s="45"/>
      <c r="BV264" s="46"/>
      <c r="BW264" s="45"/>
      <c r="BX264" s="46"/>
      <c r="BY264" s="45"/>
      <c r="BZ264" s="45"/>
      <c r="CA264" s="45"/>
      <c r="CB264" s="45"/>
      <c r="CC264" s="45"/>
      <c r="CD264" s="45"/>
      <c r="CE264" s="45"/>
      <c r="CF264" s="45"/>
      <c r="CG264" s="45"/>
      <c r="CH264" s="45"/>
      <c r="CI264" s="45"/>
      <c r="CJ264" s="2"/>
    </row>
    <row r="265" spans="1:88" ht="15">
      <c r="A265" s="61" t="s">
        <v>260</v>
      </c>
      <c r="B265" s="62"/>
      <c r="C265" s="62"/>
      <c r="D265" s="63">
        <v>1000</v>
      </c>
      <c r="E265" s="65"/>
      <c r="F265" s="100" t="str">
        <f>HYPERLINK("https://pbs.twimg.com/profile_images/1629381797250318337/CaduPm9X_normal.jpg")</f>
        <v>https://pbs.twimg.com/profile_images/1629381797250318337/CaduPm9X_normal.jpg</v>
      </c>
      <c r="G265" s="62"/>
      <c r="H265" s="66" t="s">
        <v>260</v>
      </c>
      <c r="I265" s="67"/>
      <c r="J265" s="67" t="s">
        <v>159</v>
      </c>
      <c r="K265" s="66" t="s">
        <v>2919</v>
      </c>
      <c r="L265" s="70">
        <v>1905.3809523809523</v>
      </c>
      <c r="M265" s="71">
        <v>6854.97607421875</v>
      </c>
      <c r="N265" s="71">
        <v>4859.69287109375</v>
      </c>
      <c r="O265" s="72"/>
      <c r="P265" s="73"/>
      <c r="Q265" s="73"/>
      <c r="R265" s="86"/>
      <c r="S265" s="45">
        <v>4</v>
      </c>
      <c r="T265" s="45">
        <v>14</v>
      </c>
      <c r="U265" s="46">
        <v>928.005602</v>
      </c>
      <c r="V265" s="46">
        <v>0.338152</v>
      </c>
      <c r="W265" s="46">
        <v>0.113899</v>
      </c>
      <c r="X265" s="46">
        <v>0.003743</v>
      </c>
      <c r="Y265" s="46">
        <v>0.2523809523809524</v>
      </c>
      <c r="Z265" s="46">
        <v>0.2</v>
      </c>
      <c r="AA265" s="68">
        <v>265</v>
      </c>
      <c r="AB265" s="68"/>
      <c r="AC265" s="69"/>
      <c r="AD265" s="76" t="s">
        <v>1510</v>
      </c>
      <c r="AE265" s="80" t="s">
        <v>1181</v>
      </c>
      <c r="AF265" s="76">
        <v>36303</v>
      </c>
      <c r="AG265" s="76">
        <v>24062</v>
      </c>
      <c r="AH265" s="76">
        <v>58689</v>
      </c>
      <c r="AI265" s="76">
        <v>51</v>
      </c>
      <c r="AJ265" s="76">
        <v>77217</v>
      </c>
      <c r="AK265" s="76">
        <v>17843</v>
      </c>
      <c r="AL265" s="76" t="b">
        <v>0</v>
      </c>
      <c r="AM265" s="78">
        <v>43982.16159722222</v>
      </c>
      <c r="AN265" s="76" t="s">
        <v>2013</v>
      </c>
      <c r="AO265" s="76" t="s">
        <v>2292</v>
      </c>
      <c r="AP265" s="76"/>
      <c r="AQ265" s="76"/>
      <c r="AR265" s="76"/>
      <c r="AS265" s="76"/>
      <c r="AT265" s="76"/>
      <c r="AU265" s="76"/>
      <c r="AV265" s="76">
        <v>1.44782275639393E+18</v>
      </c>
      <c r="AW265" s="76"/>
      <c r="AX265" s="76" t="b">
        <v>0</v>
      </c>
      <c r="AY265" s="76"/>
      <c r="AZ265" s="76"/>
      <c r="BA265" s="76" t="b">
        <v>0</v>
      </c>
      <c r="BB265" s="76" t="b">
        <v>1</v>
      </c>
      <c r="BC265" s="76" t="b">
        <v>1</v>
      </c>
      <c r="BD265" s="76" t="b">
        <v>0</v>
      </c>
      <c r="BE265" s="76" t="b">
        <v>1</v>
      </c>
      <c r="BF265" s="76" t="b">
        <v>0</v>
      </c>
      <c r="BG265" s="76" t="b">
        <v>0</v>
      </c>
      <c r="BH265" s="82" t="str">
        <f>HYPERLINK("https://pbs.twimg.com/profile_banners/1266940546372841473/1686712601")</f>
        <v>https://pbs.twimg.com/profile_banners/1266940546372841473/1686712601</v>
      </c>
      <c r="BI265" s="76"/>
      <c r="BJ265" s="76" t="s">
        <v>2656</v>
      </c>
      <c r="BK265" s="76" t="b">
        <v>0</v>
      </c>
      <c r="BL265" s="76"/>
      <c r="BM265" s="76" t="s">
        <v>66</v>
      </c>
      <c r="BN265" s="76" t="s">
        <v>2657</v>
      </c>
      <c r="BO265" s="82" t="str">
        <f>HYPERLINK("https://twitter.com/sunflwrgirl2")</f>
        <v>https://twitter.com/sunflwrgirl2</v>
      </c>
      <c r="BP265" s="76" t="str">
        <f>REPLACE(INDEX(GroupVertices[Group],MATCH(Vertices[[#This Row],[Vertex]],GroupVertices[Vertex],0)),1,1,"")</f>
        <v>8</v>
      </c>
      <c r="BQ265" s="45">
        <v>1</v>
      </c>
      <c r="BR265" s="46">
        <v>5.555555555555555</v>
      </c>
      <c r="BS265" s="45">
        <v>0</v>
      </c>
      <c r="BT265" s="46">
        <v>0</v>
      </c>
      <c r="BU265" s="45">
        <v>0</v>
      </c>
      <c r="BV265" s="46">
        <v>0</v>
      </c>
      <c r="BW265" s="45">
        <v>16</v>
      </c>
      <c r="BX265" s="46">
        <v>88.88888888888889</v>
      </c>
      <c r="BY265" s="45">
        <v>18</v>
      </c>
      <c r="BZ265" s="45"/>
      <c r="CA265" s="45"/>
      <c r="CB265" s="45"/>
      <c r="CC265" s="45"/>
      <c r="CD265" s="45"/>
      <c r="CE265" s="45"/>
      <c r="CF265" s="112" t="s">
        <v>11609</v>
      </c>
      <c r="CG265" s="112" t="s">
        <v>11609</v>
      </c>
      <c r="CH265" s="112" t="s">
        <v>11664</v>
      </c>
      <c r="CI265" s="112" t="s">
        <v>11664</v>
      </c>
      <c r="CJ265" s="2"/>
    </row>
    <row r="266" spans="1:88" ht="15">
      <c r="A266" s="61" t="s">
        <v>242</v>
      </c>
      <c r="B266" s="62"/>
      <c r="C266" s="62"/>
      <c r="D266" s="63">
        <v>70</v>
      </c>
      <c r="E266" s="65"/>
      <c r="F266" s="100" t="str">
        <f>HYPERLINK("https://pbs.twimg.com/profile_images/1136359347267678208/Pdhm70AX_normal.jpg")</f>
        <v>https://pbs.twimg.com/profile_images/1136359347267678208/Pdhm70AX_normal.jpg</v>
      </c>
      <c r="G266" s="62"/>
      <c r="H266" s="66" t="s">
        <v>242</v>
      </c>
      <c r="I266" s="67"/>
      <c r="J266" s="67" t="s">
        <v>159</v>
      </c>
      <c r="K266" s="66" t="s">
        <v>2920</v>
      </c>
      <c r="L266" s="70">
        <v>1</v>
      </c>
      <c r="M266" s="71">
        <v>9136.5595703125</v>
      </c>
      <c r="N266" s="71">
        <v>1757.17724609375</v>
      </c>
      <c r="O266" s="72"/>
      <c r="P266" s="73"/>
      <c r="Q266" s="73"/>
      <c r="R266" s="86"/>
      <c r="S266" s="45">
        <v>0</v>
      </c>
      <c r="T266" s="45">
        <v>2</v>
      </c>
      <c r="U266" s="46">
        <v>2</v>
      </c>
      <c r="V266" s="46">
        <v>0.006349</v>
      </c>
      <c r="W266" s="46">
        <v>0</v>
      </c>
      <c r="X266" s="46">
        <v>0.003577</v>
      </c>
      <c r="Y266" s="46">
        <v>0</v>
      </c>
      <c r="Z266" s="46">
        <v>0</v>
      </c>
      <c r="AA266" s="68">
        <v>266</v>
      </c>
      <c r="AB266" s="68"/>
      <c r="AC266" s="69"/>
      <c r="AD266" s="76" t="s">
        <v>1511</v>
      </c>
      <c r="AE266" s="80" t="s">
        <v>1807</v>
      </c>
      <c r="AF266" s="76">
        <v>1279</v>
      </c>
      <c r="AG266" s="76">
        <v>2025</v>
      </c>
      <c r="AH266" s="76">
        <v>24958</v>
      </c>
      <c r="AI266" s="76">
        <v>48</v>
      </c>
      <c r="AJ266" s="76">
        <v>27413</v>
      </c>
      <c r="AK266" s="76">
        <v>1231</v>
      </c>
      <c r="AL266" s="76" t="b">
        <v>0</v>
      </c>
      <c r="AM266" s="78">
        <v>39953.674849537034</v>
      </c>
      <c r="AN266" s="76" t="s">
        <v>2014</v>
      </c>
      <c r="AO266" s="76" t="s">
        <v>2293</v>
      </c>
      <c r="AP266" s="82" t="str">
        <f>HYPERLINK("https://t.co/kDjQBQnZ63")</f>
        <v>https://t.co/kDjQBQnZ63</v>
      </c>
      <c r="AQ266" s="82" t="str">
        <f>HYPERLINK("http://www.ainafer.cat")</f>
        <v>http://www.ainafer.cat</v>
      </c>
      <c r="AR266" s="76" t="s">
        <v>2545</v>
      </c>
      <c r="AS266" s="76"/>
      <c r="AT266" s="76"/>
      <c r="AU266" s="76"/>
      <c r="AV266" s="76"/>
      <c r="AW266" s="82" t="str">
        <f>HYPERLINK("https://t.co/kDjQBQnZ63")</f>
        <v>https://t.co/kDjQBQnZ63</v>
      </c>
      <c r="AX266" s="76" t="b">
        <v>0</v>
      </c>
      <c r="AY266" s="76"/>
      <c r="AZ266" s="76"/>
      <c r="BA266" s="76" t="b">
        <v>0</v>
      </c>
      <c r="BB266" s="76" t="b">
        <v>1</v>
      </c>
      <c r="BC266" s="76" t="b">
        <v>0</v>
      </c>
      <c r="BD266" s="76" t="b">
        <v>0</v>
      </c>
      <c r="BE266" s="76" t="b">
        <v>1</v>
      </c>
      <c r="BF266" s="76" t="b">
        <v>0</v>
      </c>
      <c r="BG266" s="76" t="b">
        <v>0</v>
      </c>
      <c r="BH266" s="82" t="str">
        <f>HYPERLINK("https://pbs.twimg.com/profile_banners/41388893/1508585983")</f>
        <v>https://pbs.twimg.com/profile_banners/41388893/1508585983</v>
      </c>
      <c r="BI266" s="76"/>
      <c r="BJ266" s="76" t="s">
        <v>2656</v>
      </c>
      <c r="BK266" s="76" t="b">
        <v>0</v>
      </c>
      <c r="BL266" s="76"/>
      <c r="BM266" s="76" t="s">
        <v>66</v>
      </c>
      <c r="BN266" s="76" t="s">
        <v>2657</v>
      </c>
      <c r="BO266" s="82" t="str">
        <f>HYPERLINK("https://twitter.com/ainafer")</f>
        <v>https://twitter.com/ainafer</v>
      </c>
      <c r="BP266" s="76" t="str">
        <f>REPLACE(INDEX(GroupVertices[Group],MATCH(Vertices[[#This Row],[Vertex]],GroupVertices[Vertex],0)),1,1,"")</f>
        <v>13</v>
      </c>
      <c r="BQ266" s="45">
        <v>0</v>
      </c>
      <c r="BR266" s="46">
        <v>0</v>
      </c>
      <c r="BS266" s="45">
        <v>0</v>
      </c>
      <c r="BT266" s="46">
        <v>0</v>
      </c>
      <c r="BU266" s="45">
        <v>0</v>
      </c>
      <c r="BV266" s="46">
        <v>0</v>
      </c>
      <c r="BW266" s="45">
        <v>14</v>
      </c>
      <c r="BX266" s="46">
        <v>70</v>
      </c>
      <c r="BY266" s="45">
        <v>20</v>
      </c>
      <c r="BZ266" s="45"/>
      <c r="CA266" s="45"/>
      <c r="CB266" s="45"/>
      <c r="CC266" s="45"/>
      <c r="CD266" s="45" t="s">
        <v>228</v>
      </c>
      <c r="CE266" s="45" t="s">
        <v>228</v>
      </c>
      <c r="CF266" s="112" t="s">
        <v>11610</v>
      </c>
      <c r="CG266" s="112" t="s">
        <v>11610</v>
      </c>
      <c r="CH266" s="112" t="s">
        <v>11665</v>
      </c>
      <c r="CI266" s="112" t="s">
        <v>11665</v>
      </c>
      <c r="CJ266" s="2"/>
    </row>
    <row r="267" spans="1:88" ht="15">
      <c r="A267" s="61" t="s">
        <v>502</v>
      </c>
      <c r="B267" s="62"/>
      <c r="C267" s="62"/>
      <c r="D267" s="63">
        <v>535</v>
      </c>
      <c r="E267" s="65"/>
      <c r="F267" s="100" t="str">
        <f>HYPERLINK("https://pbs.twimg.com/profile_images/827146083558100992/woDAvS1F_normal.jpg")</f>
        <v>https://pbs.twimg.com/profile_images/827146083558100992/woDAvS1F_normal.jpg</v>
      </c>
      <c r="G267" s="62"/>
      <c r="H267" s="66" t="s">
        <v>502</v>
      </c>
      <c r="I267" s="67"/>
      <c r="J267" s="67" t="s">
        <v>159</v>
      </c>
      <c r="K267" s="66" t="s">
        <v>2921</v>
      </c>
      <c r="L267" s="70">
        <v>477.0952380952381</v>
      </c>
      <c r="M267" s="71">
        <v>9640.755859375</v>
      </c>
      <c r="N267" s="71">
        <v>1757.17724609375</v>
      </c>
      <c r="O267" s="72"/>
      <c r="P267" s="73"/>
      <c r="Q267" s="73"/>
      <c r="R267" s="86"/>
      <c r="S267" s="45">
        <v>1</v>
      </c>
      <c r="T267" s="45">
        <v>0</v>
      </c>
      <c r="U267" s="46">
        <v>0</v>
      </c>
      <c r="V267" s="46">
        <v>0.004233</v>
      </c>
      <c r="W267" s="46">
        <v>0</v>
      </c>
      <c r="X267" s="46">
        <v>0.002958</v>
      </c>
      <c r="Y267" s="46">
        <v>0</v>
      </c>
      <c r="Z267" s="46">
        <v>0</v>
      </c>
      <c r="AA267" s="68">
        <v>267</v>
      </c>
      <c r="AB267" s="68"/>
      <c r="AC267" s="69"/>
      <c r="AD267" s="76" t="s">
        <v>1512</v>
      </c>
      <c r="AE267" s="80" t="s">
        <v>1808</v>
      </c>
      <c r="AF267" s="76">
        <v>1282</v>
      </c>
      <c r="AG267" s="76">
        <v>924</v>
      </c>
      <c r="AH267" s="76">
        <v>7682</v>
      </c>
      <c r="AI267" s="76">
        <v>126</v>
      </c>
      <c r="AJ267" s="76">
        <v>3690</v>
      </c>
      <c r="AK267" s="76">
        <v>215</v>
      </c>
      <c r="AL267" s="76" t="b">
        <v>0</v>
      </c>
      <c r="AM267" s="78">
        <v>39835.50677083333</v>
      </c>
      <c r="AN267" s="76" t="s">
        <v>2015</v>
      </c>
      <c r="AO267" s="76" t="s">
        <v>2294</v>
      </c>
      <c r="AP267" s="76"/>
      <c r="AQ267" s="76"/>
      <c r="AR267" s="76"/>
      <c r="AS267" s="76"/>
      <c r="AT267" s="76"/>
      <c r="AU267" s="76"/>
      <c r="AV267" s="76"/>
      <c r="AW267" s="76"/>
      <c r="AX267" s="76" t="b">
        <v>0</v>
      </c>
      <c r="AY267" s="76"/>
      <c r="AZ267" s="76"/>
      <c r="BA267" s="76" t="b">
        <v>0</v>
      </c>
      <c r="BB267" s="76" t="b">
        <v>1</v>
      </c>
      <c r="BC267" s="76" t="b">
        <v>0</v>
      </c>
      <c r="BD267" s="76" t="b">
        <v>0</v>
      </c>
      <c r="BE267" s="76" t="b">
        <v>1</v>
      </c>
      <c r="BF267" s="76" t="b">
        <v>0</v>
      </c>
      <c r="BG267" s="76" t="b">
        <v>0</v>
      </c>
      <c r="BH267" s="82" t="str">
        <f>HYPERLINK("https://pbs.twimg.com/profile_banners/19335744/1402957730")</f>
        <v>https://pbs.twimg.com/profile_banners/19335744/1402957730</v>
      </c>
      <c r="BI267" s="76"/>
      <c r="BJ267" s="76" t="s">
        <v>2656</v>
      </c>
      <c r="BK267" s="76" t="b">
        <v>0</v>
      </c>
      <c r="BL267" s="76"/>
      <c r="BM267" s="76" t="s">
        <v>65</v>
      </c>
      <c r="BN267" s="76" t="s">
        <v>2657</v>
      </c>
      <c r="BO267" s="82" t="str">
        <f>HYPERLINK("https://twitter.com/alexarabat")</f>
        <v>https://twitter.com/alexarabat</v>
      </c>
      <c r="BP267" s="76" t="str">
        <f>REPLACE(INDEX(GroupVertices[Group],MATCH(Vertices[[#This Row],[Vertex]],GroupVertices[Vertex],0)),1,1,"")</f>
        <v>13</v>
      </c>
      <c r="BQ267" s="45"/>
      <c r="BR267" s="46"/>
      <c r="BS267" s="45"/>
      <c r="BT267" s="46"/>
      <c r="BU267" s="45"/>
      <c r="BV267" s="46"/>
      <c r="BW267" s="45"/>
      <c r="BX267" s="46"/>
      <c r="BY267" s="45"/>
      <c r="BZ267" s="45"/>
      <c r="CA267" s="45"/>
      <c r="CB267" s="45"/>
      <c r="CC267" s="45"/>
      <c r="CD267" s="45"/>
      <c r="CE267" s="45"/>
      <c r="CF267" s="45"/>
      <c r="CG267" s="45"/>
      <c r="CH267" s="45"/>
      <c r="CI267" s="45"/>
      <c r="CJ267" s="2"/>
    </row>
    <row r="268" spans="1:88" ht="15">
      <c r="A268" s="61" t="s">
        <v>503</v>
      </c>
      <c r="B268" s="62"/>
      <c r="C268" s="62"/>
      <c r="D268" s="63">
        <v>535</v>
      </c>
      <c r="E268" s="65"/>
      <c r="F268" s="100" t="str">
        <f>HYPERLINK("https://pbs.twimg.com/profile_images/1642646185528655873/w2lkmlHI_normal.jpg")</f>
        <v>https://pbs.twimg.com/profile_images/1642646185528655873/w2lkmlHI_normal.jpg</v>
      </c>
      <c r="G268" s="62"/>
      <c r="H268" s="66" t="s">
        <v>503</v>
      </c>
      <c r="I268" s="67"/>
      <c r="J268" s="67" t="s">
        <v>159</v>
      </c>
      <c r="K268" s="66" t="s">
        <v>2922</v>
      </c>
      <c r="L268" s="70">
        <v>477.0952380952381</v>
      </c>
      <c r="M268" s="71">
        <v>9136.5595703125</v>
      </c>
      <c r="N268" s="71">
        <v>1418.9757080078125</v>
      </c>
      <c r="O268" s="72"/>
      <c r="P268" s="73"/>
      <c r="Q268" s="73"/>
      <c r="R268" s="86"/>
      <c r="S268" s="45">
        <v>1</v>
      </c>
      <c r="T268" s="45">
        <v>0</v>
      </c>
      <c r="U268" s="46">
        <v>0</v>
      </c>
      <c r="V268" s="46">
        <v>0.004233</v>
      </c>
      <c r="W268" s="46">
        <v>0</v>
      </c>
      <c r="X268" s="46">
        <v>0.002958</v>
      </c>
      <c r="Y268" s="46">
        <v>0</v>
      </c>
      <c r="Z268" s="46">
        <v>0</v>
      </c>
      <c r="AA268" s="68">
        <v>268</v>
      </c>
      <c r="AB268" s="68"/>
      <c r="AC268" s="69"/>
      <c r="AD268" s="76" t="s">
        <v>1513</v>
      </c>
      <c r="AE268" s="80" t="s">
        <v>1809</v>
      </c>
      <c r="AF268" s="76">
        <v>1143</v>
      </c>
      <c r="AG268" s="76">
        <v>1933</v>
      </c>
      <c r="AH268" s="76">
        <v>12212</v>
      </c>
      <c r="AI268" s="76">
        <v>21</v>
      </c>
      <c r="AJ268" s="76">
        <v>18568</v>
      </c>
      <c r="AK268" s="76">
        <v>777</v>
      </c>
      <c r="AL268" s="76" t="b">
        <v>0</v>
      </c>
      <c r="AM268" s="78">
        <v>40670.77858796297</v>
      </c>
      <c r="AN268" s="76" t="s">
        <v>2016</v>
      </c>
      <c r="AO268" s="76" t="s">
        <v>2295</v>
      </c>
      <c r="AP268" s="82" t="str">
        <f>HYPERLINK("https://t.co/inYoFEGVSr")</f>
        <v>https://t.co/inYoFEGVSr</v>
      </c>
      <c r="AQ268" s="82" t="str">
        <f>HYPERLINK("http://davidpgraell.com/")</f>
        <v>http://davidpgraell.com/</v>
      </c>
      <c r="AR268" s="76" t="s">
        <v>2546</v>
      </c>
      <c r="AS268" s="76"/>
      <c r="AT268" s="76"/>
      <c r="AU268" s="76"/>
      <c r="AV268" s="76"/>
      <c r="AW268" s="82" t="str">
        <f>HYPERLINK("https://t.co/inYoFEGVSr")</f>
        <v>https://t.co/inYoFEGVSr</v>
      </c>
      <c r="AX268" s="76" t="b">
        <v>0</v>
      </c>
      <c r="AY268" s="76" t="b">
        <v>1</v>
      </c>
      <c r="AZ268" s="76" t="b">
        <v>1</v>
      </c>
      <c r="BA268" s="76" t="b">
        <v>1</v>
      </c>
      <c r="BB268" s="76" t="b">
        <v>1</v>
      </c>
      <c r="BC268" s="76" t="b">
        <v>0</v>
      </c>
      <c r="BD268" s="76" t="b">
        <v>0</v>
      </c>
      <c r="BE268" s="76" t="b">
        <v>1</v>
      </c>
      <c r="BF268" s="76" t="b">
        <v>0</v>
      </c>
      <c r="BG268" s="76" t="b">
        <v>0</v>
      </c>
      <c r="BH268" s="82" t="str">
        <f>HYPERLINK("https://pbs.twimg.com/profile_banners/294765553/1631210524")</f>
        <v>https://pbs.twimg.com/profile_banners/294765553/1631210524</v>
      </c>
      <c r="BI268" s="76"/>
      <c r="BJ268" s="76" t="s">
        <v>2656</v>
      </c>
      <c r="BK268" s="76" t="b">
        <v>1</v>
      </c>
      <c r="BL268" s="76"/>
      <c r="BM268" s="76" t="s">
        <v>65</v>
      </c>
      <c r="BN268" s="76" t="s">
        <v>2657</v>
      </c>
      <c r="BO268" s="82" t="str">
        <f>HYPERLINK("https://twitter.com/davidgraell")</f>
        <v>https://twitter.com/davidgraell</v>
      </c>
      <c r="BP268" s="76" t="str">
        <f>REPLACE(INDEX(GroupVertices[Group],MATCH(Vertices[[#This Row],[Vertex]],GroupVertices[Vertex],0)),1,1,"")</f>
        <v>13</v>
      </c>
      <c r="BQ268" s="45"/>
      <c r="BR268" s="46"/>
      <c r="BS268" s="45"/>
      <c r="BT268" s="46"/>
      <c r="BU268" s="45"/>
      <c r="BV268" s="46"/>
      <c r="BW268" s="45"/>
      <c r="BX268" s="46"/>
      <c r="BY268" s="45"/>
      <c r="BZ268" s="45"/>
      <c r="CA268" s="45"/>
      <c r="CB268" s="45"/>
      <c r="CC268" s="45"/>
      <c r="CD268" s="45"/>
      <c r="CE268" s="45"/>
      <c r="CF268" s="45"/>
      <c r="CG268" s="45"/>
      <c r="CH268" s="45"/>
      <c r="CI268" s="45"/>
      <c r="CJ268" s="2"/>
    </row>
    <row r="269" spans="1:88" ht="15">
      <c r="A269" s="61" t="s">
        <v>243</v>
      </c>
      <c r="B269" s="62"/>
      <c r="C269" s="62"/>
      <c r="D269" s="63">
        <v>1000</v>
      </c>
      <c r="E269" s="65"/>
      <c r="F269" s="100" t="str">
        <f>HYPERLINK("https://pbs.twimg.com/profile_images/1700155431757193216/4iMzq_Tk_normal.jpg")</f>
        <v>https://pbs.twimg.com/profile_images/1700155431757193216/4iMzq_Tk_normal.jpg</v>
      </c>
      <c r="G269" s="62"/>
      <c r="H269" s="66" t="s">
        <v>243</v>
      </c>
      <c r="I269" s="67"/>
      <c r="J269" s="67" t="s">
        <v>159</v>
      </c>
      <c r="K269" s="66" t="s">
        <v>2923</v>
      </c>
      <c r="L269" s="70">
        <v>953.1904761904761</v>
      </c>
      <c r="M269" s="71">
        <v>7450.67431640625</v>
      </c>
      <c r="N269" s="71">
        <v>3586.895263671875</v>
      </c>
      <c r="O269" s="72"/>
      <c r="P269" s="73"/>
      <c r="Q269" s="73"/>
      <c r="R269" s="86"/>
      <c r="S269" s="45">
        <v>2</v>
      </c>
      <c r="T269" s="45">
        <v>1</v>
      </c>
      <c r="U269" s="46">
        <v>0</v>
      </c>
      <c r="V269" s="46">
        <v>0.240653</v>
      </c>
      <c r="W269" s="46">
        <v>0.003977</v>
      </c>
      <c r="X269" s="46">
        <v>0.002982</v>
      </c>
      <c r="Y269" s="46">
        <v>0</v>
      </c>
      <c r="Z269" s="46">
        <v>0</v>
      </c>
      <c r="AA269" s="68">
        <v>269</v>
      </c>
      <c r="AB269" s="68"/>
      <c r="AC269" s="69"/>
      <c r="AD269" s="76" t="s">
        <v>1514</v>
      </c>
      <c r="AE269" s="80" t="s">
        <v>1810</v>
      </c>
      <c r="AF269" s="76">
        <v>1001301</v>
      </c>
      <c r="AG269" s="76">
        <v>590127</v>
      </c>
      <c r="AH269" s="76">
        <v>65049</v>
      </c>
      <c r="AI269" s="76">
        <v>6844</v>
      </c>
      <c r="AJ269" s="76">
        <v>40726</v>
      </c>
      <c r="AK269" s="76">
        <v>4742</v>
      </c>
      <c r="AL269" s="76" t="b">
        <v>0</v>
      </c>
      <c r="AM269" s="78">
        <v>40281.00015046296</v>
      </c>
      <c r="AN269" s="76" t="s">
        <v>2017</v>
      </c>
      <c r="AO269" s="76" t="s">
        <v>2296</v>
      </c>
      <c r="AP269" s="82" t="str">
        <f>HYPERLINK("https://t.co/GbMf1w5uTi")</f>
        <v>https://t.co/GbMf1w5uTi</v>
      </c>
      <c r="AQ269" s="82" t="str">
        <f>HYPERLINK("https://krassenstein.news")</f>
        <v>https://krassenstein.news</v>
      </c>
      <c r="AR269" s="76" t="s">
        <v>2547</v>
      </c>
      <c r="AS269" s="76"/>
      <c r="AT269" s="76"/>
      <c r="AU269" s="76"/>
      <c r="AV269" s="76">
        <v>1.6469505188439E+18</v>
      </c>
      <c r="AW269" s="82" t="str">
        <f>HYPERLINK("https://t.co/GbMf1w5uTi")</f>
        <v>https://t.co/GbMf1w5uTi</v>
      </c>
      <c r="AX269" s="76" t="b">
        <v>1</v>
      </c>
      <c r="AY269" s="76"/>
      <c r="AZ269" s="76"/>
      <c r="BA269" s="76" t="b">
        <v>1</v>
      </c>
      <c r="BB269" s="76" t="b">
        <v>1</v>
      </c>
      <c r="BC269" s="76" t="b">
        <v>0</v>
      </c>
      <c r="BD269" s="76" t="b">
        <v>0</v>
      </c>
      <c r="BE269" s="76" t="b">
        <v>1</v>
      </c>
      <c r="BF269" s="76" t="b">
        <v>0</v>
      </c>
      <c r="BG269" s="76" t="b">
        <v>0</v>
      </c>
      <c r="BH269" s="82" t="str">
        <f>HYPERLINK("https://pbs.twimg.com/profile_banners/132339474/1692361094")</f>
        <v>https://pbs.twimg.com/profile_banners/132339474/1692361094</v>
      </c>
      <c r="BI269" s="76"/>
      <c r="BJ269" s="76" t="s">
        <v>2656</v>
      </c>
      <c r="BK269" s="76" t="b">
        <v>0</v>
      </c>
      <c r="BL269" s="76"/>
      <c r="BM269" s="76" t="s">
        <v>66</v>
      </c>
      <c r="BN269" s="76" t="s">
        <v>2657</v>
      </c>
      <c r="BO269" s="82" t="str">
        <f>HYPERLINK("https://twitter.com/edkrassen")</f>
        <v>https://twitter.com/edkrassen</v>
      </c>
      <c r="BP269" s="76" t="str">
        <f>REPLACE(INDEX(GroupVertices[Group],MATCH(Vertices[[#This Row],[Vertex]],GroupVertices[Vertex],0)),1,1,"")</f>
        <v>9</v>
      </c>
      <c r="BQ269" s="45">
        <v>3</v>
      </c>
      <c r="BR269" s="46">
        <v>6.25</v>
      </c>
      <c r="BS269" s="45">
        <v>0</v>
      </c>
      <c r="BT269" s="46">
        <v>0</v>
      </c>
      <c r="BU269" s="45">
        <v>0</v>
      </c>
      <c r="BV269" s="46">
        <v>0</v>
      </c>
      <c r="BW269" s="45">
        <v>24</v>
      </c>
      <c r="BX269" s="46">
        <v>50</v>
      </c>
      <c r="BY269" s="45">
        <v>48</v>
      </c>
      <c r="BZ269" s="45"/>
      <c r="CA269" s="45"/>
      <c r="CB269" s="45"/>
      <c r="CC269" s="45"/>
      <c r="CD269" s="45"/>
      <c r="CE269" s="45"/>
      <c r="CF269" s="112" t="s">
        <v>11611</v>
      </c>
      <c r="CG269" s="112" t="s">
        <v>11611</v>
      </c>
      <c r="CH269" s="112" t="s">
        <v>11666</v>
      </c>
      <c r="CI269" s="112" t="s">
        <v>11666</v>
      </c>
      <c r="CJ269" s="2"/>
    </row>
    <row r="270" spans="1:88" ht="15">
      <c r="A270" s="61" t="s">
        <v>244</v>
      </c>
      <c r="B270" s="62"/>
      <c r="C270" s="62"/>
      <c r="D270" s="63">
        <v>1000</v>
      </c>
      <c r="E270" s="65"/>
      <c r="F270" s="100" t="str">
        <f>HYPERLINK("https://pbs.twimg.com/profile_images/1700371194879549440/QiQHamC2_normal.jpg")</f>
        <v>https://pbs.twimg.com/profile_images/1700371194879549440/QiQHamC2_normal.jpg</v>
      </c>
      <c r="G270" s="62"/>
      <c r="H270" s="66" t="s">
        <v>244</v>
      </c>
      <c r="I270" s="67"/>
      <c r="J270" s="67" t="s">
        <v>159</v>
      </c>
      <c r="K270" s="66" t="s">
        <v>2924</v>
      </c>
      <c r="L270" s="70">
        <v>953.1904761904761</v>
      </c>
      <c r="M270" s="71">
        <v>7077.84375</v>
      </c>
      <c r="N270" s="71">
        <v>2780.613525390625</v>
      </c>
      <c r="O270" s="72"/>
      <c r="P270" s="73"/>
      <c r="Q270" s="73"/>
      <c r="R270" s="86"/>
      <c r="S270" s="45">
        <v>2</v>
      </c>
      <c r="T270" s="45">
        <v>14</v>
      </c>
      <c r="U270" s="46">
        <v>5937.34902</v>
      </c>
      <c r="V270" s="46">
        <v>0.323501</v>
      </c>
      <c r="W270" s="46">
        <v>0.040294</v>
      </c>
      <c r="X270" s="46">
        <v>0.006415</v>
      </c>
      <c r="Y270" s="46">
        <v>0.00641025641025641</v>
      </c>
      <c r="Z270" s="46">
        <v>0.07692307692307693</v>
      </c>
      <c r="AA270" s="68">
        <v>270</v>
      </c>
      <c r="AB270" s="68"/>
      <c r="AC270" s="69"/>
      <c r="AD270" s="76" t="s">
        <v>1515</v>
      </c>
      <c r="AE270" s="80" t="s">
        <v>1182</v>
      </c>
      <c r="AF270" s="76">
        <v>99</v>
      </c>
      <c r="AG270" s="76">
        <v>131</v>
      </c>
      <c r="AH270" s="76">
        <v>60738</v>
      </c>
      <c r="AI270" s="76">
        <v>0</v>
      </c>
      <c r="AJ270" s="76">
        <v>866</v>
      </c>
      <c r="AK270" s="76">
        <v>6826</v>
      </c>
      <c r="AL270" s="76" t="b">
        <v>0</v>
      </c>
      <c r="AM270" s="78">
        <v>44816.491481481484</v>
      </c>
      <c r="AN270" s="76"/>
      <c r="AO270" s="76" t="s">
        <v>2297</v>
      </c>
      <c r="AP270" s="76"/>
      <c r="AQ270" s="76"/>
      <c r="AR270" s="76"/>
      <c r="AS270" s="76"/>
      <c r="AT270" s="76"/>
      <c r="AU270" s="76"/>
      <c r="AV270" s="76">
        <v>1.69831514247021E+18</v>
      </c>
      <c r="AW270" s="76"/>
      <c r="AX270" s="76" t="b">
        <v>0</v>
      </c>
      <c r="AY270" s="76"/>
      <c r="AZ270" s="76"/>
      <c r="BA270" s="76" t="b">
        <v>0</v>
      </c>
      <c r="BB270" s="76" t="b">
        <v>0</v>
      </c>
      <c r="BC270" s="76" t="b">
        <v>1</v>
      </c>
      <c r="BD270" s="76" t="b">
        <v>0</v>
      </c>
      <c r="BE270" s="76" t="b">
        <v>1</v>
      </c>
      <c r="BF270" s="76" t="b">
        <v>0</v>
      </c>
      <c r="BG270" s="76" t="b">
        <v>0</v>
      </c>
      <c r="BH270" s="82" t="str">
        <f>HYPERLINK("https://pbs.twimg.com/profile_banners/1569291484117221383/1693148814")</f>
        <v>https://pbs.twimg.com/profile_banners/1569291484117221383/1693148814</v>
      </c>
      <c r="BI270" s="76"/>
      <c r="BJ270" s="76" t="s">
        <v>2656</v>
      </c>
      <c r="BK270" s="76" t="b">
        <v>0</v>
      </c>
      <c r="BL270" s="76"/>
      <c r="BM270" s="76" t="s">
        <v>66</v>
      </c>
      <c r="BN270" s="76" t="s">
        <v>2657</v>
      </c>
      <c r="BO270" s="82" t="str">
        <f>HYPERLINK("https://twitter.com/pilotbeac0n")</f>
        <v>https://twitter.com/pilotbeac0n</v>
      </c>
      <c r="BP270" s="76" t="str">
        <f>REPLACE(INDEX(GroupVertices[Group],MATCH(Vertices[[#This Row],[Vertex]],GroupVertices[Vertex],0)),1,1,"")</f>
        <v>9</v>
      </c>
      <c r="BQ270" s="45">
        <v>6</v>
      </c>
      <c r="BR270" s="46">
        <v>1.6713091922005572</v>
      </c>
      <c r="BS270" s="45">
        <v>15</v>
      </c>
      <c r="BT270" s="46">
        <v>4.178272980501393</v>
      </c>
      <c r="BU270" s="45">
        <v>0</v>
      </c>
      <c r="BV270" s="46">
        <v>0</v>
      </c>
      <c r="BW270" s="45">
        <v>205</v>
      </c>
      <c r="BX270" s="46">
        <v>57.10306406685237</v>
      </c>
      <c r="BY270" s="45">
        <v>359</v>
      </c>
      <c r="BZ270" s="45" t="s">
        <v>11544</v>
      </c>
      <c r="CA270" s="45" t="s">
        <v>11552</v>
      </c>
      <c r="CB270" s="45" t="s">
        <v>11556</v>
      </c>
      <c r="CC270" s="45" t="s">
        <v>11556</v>
      </c>
      <c r="CD270" s="45" t="s">
        <v>707</v>
      </c>
      <c r="CE270" s="45" t="s">
        <v>707</v>
      </c>
      <c r="CF270" s="112" t="s">
        <v>11612</v>
      </c>
      <c r="CG270" s="112" t="s">
        <v>11636</v>
      </c>
      <c r="CH270" s="112" t="s">
        <v>11667</v>
      </c>
      <c r="CI270" s="112" t="s">
        <v>11667</v>
      </c>
      <c r="CJ270" s="2"/>
    </row>
    <row r="271" spans="1:88" ht="15">
      <c r="A271" s="61" t="s">
        <v>504</v>
      </c>
      <c r="B271" s="62"/>
      <c r="C271" s="62"/>
      <c r="D271" s="63">
        <v>535</v>
      </c>
      <c r="E271" s="65"/>
      <c r="F271" s="100" t="str">
        <f>HYPERLINK("https://pbs.twimg.com/profile_images/1579478434048253952/AX4ktUSO_normal.jpg")</f>
        <v>https://pbs.twimg.com/profile_images/1579478434048253952/AX4ktUSO_normal.jpg</v>
      </c>
      <c r="G271" s="62"/>
      <c r="H271" s="66" t="s">
        <v>504</v>
      </c>
      <c r="I271" s="67"/>
      <c r="J271" s="67" t="s">
        <v>159</v>
      </c>
      <c r="K271" s="66" t="s">
        <v>2925</v>
      </c>
      <c r="L271" s="70">
        <v>477.0952380952381</v>
      </c>
      <c r="M271" s="71">
        <v>7875.0185546875</v>
      </c>
      <c r="N271" s="71">
        <v>3281.4091796875</v>
      </c>
      <c r="O271" s="72"/>
      <c r="P271" s="73"/>
      <c r="Q271" s="73"/>
      <c r="R271" s="86"/>
      <c r="S271" s="45">
        <v>1</v>
      </c>
      <c r="T271" s="45">
        <v>0</v>
      </c>
      <c r="U271" s="46">
        <v>0</v>
      </c>
      <c r="V271" s="46">
        <v>0.240653</v>
      </c>
      <c r="W271" s="46">
        <v>0.00362</v>
      </c>
      <c r="X271" s="46">
        <v>0.002759</v>
      </c>
      <c r="Y271" s="46">
        <v>0</v>
      </c>
      <c r="Z271" s="46">
        <v>0</v>
      </c>
      <c r="AA271" s="68">
        <v>271</v>
      </c>
      <c r="AB271" s="68"/>
      <c r="AC271" s="69"/>
      <c r="AD271" s="76" t="s">
        <v>1516</v>
      </c>
      <c r="AE271" s="80" t="s">
        <v>1811</v>
      </c>
      <c r="AF271" s="76">
        <v>1570444</v>
      </c>
      <c r="AG271" s="76">
        <v>274</v>
      </c>
      <c r="AH271" s="76">
        <v>3966</v>
      </c>
      <c r="AI271" s="76">
        <v>3623</v>
      </c>
      <c r="AJ271" s="76">
        <v>351</v>
      </c>
      <c r="AK271" s="76">
        <v>945</v>
      </c>
      <c r="AL271" s="76" t="b">
        <v>0</v>
      </c>
      <c r="AM271" s="78">
        <v>43698.079039351855</v>
      </c>
      <c r="AN271" s="76"/>
      <c r="AO271" s="76" t="s">
        <v>2298</v>
      </c>
      <c r="AP271" s="82" t="str">
        <f>HYPERLINK("https://t.co/X7MOvwSReP")</f>
        <v>https://t.co/X7MOvwSReP</v>
      </c>
      <c r="AQ271" s="82" t="str">
        <f>HYPERLINK("http://mikepompeo.com")</f>
        <v>http://mikepompeo.com</v>
      </c>
      <c r="AR271" s="76" t="s">
        <v>2548</v>
      </c>
      <c r="AS271" s="82" t="str">
        <f>HYPERLINK("https://t.co/X7MOvwSReP")</f>
        <v>https://t.co/X7MOvwSReP</v>
      </c>
      <c r="AT271" s="82" t="str">
        <f>HYPERLINK("http://mikepompeo.com")</f>
        <v>http://mikepompeo.com</v>
      </c>
      <c r="AU271" s="76" t="s">
        <v>2548</v>
      </c>
      <c r="AV271" s="76">
        <v>1.62234986469982E+18</v>
      </c>
      <c r="AW271" s="82" t="str">
        <f>HYPERLINK("https://t.co/X7MOvwSReP")</f>
        <v>https://t.co/X7MOvwSReP</v>
      </c>
      <c r="AX271" s="76" t="b">
        <v>1</v>
      </c>
      <c r="AY271" s="76"/>
      <c r="AZ271" s="76"/>
      <c r="BA271" s="76" t="b">
        <v>1</v>
      </c>
      <c r="BB271" s="76" t="b">
        <v>1</v>
      </c>
      <c r="BC271" s="76" t="b">
        <v>1</v>
      </c>
      <c r="BD271" s="76" t="b">
        <v>0</v>
      </c>
      <c r="BE271" s="76" t="b">
        <v>1</v>
      </c>
      <c r="BF271" s="76" t="b">
        <v>0</v>
      </c>
      <c r="BG271" s="76" t="b">
        <v>0</v>
      </c>
      <c r="BH271" s="82" t="str">
        <f>HYPERLINK("https://pbs.twimg.com/profile_banners/1163992520252153857/1665432910")</f>
        <v>https://pbs.twimg.com/profile_banners/1163992520252153857/1665432910</v>
      </c>
      <c r="BI271" s="76"/>
      <c r="BJ271" s="76" t="s">
        <v>2656</v>
      </c>
      <c r="BK271" s="76" t="b">
        <v>0</v>
      </c>
      <c r="BL271" s="76"/>
      <c r="BM271" s="76" t="s">
        <v>65</v>
      </c>
      <c r="BN271" s="76" t="s">
        <v>2657</v>
      </c>
      <c r="BO271" s="82" t="str">
        <f>HYPERLINK("https://twitter.com/mikepompeo")</f>
        <v>https://twitter.com/mikepompeo</v>
      </c>
      <c r="BP271" s="76" t="str">
        <f>REPLACE(INDEX(GroupVertices[Group],MATCH(Vertices[[#This Row],[Vertex]],GroupVertices[Vertex],0)),1,1,"")</f>
        <v>9</v>
      </c>
      <c r="BQ271" s="45"/>
      <c r="BR271" s="46"/>
      <c r="BS271" s="45"/>
      <c r="BT271" s="46"/>
      <c r="BU271" s="45"/>
      <c r="BV271" s="46"/>
      <c r="BW271" s="45"/>
      <c r="BX271" s="46"/>
      <c r="BY271" s="45"/>
      <c r="BZ271" s="45"/>
      <c r="CA271" s="45"/>
      <c r="CB271" s="45"/>
      <c r="CC271" s="45"/>
      <c r="CD271" s="45"/>
      <c r="CE271" s="45"/>
      <c r="CF271" s="45"/>
      <c r="CG271" s="45"/>
      <c r="CH271" s="45"/>
      <c r="CI271" s="45"/>
      <c r="CJ271" s="2"/>
    </row>
    <row r="272" spans="1:88" ht="15">
      <c r="A272" s="61" t="s">
        <v>505</v>
      </c>
      <c r="B272" s="62"/>
      <c r="C272" s="62"/>
      <c r="D272" s="63">
        <v>535</v>
      </c>
      <c r="E272" s="65"/>
      <c r="F272" s="100" t="str">
        <f>HYPERLINK("https://pbs.twimg.com/profile_images/1376321657992716291/bE0ITJ89_normal.jpg")</f>
        <v>https://pbs.twimg.com/profile_images/1376321657992716291/bE0ITJ89_normal.jpg</v>
      </c>
      <c r="G272" s="62"/>
      <c r="H272" s="66" t="s">
        <v>505</v>
      </c>
      <c r="I272" s="67"/>
      <c r="J272" s="67" t="s">
        <v>159</v>
      </c>
      <c r="K272" s="66" t="s">
        <v>2926</v>
      </c>
      <c r="L272" s="70">
        <v>477.0952380952381</v>
      </c>
      <c r="M272" s="71">
        <v>6177.72607421875</v>
      </c>
      <c r="N272" s="71">
        <v>3016.776123046875</v>
      </c>
      <c r="O272" s="72"/>
      <c r="P272" s="73"/>
      <c r="Q272" s="73"/>
      <c r="R272" s="86"/>
      <c r="S272" s="45">
        <v>1</v>
      </c>
      <c r="T272" s="45">
        <v>0</v>
      </c>
      <c r="U272" s="46">
        <v>0</v>
      </c>
      <c r="V272" s="46">
        <v>0.240653</v>
      </c>
      <c r="W272" s="46">
        <v>0.00362</v>
      </c>
      <c r="X272" s="46">
        <v>0.002759</v>
      </c>
      <c r="Y272" s="46">
        <v>0</v>
      </c>
      <c r="Z272" s="46">
        <v>0</v>
      </c>
      <c r="AA272" s="68">
        <v>272</v>
      </c>
      <c r="AB272" s="68"/>
      <c r="AC272" s="69"/>
      <c r="AD272" s="76" t="s">
        <v>1517</v>
      </c>
      <c r="AE272" s="80" t="s">
        <v>1812</v>
      </c>
      <c r="AF272" s="76">
        <v>14596</v>
      </c>
      <c r="AG272" s="76">
        <v>6271</v>
      </c>
      <c r="AH272" s="76">
        <v>3506</v>
      </c>
      <c r="AI272" s="76">
        <v>88</v>
      </c>
      <c r="AJ272" s="76">
        <v>7398</v>
      </c>
      <c r="AK272" s="76">
        <v>133</v>
      </c>
      <c r="AL272" s="76" t="b">
        <v>0</v>
      </c>
      <c r="AM272" s="78">
        <v>40865.25498842593</v>
      </c>
      <c r="AN272" s="76"/>
      <c r="AO272" s="76" t="s">
        <v>2299</v>
      </c>
      <c r="AP272" s="76"/>
      <c r="AQ272" s="76"/>
      <c r="AR272" s="76"/>
      <c r="AS272" s="76"/>
      <c r="AT272" s="76"/>
      <c r="AU272" s="76"/>
      <c r="AV272" s="76"/>
      <c r="AW272" s="76"/>
      <c r="AX272" s="76" t="b">
        <v>1</v>
      </c>
      <c r="AY272" s="76"/>
      <c r="AZ272" s="76"/>
      <c r="BA272" s="76" t="b">
        <v>1</v>
      </c>
      <c r="BB272" s="76" t="b">
        <v>1</v>
      </c>
      <c r="BC272" s="76" t="b">
        <v>1</v>
      </c>
      <c r="BD272" s="76" t="b">
        <v>0</v>
      </c>
      <c r="BE272" s="76" t="b">
        <v>1</v>
      </c>
      <c r="BF272" s="76" t="b">
        <v>0</v>
      </c>
      <c r="BG272" s="76" t="b">
        <v>0</v>
      </c>
      <c r="BH272" s="82" t="str">
        <f>HYPERLINK("https://pbs.twimg.com/profile_banners/415332828/1616976103")</f>
        <v>https://pbs.twimg.com/profile_banners/415332828/1616976103</v>
      </c>
      <c r="BI272" s="76"/>
      <c r="BJ272" s="76" t="s">
        <v>2656</v>
      </c>
      <c r="BK272" s="76" t="b">
        <v>0</v>
      </c>
      <c r="BL272" s="76"/>
      <c r="BM272" s="76" t="s">
        <v>65</v>
      </c>
      <c r="BN272" s="76" t="s">
        <v>2657</v>
      </c>
      <c r="BO272" s="82" t="str">
        <f>HYPERLINK("https://twitter.com/gabrielshipton")</f>
        <v>https://twitter.com/gabrielshipton</v>
      </c>
      <c r="BP272" s="76" t="str">
        <f>REPLACE(INDEX(GroupVertices[Group],MATCH(Vertices[[#This Row],[Vertex]],GroupVertices[Vertex],0)),1,1,"")</f>
        <v>9</v>
      </c>
      <c r="BQ272" s="45"/>
      <c r="BR272" s="46"/>
      <c r="BS272" s="45"/>
      <c r="BT272" s="46"/>
      <c r="BU272" s="45"/>
      <c r="BV272" s="46"/>
      <c r="BW272" s="45"/>
      <c r="BX272" s="46"/>
      <c r="BY272" s="45"/>
      <c r="BZ272" s="45"/>
      <c r="CA272" s="45"/>
      <c r="CB272" s="45"/>
      <c r="CC272" s="45"/>
      <c r="CD272" s="45"/>
      <c r="CE272" s="45"/>
      <c r="CF272" s="45"/>
      <c r="CG272" s="45"/>
      <c r="CH272" s="45"/>
      <c r="CI272" s="45"/>
      <c r="CJ272" s="2"/>
    </row>
    <row r="273" spans="1:88" ht="15">
      <c r="A273" s="61" t="s">
        <v>506</v>
      </c>
      <c r="B273" s="62"/>
      <c r="C273" s="62"/>
      <c r="D273" s="63">
        <v>535</v>
      </c>
      <c r="E273" s="65"/>
      <c r="F273" s="100" t="str">
        <f>HYPERLINK("https://pbs.twimg.com/profile_images/1010537993130651648/YX6LT1Ej_normal.jpg")</f>
        <v>https://pbs.twimg.com/profile_images/1010537993130651648/YX6LT1Ej_normal.jpg</v>
      </c>
      <c r="G273" s="62"/>
      <c r="H273" s="66" t="s">
        <v>506</v>
      </c>
      <c r="I273" s="67"/>
      <c r="J273" s="67" t="s">
        <v>159</v>
      </c>
      <c r="K273" s="66" t="s">
        <v>2927</v>
      </c>
      <c r="L273" s="70">
        <v>477.0952380952381</v>
      </c>
      <c r="M273" s="71">
        <v>6460.16796875</v>
      </c>
      <c r="N273" s="71">
        <v>3458.611328125</v>
      </c>
      <c r="O273" s="72"/>
      <c r="P273" s="73"/>
      <c r="Q273" s="73"/>
      <c r="R273" s="86"/>
      <c r="S273" s="45">
        <v>1</v>
      </c>
      <c r="T273" s="45">
        <v>0</v>
      </c>
      <c r="U273" s="46">
        <v>0</v>
      </c>
      <c r="V273" s="46">
        <v>0.240653</v>
      </c>
      <c r="W273" s="46">
        <v>0.00362</v>
      </c>
      <c r="X273" s="46">
        <v>0.002759</v>
      </c>
      <c r="Y273" s="46">
        <v>0</v>
      </c>
      <c r="Z273" s="46">
        <v>0</v>
      </c>
      <c r="AA273" s="68">
        <v>273</v>
      </c>
      <c r="AB273" s="68"/>
      <c r="AC273" s="69"/>
      <c r="AD273" s="76" t="s">
        <v>1518</v>
      </c>
      <c r="AE273" s="80" t="s">
        <v>1813</v>
      </c>
      <c r="AF273" s="76">
        <v>576106</v>
      </c>
      <c r="AG273" s="76">
        <v>192</v>
      </c>
      <c r="AH273" s="76">
        <v>18458</v>
      </c>
      <c r="AI273" s="76">
        <v>2923</v>
      </c>
      <c r="AJ273" s="76">
        <v>2163</v>
      </c>
      <c r="AK273" s="76">
        <v>3588</v>
      </c>
      <c r="AL273" s="76" t="b">
        <v>0</v>
      </c>
      <c r="AM273" s="78">
        <v>40827.72064814815</v>
      </c>
      <c r="AN273" s="76" t="s">
        <v>2018</v>
      </c>
      <c r="AO273" s="76" t="s">
        <v>2300</v>
      </c>
      <c r="AP273" s="82" t="str">
        <f>HYPERLINK("https://t.co/IQU5kAznhb")</f>
        <v>https://t.co/IQU5kAznhb</v>
      </c>
      <c r="AQ273" s="82" t="str">
        <f>HYPERLINK("https://defendwikileaks.org/")</f>
        <v>https://defendwikileaks.org/</v>
      </c>
      <c r="AR273" s="76" t="s">
        <v>2549</v>
      </c>
      <c r="AS273" s="76"/>
      <c r="AT273" s="76"/>
      <c r="AU273" s="76"/>
      <c r="AV273" s="76">
        <v>1.69353540769742E+18</v>
      </c>
      <c r="AW273" s="82" t="str">
        <f>HYPERLINK("https://t.co/IQU5kAznhb")</f>
        <v>https://t.co/IQU5kAznhb</v>
      </c>
      <c r="AX273" s="76" t="b">
        <v>0</v>
      </c>
      <c r="AY273" s="76"/>
      <c r="AZ273" s="76"/>
      <c r="BA273" s="76" t="b">
        <v>1</v>
      </c>
      <c r="BB273" s="76" t="b">
        <v>1</v>
      </c>
      <c r="BC273" s="76" t="b">
        <v>1</v>
      </c>
      <c r="BD273" s="76" t="b">
        <v>0</v>
      </c>
      <c r="BE273" s="76" t="b">
        <v>1</v>
      </c>
      <c r="BF273" s="76" t="b">
        <v>0</v>
      </c>
      <c r="BG273" s="76" t="b">
        <v>0</v>
      </c>
      <c r="BH273" s="82" t="str">
        <f>HYPERLINK("https://pbs.twimg.com/profile_banners/388983706/1513066094")</f>
        <v>https://pbs.twimg.com/profile_banners/388983706/1513066094</v>
      </c>
      <c r="BI273" s="76"/>
      <c r="BJ273" s="76" t="s">
        <v>2656</v>
      </c>
      <c r="BK273" s="76" t="b">
        <v>0</v>
      </c>
      <c r="BL273" s="76"/>
      <c r="BM273" s="76" t="s">
        <v>65</v>
      </c>
      <c r="BN273" s="76" t="s">
        <v>2657</v>
      </c>
      <c r="BO273" s="82" t="str">
        <f>HYPERLINK("https://twitter.com/defendassange")</f>
        <v>https://twitter.com/defendassange</v>
      </c>
      <c r="BP273" s="76" t="str">
        <f>REPLACE(INDEX(GroupVertices[Group],MATCH(Vertices[[#This Row],[Vertex]],GroupVertices[Vertex],0)),1,1,"")</f>
        <v>9</v>
      </c>
      <c r="BQ273" s="45"/>
      <c r="BR273" s="46"/>
      <c r="BS273" s="45"/>
      <c r="BT273" s="46"/>
      <c r="BU273" s="45"/>
      <c r="BV273" s="46"/>
      <c r="BW273" s="45"/>
      <c r="BX273" s="46"/>
      <c r="BY273" s="45"/>
      <c r="BZ273" s="45"/>
      <c r="CA273" s="45"/>
      <c r="CB273" s="45"/>
      <c r="CC273" s="45"/>
      <c r="CD273" s="45"/>
      <c r="CE273" s="45"/>
      <c r="CF273" s="45"/>
      <c r="CG273" s="45"/>
      <c r="CH273" s="45"/>
      <c r="CI273" s="45"/>
      <c r="CJ273" s="2"/>
    </row>
    <row r="274" spans="1:88" ht="15">
      <c r="A274" s="61" t="s">
        <v>507</v>
      </c>
      <c r="B274" s="62"/>
      <c r="C274" s="62"/>
      <c r="D274" s="63">
        <v>535</v>
      </c>
      <c r="E274" s="65"/>
      <c r="F274" s="100" t="str">
        <f>HYPERLINK("https://pbs.twimg.com/profile_images/1606923643623194624/J_fUNdrM_normal.jpg")</f>
        <v>https://pbs.twimg.com/profile_images/1606923643623194624/J_fUNdrM_normal.jpg</v>
      </c>
      <c r="G274" s="62"/>
      <c r="H274" s="66" t="s">
        <v>507</v>
      </c>
      <c r="I274" s="67"/>
      <c r="J274" s="67" t="s">
        <v>159</v>
      </c>
      <c r="K274" s="66" t="s">
        <v>2928</v>
      </c>
      <c r="L274" s="70">
        <v>477.0952380952381</v>
      </c>
      <c r="M274" s="71">
        <v>6193.7333984375</v>
      </c>
      <c r="N274" s="71">
        <v>2507.5322265625</v>
      </c>
      <c r="O274" s="72"/>
      <c r="P274" s="73"/>
      <c r="Q274" s="73"/>
      <c r="R274" s="86"/>
      <c r="S274" s="45">
        <v>1</v>
      </c>
      <c r="T274" s="45">
        <v>0</v>
      </c>
      <c r="U274" s="46">
        <v>0</v>
      </c>
      <c r="V274" s="46">
        <v>0.240653</v>
      </c>
      <c r="W274" s="46">
        <v>0.00362</v>
      </c>
      <c r="X274" s="46">
        <v>0.002759</v>
      </c>
      <c r="Y274" s="46">
        <v>0</v>
      </c>
      <c r="Z274" s="46">
        <v>0</v>
      </c>
      <c r="AA274" s="68">
        <v>274</v>
      </c>
      <c r="AB274" s="68"/>
      <c r="AC274" s="69"/>
      <c r="AD274" s="76" t="s">
        <v>1519</v>
      </c>
      <c r="AE274" s="80" t="s">
        <v>1814</v>
      </c>
      <c r="AF274" s="76">
        <v>148163</v>
      </c>
      <c r="AG274" s="76">
        <v>3823</v>
      </c>
      <c r="AH274" s="76">
        <v>12704</v>
      </c>
      <c r="AI274" s="76">
        <v>455</v>
      </c>
      <c r="AJ274" s="76">
        <v>11121</v>
      </c>
      <c r="AK274" s="76">
        <v>1185</v>
      </c>
      <c r="AL274" s="76" t="b">
        <v>0</v>
      </c>
      <c r="AM274" s="78">
        <v>43925.59395833333</v>
      </c>
      <c r="AN274" s="76" t="s">
        <v>2019</v>
      </c>
      <c r="AO274" s="76" t="s">
        <v>2301</v>
      </c>
      <c r="AP274" s="82" t="str">
        <f>HYPERLINK("https://t.co/s0rfg3ZCGU")</f>
        <v>https://t.co/s0rfg3ZCGU</v>
      </c>
      <c r="AQ274" s="82" t="str">
        <f>HYPERLINK("https://www.facebook.com/stella.moris.7773")</f>
        <v>https://www.facebook.com/stella.moris.7773</v>
      </c>
      <c r="AR274" s="76" t="s">
        <v>2550</v>
      </c>
      <c r="AS274" s="76"/>
      <c r="AT274" s="76"/>
      <c r="AU274" s="76"/>
      <c r="AV274" s="76">
        <v>1.67590762216631E+18</v>
      </c>
      <c r="AW274" s="82" t="str">
        <f>HYPERLINK("https://t.co/s0rfg3ZCGU")</f>
        <v>https://t.co/s0rfg3ZCGU</v>
      </c>
      <c r="AX274" s="76" t="b">
        <v>1</v>
      </c>
      <c r="AY274" s="76"/>
      <c r="AZ274" s="76"/>
      <c r="BA274" s="76" t="b">
        <v>1</v>
      </c>
      <c r="BB274" s="76" t="b">
        <v>1</v>
      </c>
      <c r="BC274" s="76" t="b">
        <v>1</v>
      </c>
      <c r="BD274" s="76" t="b">
        <v>0</v>
      </c>
      <c r="BE274" s="76" t="b">
        <v>1</v>
      </c>
      <c r="BF274" s="76" t="b">
        <v>0</v>
      </c>
      <c r="BG274" s="76" t="b">
        <v>0</v>
      </c>
      <c r="BH274" s="82" t="str">
        <f>HYPERLINK("https://pbs.twimg.com/profile_banners/1246440482760085504/1690478755")</f>
        <v>https://pbs.twimg.com/profile_banners/1246440482760085504/1690478755</v>
      </c>
      <c r="BI274" s="76"/>
      <c r="BJ274" s="76" t="s">
        <v>2656</v>
      </c>
      <c r="BK274" s="76" t="b">
        <v>0</v>
      </c>
      <c r="BL274" s="76"/>
      <c r="BM274" s="76" t="s">
        <v>65</v>
      </c>
      <c r="BN274" s="76" t="s">
        <v>2657</v>
      </c>
      <c r="BO274" s="82" t="str">
        <f>HYPERLINK("https://twitter.com/stella_assange")</f>
        <v>https://twitter.com/stella_assange</v>
      </c>
      <c r="BP274" s="76" t="str">
        <f>REPLACE(INDEX(GroupVertices[Group],MATCH(Vertices[[#This Row],[Vertex]],GroupVertices[Vertex],0)),1,1,"")</f>
        <v>9</v>
      </c>
      <c r="BQ274" s="45"/>
      <c r="BR274" s="46"/>
      <c r="BS274" s="45"/>
      <c r="BT274" s="46"/>
      <c r="BU274" s="45"/>
      <c r="BV274" s="46"/>
      <c r="BW274" s="45"/>
      <c r="BX274" s="46"/>
      <c r="BY274" s="45"/>
      <c r="BZ274" s="45"/>
      <c r="CA274" s="45"/>
      <c r="CB274" s="45"/>
      <c r="CC274" s="45"/>
      <c r="CD274" s="45"/>
      <c r="CE274" s="45"/>
      <c r="CF274" s="45"/>
      <c r="CG274" s="45"/>
      <c r="CH274" s="45"/>
      <c r="CI274" s="45"/>
      <c r="CJ274" s="2"/>
    </row>
    <row r="275" spans="1:88" ht="15">
      <c r="A275" s="61" t="s">
        <v>245</v>
      </c>
      <c r="B275" s="62"/>
      <c r="C275" s="62"/>
      <c r="D275" s="63">
        <v>1000</v>
      </c>
      <c r="E275" s="65"/>
      <c r="F275" s="100" t="str">
        <f>HYPERLINK("https://pbs.twimg.com/profile_images/587896291658633216/qFEEgO5Y_normal.jpg")</f>
        <v>https://pbs.twimg.com/profile_images/587896291658633216/qFEEgO5Y_normal.jpg</v>
      </c>
      <c r="G275" s="62"/>
      <c r="H275" s="66" t="s">
        <v>245</v>
      </c>
      <c r="I275" s="67"/>
      <c r="J275" s="67" t="s">
        <v>159</v>
      </c>
      <c r="K275" s="66" t="s">
        <v>2929</v>
      </c>
      <c r="L275" s="70">
        <v>953.1904761904761</v>
      </c>
      <c r="M275" s="71">
        <v>7982.216796875</v>
      </c>
      <c r="N275" s="71">
        <v>2784.635009765625</v>
      </c>
      <c r="O275" s="72"/>
      <c r="P275" s="73"/>
      <c r="Q275" s="73"/>
      <c r="R275" s="86"/>
      <c r="S275" s="45">
        <v>2</v>
      </c>
      <c r="T275" s="45">
        <v>1</v>
      </c>
      <c r="U275" s="46">
        <v>0</v>
      </c>
      <c r="V275" s="46">
        <v>0.240653</v>
      </c>
      <c r="W275" s="46">
        <v>0.003977</v>
      </c>
      <c r="X275" s="46">
        <v>0.002982</v>
      </c>
      <c r="Y275" s="46">
        <v>0</v>
      </c>
      <c r="Z275" s="46">
        <v>0</v>
      </c>
      <c r="AA275" s="68">
        <v>275</v>
      </c>
      <c r="AB275" s="68"/>
      <c r="AC275" s="69"/>
      <c r="AD275" s="76" t="s">
        <v>1520</v>
      </c>
      <c r="AE275" s="80" t="s">
        <v>1815</v>
      </c>
      <c r="AF275" s="76">
        <v>164226</v>
      </c>
      <c r="AG275" s="76">
        <v>1</v>
      </c>
      <c r="AH275" s="76">
        <v>18273</v>
      </c>
      <c r="AI275" s="76">
        <v>2176</v>
      </c>
      <c r="AJ275" s="76">
        <v>5</v>
      </c>
      <c r="AK275" s="76">
        <v>584</v>
      </c>
      <c r="AL275" s="76" t="b">
        <v>0</v>
      </c>
      <c r="AM275" s="78">
        <v>39954.74082175926</v>
      </c>
      <c r="AN275" s="76" t="s">
        <v>2020</v>
      </c>
      <c r="AO275" s="76" t="s">
        <v>2302</v>
      </c>
      <c r="AP275" s="82" t="str">
        <f>HYPERLINK("https://t.co/1ipL465ZkO")</f>
        <v>https://t.co/1ipL465ZkO</v>
      </c>
      <c r="AQ275" s="82" t="str">
        <f>HYPERLINK("https://www.coasttocoastam.com/")</f>
        <v>https://www.coasttocoastam.com/</v>
      </c>
      <c r="AR275" s="76" t="s">
        <v>746</v>
      </c>
      <c r="AS275" s="76"/>
      <c r="AT275" s="76"/>
      <c r="AU275" s="76"/>
      <c r="AV275" s="76"/>
      <c r="AW275" s="82" t="str">
        <f>HYPERLINK("https://t.co/1ipL465ZkO")</f>
        <v>https://t.co/1ipL465ZkO</v>
      </c>
      <c r="AX275" s="76" t="b">
        <v>0</v>
      </c>
      <c r="AY275" s="76"/>
      <c r="AZ275" s="76"/>
      <c r="BA275" s="76" t="b">
        <v>0</v>
      </c>
      <c r="BB275" s="76" t="b">
        <v>1</v>
      </c>
      <c r="BC275" s="76" t="b">
        <v>0</v>
      </c>
      <c r="BD275" s="76" t="b">
        <v>0</v>
      </c>
      <c r="BE275" s="76" t="b">
        <v>0</v>
      </c>
      <c r="BF275" s="76" t="b">
        <v>0</v>
      </c>
      <c r="BG275" s="76" t="b">
        <v>0</v>
      </c>
      <c r="BH275" s="82" t="str">
        <f>HYPERLINK("https://pbs.twimg.com/profile_banners/41635723/1429000364")</f>
        <v>https://pbs.twimg.com/profile_banners/41635723/1429000364</v>
      </c>
      <c r="BI275" s="76"/>
      <c r="BJ275" s="76" t="s">
        <v>2656</v>
      </c>
      <c r="BK275" s="76" t="b">
        <v>0</v>
      </c>
      <c r="BL275" s="76"/>
      <c r="BM275" s="76" t="s">
        <v>66</v>
      </c>
      <c r="BN275" s="76" t="s">
        <v>2657</v>
      </c>
      <c r="BO275" s="82" t="str">
        <f>HYPERLINK("https://twitter.com/coasttocoastam")</f>
        <v>https://twitter.com/coasttocoastam</v>
      </c>
      <c r="BP275" s="76" t="str">
        <f>REPLACE(INDEX(GroupVertices[Group],MATCH(Vertices[[#This Row],[Vertex]],GroupVertices[Vertex],0)),1,1,"")</f>
        <v>9</v>
      </c>
      <c r="BQ275" s="45">
        <v>0</v>
      </c>
      <c r="BR275" s="46">
        <v>0</v>
      </c>
      <c r="BS275" s="45">
        <v>1</v>
      </c>
      <c r="BT275" s="46">
        <v>14.285714285714286</v>
      </c>
      <c r="BU275" s="45">
        <v>0</v>
      </c>
      <c r="BV275" s="46">
        <v>0</v>
      </c>
      <c r="BW275" s="45">
        <v>5</v>
      </c>
      <c r="BX275" s="46">
        <v>71.42857142857143</v>
      </c>
      <c r="BY275" s="45">
        <v>7</v>
      </c>
      <c r="BZ275" s="45" t="s">
        <v>11302</v>
      </c>
      <c r="CA275" s="45" t="s">
        <v>11302</v>
      </c>
      <c r="CB275" s="45" t="s">
        <v>746</v>
      </c>
      <c r="CC275" s="45" t="s">
        <v>746</v>
      </c>
      <c r="CD275" s="45"/>
      <c r="CE275" s="45"/>
      <c r="CF275" s="112" t="s">
        <v>11613</v>
      </c>
      <c r="CG275" s="112" t="s">
        <v>11613</v>
      </c>
      <c r="CH275" s="112" t="s">
        <v>11668</v>
      </c>
      <c r="CI275" s="112" t="s">
        <v>11668</v>
      </c>
      <c r="CJ275" s="2"/>
    </row>
    <row r="276" spans="1:88" ht="15">
      <c r="A276" s="61" t="s">
        <v>508</v>
      </c>
      <c r="B276" s="62"/>
      <c r="C276" s="62"/>
      <c r="D276" s="63">
        <v>535</v>
      </c>
      <c r="E276" s="65"/>
      <c r="F276" s="100" t="str">
        <f>HYPERLINK("https://pbs.twimg.com/profile_images/766652495858896897/LjrJJB9a_normal.jpg")</f>
        <v>https://pbs.twimg.com/profile_images/766652495858896897/LjrJJB9a_normal.jpg</v>
      </c>
      <c r="G276" s="62"/>
      <c r="H276" s="66" t="s">
        <v>508</v>
      </c>
      <c r="I276" s="67"/>
      <c r="J276" s="67" t="s">
        <v>159</v>
      </c>
      <c r="K276" s="66" t="s">
        <v>2930</v>
      </c>
      <c r="L276" s="70">
        <v>477.0952380952381</v>
      </c>
      <c r="M276" s="71">
        <v>6941.66943359375</v>
      </c>
      <c r="N276" s="71">
        <v>3676.10302734375</v>
      </c>
      <c r="O276" s="72"/>
      <c r="P276" s="73"/>
      <c r="Q276" s="73"/>
      <c r="R276" s="86"/>
      <c r="S276" s="45">
        <v>1</v>
      </c>
      <c r="T276" s="45">
        <v>0</v>
      </c>
      <c r="U276" s="46">
        <v>0</v>
      </c>
      <c r="V276" s="46">
        <v>0.240653</v>
      </c>
      <c r="W276" s="46">
        <v>0.00362</v>
      </c>
      <c r="X276" s="46">
        <v>0.002759</v>
      </c>
      <c r="Y276" s="46">
        <v>0</v>
      </c>
      <c r="Z276" s="46">
        <v>0</v>
      </c>
      <c r="AA276" s="68">
        <v>276</v>
      </c>
      <c r="AB276" s="68"/>
      <c r="AC276" s="69"/>
      <c r="AD276" s="76" t="s">
        <v>1521</v>
      </c>
      <c r="AE276" s="80" t="s">
        <v>1816</v>
      </c>
      <c r="AF276" s="76">
        <v>10425535</v>
      </c>
      <c r="AG276" s="76">
        <v>1893</v>
      </c>
      <c r="AH276" s="76">
        <v>46933</v>
      </c>
      <c r="AI276" s="76">
        <v>20292</v>
      </c>
      <c r="AJ276" s="76">
        <v>30928</v>
      </c>
      <c r="AK276" s="76">
        <v>2539</v>
      </c>
      <c r="AL276" s="76" t="b">
        <v>0</v>
      </c>
      <c r="AM276" s="78">
        <v>39944.88788194444</v>
      </c>
      <c r="AN276" s="76"/>
      <c r="AO276" s="76" t="s">
        <v>2303</v>
      </c>
      <c r="AP276" s="82" t="str">
        <f>HYPERLINK("https://t.co/ni5HwFvEjX")</f>
        <v>https://t.co/ni5HwFvEjX</v>
      </c>
      <c r="AQ276" s="82" t="str">
        <f>HYPERLINK("https://linktr.ee/donaldjtrumpjr")</f>
        <v>https://linktr.ee/donaldjtrumpjr</v>
      </c>
      <c r="AR276" s="76" t="s">
        <v>2551</v>
      </c>
      <c r="AS276" s="76"/>
      <c r="AT276" s="76"/>
      <c r="AU276" s="76"/>
      <c r="AV276" s="76">
        <v>1.69693602776261E+18</v>
      </c>
      <c r="AW276" s="82" t="str">
        <f>HYPERLINK("https://t.co/ni5HwFvEjX")</f>
        <v>https://t.co/ni5HwFvEjX</v>
      </c>
      <c r="AX276" s="76" t="b">
        <v>1</v>
      </c>
      <c r="AY276" s="76"/>
      <c r="AZ276" s="76"/>
      <c r="BA276" s="76" t="b">
        <v>0</v>
      </c>
      <c r="BB276" s="76" t="b">
        <v>1</v>
      </c>
      <c r="BC276" s="76" t="b">
        <v>0</v>
      </c>
      <c r="BD276" s="76" t="b">
        <v>0</v>
      </c>
      <c r="BE276" s="76" t="b">
        <v>1</v>
      </c>
      <c r="BF276" s="76" t="b">
        <v>0</v>
      </c>
      <c r="BG276" s="76" t="b">
        <v>0</v>
      </c>
      <c r="BH276" s="82" t="str">
        <f>HYPERLINK("https://pbs.twimg.com/profile_banners/39344374/1674355501")</f>
        <v>https://pbs.twimg.com/profile_banners/39344374/1674355501</v>
      </c>
      <c r="BI276" s="76"/>
      <c r="BJ276" s="76" t="s">
        <v>2656</v>
      </c>
      <c r="BK276" s="76" t="b">
        <v>0</v>
      </c>
      <c r="BL276" s="76"/>
      <c r="BM276" s="76" t="s">
        <v>65</v>
      </c>
      <c r="BN276" s="76" t="s">
        <v>2657</v>
      </c>
      <c r="BO276" s="82" t="str">
        <f>HYPERLINK("https://twitter.com/donaldjtrumpjr")</f>
        <v>https://twitter.com/donaldjtrumpjr</v>
      </c>
      <c r="BP276" s="76" t="str">
        <f>REPLACE(INDEX(GroupVertices[Group],MATCH(Vertices[[#This Row],[Vertex]],GroupVertices[Vertex],0)),1,1,"")</f>
        <v>9</v>
      </c>
      <c r="BQ276" s="45"/>
      <c r="BR276" s="46"/>
      <c r="BS276" s="45"/>
      <c r="BT276" s="46"/>
      <c r="BU276" s="45"/>
      <c r="BV276" s="46"/>
      <c r="BW276" s="45"/>
      <c r="BX276" s="46"/>
      <c r="BY276" s="45"/>
      <c r="BZ276" s="45"/>
      <c r="CA276" s="45"/>
      <c r="CB276" s="45"/>
      <c r="CC276" s="45"/>
      <c r="CD276" s="45"/>
      <c r="CE276" s="45"/>
      <c r="CF276" s="45"/>
      <c r="CG276" s="45"/>
      <c r="CH276" s="45"/>
      <c r="CI276" s="45"/>
      <c r="CJ276" s="2"/>
    </row>
    <row r="277" spans="1:88" ht="15">
      <c r="A277" s="61" t="s">
        <v>246</v>
      </c>
      <c r="B277" s="62"/>
      <c r="C277" s="62"/>
      <c r="D277" s="63">
        <v>535</v>
      </c>
      <c r="E277" s="65"/>
      <c r="F277" s="100" t="str">
        <f>HYPERLINK("https://pbs.twimg.com/profile_images/1688651370100932608/_zm8ZoNq_normal.jpg")</f>
        <v>https://pbs.twimg.com/profile_images/1688651370100932608/_zm8ZoNq_normal.jpg</v>
      </c>
      <c r="G277" s="62"/>
      <c r="H277" s="66" t="s">
        <v>246</v>
      </c>
      <c r="I277" s="67"/>
      <c r="J277" s="67" t="s">
        <v>159</v>
      </c>
      <c r="K277" s="66" t="s">
        <v>2931</v>
      </c>
      <c r="L277" s="70">
        <v>477.0952380952381</v>
      </c>
      <c r="M277" s="71">
        <v>7030.43798828125</v>
      </c>
      <c r="N277" s="71">
        <v>1911.573486328125</v>
      </c>
      <c r="O277" s="72"/>
      <c r="P277" s="73"/>
      <c r="Q277" s="73"/>
      <c r="R277" s="86"/>
      <c r="S277" s="45">
        <v>1</v>
      </c>
      <c r="T277" s="45">
        <v>1</v>
      </c>
      <c r="U277" s="46">
        <v>0</v>
      </c>
      <c r="V277" s="46">
        <v>0.240863</v>
      </c>
      <c r="W277" s="46">
        <v>0.003977</v>
      </c>
      <c r="X277" s="46">
        <v>0.002982</v>
      </c>
      <c r="Y277" s="46">
        <v>0.5</v>
      </c>
      <c r="Z277" s="46">
        <v>0</v>
      </c>
      <c r="AA277" s="68">
        <v>277</v>
      </c>
      <c r="AB277" s="68"/>
      <c r="AC277" s="69"/>
      <c r="AD277" s="76" t="s">
        <v>1522</v>
      </c>
      <c r="AE277" s="80" t="s">
        <v>1208</v>
      </c>
      <c r="AF277" s="76">
        <v>175</v>
      </c>
      <c r="AG277" s="76">
        <v>195</v>
      </c>
      <c r="AH277" s="76">
        <v>10992</v>
      </c>
      <c r="AI277" s="76">
        <v>5</v>
      </c>
      <c r="AJ277" s="76">
        <v>31473</v>
      </c>
      <c r="AK277" s="76">
        <v>434</v>
      </c>
      <c r="AL277" s="76" t="b">
        <v>0</v>
      </c>
      <c r="AM277" s="78">
        <v>42636.817037037035</v>
      </c>
      <c r="AN277" s="76" t="s">
        <v>998</v>
      </c>
      <c r="AO277" s="76" t="s">
        <v>2304</v>
      </c>
      <c r="AP277" s="76"/>
      <c r="AQ277" s="76"/>
      <c r="AR277" s="76"/>
      <c r="AS277" s="76"/>
      <c r="AT277" s="76"/>
      <c r="AU277" s="76"/>
      <c r="AV277" s="76">
        <v>1.20748438147816E+18</v>
      </c>
      <c r="AW277" s="76"/>
      <c r="AX277" s="76" t="b">
        <v>0</v>
      </c>
      <c r="AY277" s="76"/>
      <c r="AZ277" s="76"/>
      <c r="BA277" s="76" t="b">
        <v>0</v>
      </c>
      <c r="BB277" s="76" t="b">
        <v>1</v>
      </c>
      <c r="BC277" s="76" t="b">
        <v>1</v>
      </c>
      <c r="BD277" s="76" t="b">
        <v>0</v>
      </c>
      <c r="BE277" s="76" t="b">
        <v>1</v>
      </c>
      <c r="BF277" s="76" t="b">
        <v>0</v>
      </c>
      <c r="BG277" s="76" t="b">
        <v>0</v>
      </c>
      <c r="BH277" s="82" t="str">
        <f>HYPERLINK("https://pbs.twimg.com/profile_banners/779404096226877441/1657637761")</f>
        <v>https://pbs.twimg.com/profile_banners/779404096226877441/1657637761</v>
      </c>
      <c r="BI277" s="76"/>
      <c r="BJ277" s="76" t="s">
        <v>2656</v>
      </c>
      <c r="BK277" s="76" t="b">
        <v>0</v>
      </c>
      <c r="BL277" s="76"/>
      <c r="BM277" s="76" t="s">
        <v>66</v>
      </c>
      <c r="BN277" s="76" t="s">
        <v>2657</v>
      </c>
      <c r="BO277" s="82" t="str">
        <f>HYPERLINK("https://twitter.com/dwighttyree")</f>
        <v>https://twitter.com/dwighttyree</v>
      </c>
      <c r="BP277" s="76" t="str">
        <f>REPLACE(INDEX(GroupVertices[Group],MATCH(Vertices[[#This Row],[Vertex]],GroupVertices[Vertex],0)),1,1,"")</f>
        <v>9</v>
      </c>
      <c r="BQ277" s="45">
        <v>0</v>
      </c>
      <c r="BR277" s="46">
        <v>0</v>
      </c>
      <c r="BS277" s="45">
        <v>1</v>
      </c>
      <c r="BT277" s="46">
        <v>14.285714285714286</v>
      </c>
      <c r="BU277" s="45">
        <v>0</v>
      </c>
      <c r="BV277" s="46">
        <v>0</v>
      </c>
      <c r="BW277" s="45">
        <v>3</v>
      </c>
      <c r="BX277" s="46">
        <v>42.857142857142854</v>
      </c>
      <c r="BY277" s="45">
        <v>7</v>
      </c>
      <c r="BZ277" s="45"/>
      <c r="CA277" s="45"/>
      <c r="CB277" s="45"/>
      <c r="CC277" s="45"/>
      <c r="CD277" s="45"/>
      <c r="CE277" s="45"/>
      <c r="CF277" s="112" t="s">
        <v>11614</v>
      </c>
      <c r="CG277" s="112" t="s">
        <v>11614</v>
      </c>
      <c r="CH277" s="112" t="s">
        <v>11669</v>
      </c>
      <c r="CI277" s="112" t="s">
        <v>11669</v>
      </c>
      <c r="CJ277" s="2"/>
    </row>
    <row r="278" spans="1:88" ht="15">
      <c r="A278" s="61" t="s">
        <v>509</v>
      </c>
      <c r="B278" s="62"/>
      <c r="C278" s="62"/>
      <c r="D278" s="63">
        <v>1000</v>
      </c>
      <c r="E278" s="65"/>
      <c r="F278" s="100" t="str">
        <f>HYPERLINK("https://pbs.twimg.com/profile_images/874276197357596672/kUuht00m_normal.jpg")</f>
        <v>https://pbs.twimg.com/profile_images/874276197357596672/kUuht00m_normal.jpg</v>
      </c>
      <c r="G278" s="62"/>
      <c r="H278" s="66" t="s">
        <v>509</v>
      </c>
      <c r="I278" s="67"/>
      <c r="J278" s="67" t="s">
        <v>159</v>
      </c>
      <c r="K278" s="66" t="s">
        <v>2932</v>
      </c>
      <c r="L278" s="70">
        <v>953.1904761904761</v>
      </c>
      <c r="M278" s="71">
        <v>7403.6240234375</v>
      </c>
      <c r="N278" s="71">
        <v>1962.0086669921875</v>
      </c>
      <c r="O278" s="72"/>
      <c r="P278" s="73"/>
      <c r="Q278" s="73"/>
      <c r="R278" s="86"/>
      <c r="S278" s="45">
        <v>2</v>
      </c>
      <c r="T278" s="45">
        <v>0</v>
      </c>
      <c r="U278" s="46">
        <v>0</v>
      </c>
      <c r="V278" s="46">
        <v>0.240863</v>
      </c>
      <c r="W278" s="46">
        <v>0.003977</v>
      </c>
      <c r="X278" s="46">
        <v>0.002982</v>
      </c>
      <c r="Y278" s="46">
        <v>0.5</v>
      </c>
      <c r="Z278" s="46">
        <v>0</v>
      </c>
      <c r="AA278" s="68">
        <v>278</v>
      </c>
      <c r="AB278" s="68"/>
      <c r="AC278" s="69"/>
      <c r="AD278" s="76" t="s">
        <v>1523</v>
      </c>
      <c r="AE278" s="80" t="s">
        <v>1817</v>
      </c>
      <c r="AF278" s="76">
        <v>87313039</v>
      </c>
      <c r="AG278" s="76">
        <v>51</v>
      </c>
      <c r="AH278" s="76">
        <v>59120</v>
      </c>
      <c r="AI278" s="76">
        <v>113020</v>
      </c>
      <c r="AJ278" s="76">
        <v>0</v>
      </c>
      <c r="AK278" s="76">
        <v>4967</v>
      </c>
      <c r="AL278" s="76" t="b">
        <v>0</v>
      </c>
      <c r="AM278" s="78">
        <v>39890.57405092593</v>
      </c>
      <c r="AN278" s="76"/>
      <c r="AO278" s="76" t="s">
        <v>2305</v>
      </c>
      <c r="AP278" s="82" t="str">
        <f>HYPERLINK("https://t.co/mjKdTvQzae")</f>
        <v>https://t.co/mjKdTvQzae</v>
      </c>
      <c r="AQ278" s="82" t="str">
        <f>HYPERLINK("http://DonaldJTrump.com")</f>
        <v>http://DonaldJTrump.com</v>
      </c>
      <c r="AR278" s="76" t="s">
        <v>2552</v>
      </c>
      <c r="AS278" s="76"/>
      <c r="AT278" s="76"/>
      <c r="AU278" s="76"/>
      <c r="AV278" s="76"/>
      <c r="AW278" s="82" t="str">
        <f>HYPERLINK("https://t.co/mjKdTvQzae")</f>
        <v>https://t.co/mjKdTvQzae</v>
      </c>
      <c r="AX278" s="76" t="b">
        <v>1</v>
      </c>
      <c r="AY278" s="76"/>
      <c r="AZ278" s="76"/>
      <c r="BA278" s="76" t="b">
        <v>0</v>
      </c>
      <c r="BB278" s="76" t="b">
        <v>0</v>
      </c>
      <c r="BC278" s="76" t="b">
        <v>0</v>
      </c>
      <c r="BD278" s="76" t="b">
        <v>0</v>
      </c>
      <c r="BE278" s="76" t="b">
        <v>1</v>
      </c>
      <c r="BF278" s="76" t="b">
        <v>0</v>
      </c>
      <c r="BG278" s="76" t="b">
        <v>0</v>
      </c>
      <c r="BH278" s="82" t="str">
        <f>HYPERLINK("https://pbs.twimg.com/profile_banners/25073877/1604214583")</f>
        <v>https://pbs.twimg.com/profile_banners/25073877/1604214583</v>
      </c>
      <c r="BI278" s="76"/>
      <c r="BJ278" s="76" t="s">
        <v>2655</v>
      </c>
      <c r="BK278" s="76" t="b">
        <v>0</v>
      </c>
      <c r="BL278" s="76"/>
      <c r="BM278" s="76" t="s">
        <v>65</v>
      </c>
      <c r="BN278" s="76" t="s">
        <v>2657</v>
      </c>
      <c r="BO278" s="82" t="str">
        <f>HYPERLINK("https://twitter.com/realdonaldtrump")</f>
        <v>https://twitter.com/realdonaldtrump</v>
      </c>
      <c r="BP278" s="76" t="str">
        <f>REPLACE(INDEX(GroupVertices[Group],MATCH(Vertices[[#This Row],[Vertex]],GroupVertices[Vertex],0)),1,1,"")</f>
        <v>9</v>
      </c>
      <c r="BQ278" s="45"/>
      <c r="BR278" s="46"/>
      <c r="BS278" s="45"/>
      <c r="BT278" s="46"/>
      <c r="BU278" s="45"/>
      <c r="BV278" s="46"/>
      <c r="BW278" s="45"/>
      <c r="BX278" s="46"/>
      <c r="BY278" s="45"/>
      <c r="BZ278" s="45"/>
      <c r="CA278" s="45"/>
      <c r="CB278" s="45"/>
      <c r="CC278" s="45"/>
      <c r="CD278" s="45"/>
      <c r="CE278" s="45"/>
      <c r="CF278" s="45"/>
      <c r="CG278" s="45"/>
      <c r="CH278" s="45"/>
      <c r="CI278" s="45"/>
      <c r="CJ278" s="2"/>
    </row>
    <row r="279" spans="1:88" ht="15">
      <c r="A279" s="61" t="s">
        <v>247</v>
      </c>
      <c r="B279" s="62"/>
      <c r="C279" s="62"/>
      <c r="D279" s="63">
        <v>535</v>
      </c>
      <c r="E279" s="65"/>
      <c r="F279" s="100" t="str">
        <f>HYPERLINK("https://pbs.twimg.com/profile_images/1695945064663666688/08puizRn_normal.jpg")</f>
        <v>https://pbs.twimg.com/profile_images/1695945064663666688/08puizRn_normal.jpg</v>
      </c>
      <c r="G279" s="62"/>
      <c r="H279" s="66" t="s">
        <v>247</v>
      </c>
      <c r="I279" s="67"/>
      <c r="J279" s="67" t="s">
        <v>159</v>
      </c>
      <c r="K279" s="66" t="s">
        <v>2933</v>
      </c>
      <c r="L279" s="70">
        <v>477.0952380952381</v>
      </c>
      <c r="M279" s="71">
        <v>6473.2275390625</v>
      </c>
      <c r="N279" s="71">
        <v>2062.771240234375</v>
      </c>
      <c r="O279" s="72"/>
      <c r="P279" s="73"/>
      <c r="Q279" s="73"/>
      <c r="R279" s="86"/>
      <c r="S279" s="45">
        <v>1</v>
      </c>
      <c r="T279" s="45">
        <v>1</v>
      </c>
      <c r="U279" s="46">
        <v>0</v>
      </c>
      <c r="V279" s="46">
        <v>0.240653</v>
      </c>
      <c r="W279" s="46">
        <v>0.00362</v>
      </c>
      <c r="X279" s="46">
        <v>0.002759</v>
      </c>
      <c r="Y279" s="46">
        <v>0</v>
      </c>
      <c r="Z279" s="46">
        <v>1</v>
      </c>
      <c r="AA279" s="68">
        <v>279</v>
      </c>
      <c r="AB279" s="68"/>
      <c r="AC279" s="69"/>
      <c r="AD279" s="76" t="s">
        <v>1524</v>
      </c>
      <c r="AE279" s="80" t="s">
        <v>1209</v>
      </c>
      <c r="AF279" s="76">
        <v>2269</v>
      </c>
      <c r="AG279" s="76">
        <v>1805</v>
      </c>
      <c r="AH279" s="76">
        <v>47528</v>
      </c>
      <c r="AI279" s="76">
        <v>32</v>
      </c>
      <c r="AJ279" s="76">
        <v>142030</v>
      </c>
      <c r="AK279" s="76">
        <v>10142</v>
      </c>
      <c r="AL279" s="76" t="b">
        <v>0</v>
      </c>
      <c r="AM279" s="78">
        <v>43129.89695601852</v>
      </c>
      <c r="AN279" s="76" t="s">
        <v>2021</v>
      </c>
      <c r="AO279" s="76" t="s">
        <v>2306</v>
      </c>
      <c r="AP279" s="76"/>
      <c r="AQ279" s="76"/>
      <c r="AR279" s="76"/>
      <c r="AS279" s="76"/>
      <c r="AT279" s="76"/>
      <c r="AU279" s="76"/>
      <c r="AV279" s="76">
        <v>1.613419553132E+18</v>
      </c>
      <c r="AW279" s="76"/>
      <c r="AX279" s="76" t="b">
        <v>0</v>
      </c>
      <c r="AY279" s="76"/>
      <c r="AZ279" s="76"/>
      <c r="BA279" s="76" t="b">
        <v>0</v>
      </c>
      <c r="BB279" s="76" t="b">
        <v>1</v>
      </c>
      <c r="BC279" s="76" t="b">
        <v>1</v>
      </c>
      <c r="BD279" s="76" t="b">
        <v>0</v>
      </c>
      <c r="BE279" s="76" t="b">
        <v>1</v>
      </c>
      <c r="BF279" s="76" t="b">
        <v>0</v>
      </c>
      <c r="BG279" s="76" t="b">
        <v>0</v>
      </c>
      <c r="BH279" s="82" t="str">
        <f>HYPERLINK("https://pbs.twimg.com/profile_banners/958090279264829440/1666685103")</f>
        <v>https://pbs.twimg.com/profile_banners/958090279264829440/1666685103</v>
      </c>
      <c r="BI279" s="76"/>
      <c r="BJ279" s="76" t="s">
        <v>2656</v>
      </c>
      <c r="BK279" s="76" t="b">
        <v>0</v>
      </c>
      <c r="BL279" s="76"/>
      <c r="BM279" s="76" t="s">
        <v>66</v>
      </c>
      <c r="BN279" s="76" t="s">
        <v>2657</v>
      </c>
      <c r="BO279" s="82" t="str">
        <f>HYPERLINK("https://twitter.com/541lcbt")</f>
        <v>https://twitter.com/541lcbt</v>
      </c>
      <c r="BP279" s="76" t="str">
        <f>REPLACE(INDEX(GroupVertices[Group],MATCH(Vertices[[#This Row],[Vertex]],GroupVertices[Vertex],0)),1,1,"")</f>
        <v>9</v>
      </c>
      <c r="BQ279" s="45">
        <v>0</v>
      </c>
      <c r="BR279" s="46">
        <v>0</v>
      </c>
      <c r="BS279" s="45">
        <v>0</v>
      </c>
      <c r="BT279" s="46">
        <v>0</v>
      </c>
      <c r="BU279" s="45">
        <v>0</v>
      </c>
      <c r="BV279" s="46">
        <v>0</v>
      </c>
      <c r="BW279" s="45">
        <v>2</v>
      </c>
      <c r="BX279" s="46">
        <v>100</v>
      </c>
      <c r="BY279" s="45">
        <v>2</v>
      </c>
      <c r="BZ279" s="45"/>
      <c r="CA279" s="45"/>
      <c r="CB279" s="45"/>
      <c r="CC279" s="45"/>
      <c r="CD279" s="45"/>
      <c r="CE279" s="45"/>
      <c r="CF279" s="112" t="s">
        <v>11615</v>
      </c>
      <c r="CG279" s="112" t="s">
        <v>11615</v>
      </c>
      <c r="CH279" s="112" t="s">
        <v>11670</v>
      </c>
      <c r="CI279" s="112" t="s">
        <v>11670</v>
      </c>
      <c r="CJ279" s="2"/>
    </row>
    <row r="280" spans="1:88" ht="15">
      <c r="A280" s="61" t="s">
        <v>248</v>
      </c>
      <c r="B280" s="62"/>
      <c r="C280" s="62"/>
      <c r="D280" s="63">
        <v>1000</v>
      </c>
      <c r="E280" s="65"/>
      <c r="F280" s="100" t="str">
        <f>HYPERLINK("https://pbs.twimg.com/profile_images/1058449535112867841/JP-rVYlW_normal.jpg")</f>
        <v>https://pbs.twimg.com/profile_images/1058449535112867841/JP-rVYlW_normal.jpg</v>
      </c>
      <c r="G280" s="62"/>
      <c r="H280" s="66" t="s">
        <v>248</v>
      </c>
      <c r="I280" s="67"/>
      <c r="J280" s="67" t="s">
        <v>159</v>
      </c>
      <c r="K280" s="66" t="s">
        <v>2934</v>
      </c>
      <c r="L280" s="70">
        <v>953.1904761904761</v>
      </c>
      <c r="M280" s="71">
        <v>5423.3466796875</v>
      </c>
      <c r="N280" s="71">
        <v>1553.691162109375</v>
      </c>
      <c r="O280" s="72"/>
      <c r="P280" s="73"/>
      <c r="Q280" s="73"/>
      <c r="R280" s="86"/>
      <c r="S280" s="45">
        <v>2</v>
      </c>
      <c r="T280" s="45">
        <v>10</v>
      </c>
      <c r="U280" s="46">
        <v>5790</v>
      </c>
      <c r="V280" s="46">
        <v>0.24623</v>
      </c>
      <c r="W280" s="46">
        <v>0.007268</v>
      </c>
      <c r="X280" s="46">
        <v>0.007029</v>
      </c>
      <c r="Y280" s="46">
        <v>0.015151515151515152</v>
      </c>
      <c r="Z280" s="46">
        <v>0</v>
      </c>
      <c r="AA280" s="68">
        <v>280</v>
      </c>
      <c r="AB280" s="68"/>
      <c r="AC280" s="69"/>
      <c r="AD280" s="76" t="s">
        <v>1525</v>
      </c>
      <c r="AE280" s="80" t="s">
        <v>1818</v>
      </c>
      <c r="AF280" s="76">
        <v>1570</v>
      </c>
      <c r="AG280" s="76">
        <v>2353</v>
      </c>
      <c r="AH280" s="76">
        <v>3843</v>
      </c>
      <c r="AI280" s="76">
        <v>135</v>
      </c>
      <c r="AJ280" s="76">
        <v>50292</v>
      </c>
      <c r="AK280" s="76">
        <v>92</v>
      </c>
      <c r="AL280" s="76" t="b">
        <v>0</v>
      </c>
      <c r="AM280" s="78">
        <v>40167.42626157407</v>
      </c>
      <c r="AN280" s="76" t="s">
        <v>2022</v>
      </c>
      <c r="AO280" s="76" t="s">
        <v>2307</v>
      </c>
      <c r="AP280" s="82" t="str">
        <f>HYPERLINK("https://t.co/LhecLereaz")</f>
        <v>https://t.co/LhecLereaz</v>
      </c>
      <c r="AQ280" s="82" t="str">
        <f>HYPERLINK("http://www.connectedaction.net")</f>
        <v>http://www.connectedaction.net</v>
      </c>
      <c r="AR280" s="76" t="s">
        <v>2517</v>
      </c>
      <c r="AS280" s="76"/>
      <c r="AT280" s="76"/>
      <c r="AU280" s="76"/>
      <c r="AV280" s="76"/>
      <c r="AW280" s="82" t="str">
        <f>HYPERLINK("https://t.co/LhecLereaz")</f>
        <v>https://t.co/LhecLereaz</v>
      </c>
      <c r="AX280" s="76" t="b">
        <v>0</v>
      </c>
      <c r="AY280" s="76" t="b">
        <v>1</v>
      </c>
      <c r="AZ280" s="76" t="b">
        <v>1</v>
      </c>
      <c r="BA280" s="76" t="b">
        <v>1</v>
      </c>
      <c r="BB280" s="76" t="b">
        <v>1</v>
      </c>
      <c r="BC280" s="76" t="b">
        <v>1</v>
      </c>
      <c r="BD280" s="76" t="b">
        <v>0</v>
      </c>
      <c r="BE280" s="76" t="b">
        <v>0</v>
      </c>
      <c r="BF280" s="76" t="b">
        <v>0</v>
      </c>
      <c r="BG280" s="76" t="b">
        <v>0</v>
      </c>
      <c r="BH280" s="82" t="str">
        <f>HYPERLINK("https://pbs.twimg.com/profile_banners/98097823/1538797822")</f>
        <v>https://pbs.twimg.com/profile_banners/98097823/1538797822</v>
      </c>
      <c r="BI280" s="76"/>
      <c r="BJ280" s="76" t="s">
        <v>2656</v>
      </c>
      <c r="BK280" s="76" t="b">
        <v>1</v>
      </c>
      <c r="BL280" s="76"/>
      <c r="BM280" s="76" t="s">
        <v>66</v>
      </c>
      <c r="BN280" s="76" t="s">
        <v>2657</v>
      </c>
      <c r="BO280" s="82" t="str">
        <f>HYPERLINK("https://twitter.com/connectedaction")</f>
        <v>https://twitter.com/connectedaction</v>
      </c>
      <c r="BP280" s="76" t="str">
        <f>REPLACE(INDEX(GroupVertices[Group],MATCH(Vertices[[#This Row],[Vertex]],GroupVertices[Vertex],0)),1,1,"")</f>
        <v>6</v>
      </c>
      <c r="BQ280" s="45">
        <v>1</v>
      </c>
      <c r="BR280" s="46">
        <v>4.545454545454546</v>
      </c>
      <c r="BS280" s="45">
        <v>0</v>
      </c>
      <c r="BT280" s="46">
        <v>0</v>
      </c>
      <c r="BU280" s="45">
        <v>0</v>
      </c>
      <c r="BV280" s="46">
        <v>0</v>
      </c>
      <c r="BW280" s="45">
        <v>20</v>
      </c>
      <c r="BX280" s="46">
        <v>90.9090909090909</v>
      </c>
      <c r="BY280" s="45">
        <v>22</v>
      </c>
      <c r="BZ280" s="45" t="s">
        <v>11291</v>
      </c>
      <c r="CA280" s="45" t="s">
        <v>11291</v>
      </c>
      <c r="CB280" s="45" t="s">
        <v>740</v>
      </c>
      <c r="CC280" s="45" t="s">
        <v>740</v>
      </c>
      <c r="CD280" s="45" t="s">
        <v>11352</v>
      </c>
      <c r="CE280" s="45" t="s">
        <v>11352</v>
      </c>
      <c r="CF280" s="112" t="s">
        <v>11616</v>
      </c>
      <c r="CG280" s="112" t="s">
        <v>11616</v>
      </c>
      <c r="CH280" s="112" t="s">
        <v>11671</v>
      </c>
      <c r="CI280" s="112" t="s">
        <v>11671</v>
      </c>
      <c r="CJ280" s="2"/>
    </row>
    <row r="281" spans="1:88" ht="15">
      <c r="A281" s="61" t="s">
        <v>510</v>
      </c>
      <c r="B281" s="62"/>
      <c r="C281" s="62"/>
      <c r="D281" s="63">
        <v>535</v>
      </c>
      <c r="E281" s="65"/>
      <c r="F281" s="100" t="str">
        <f>HYPERLINK("https://pbs.twimg.com/profile_images/931156393108885504/EqEMtLhM_normal.jpg")</f>
        <v>https://pbs.twimg.com/profile_images/931156393108885504/EqEMtLhM_normal.jpg</v>
      </c>
      <c r="G281" s="62"/>
      <c r="H281" s="66" t="s">
        <v>510</v>
      </c>
      <c r="I281" s="67"/>
      <c r="J281" s="67" t="s">
        <v>159</v>
      </c>
      <c r="K281" s="66" t="s">
        <v>2935</v>
      </c>
      <c r="L281" s="70">
        <v>477.0952380952381</v>
      </c>
      <c r="M281" s="71">
        <v>5527.6826171875</v>
      </c>
      <c r="N281" s="71">
        <v>2118.0419921875</v>
      </c>
      <c r="O281" s="72"/>
      <c r="P281" s="73"/>
      <c r="Q281" s="73"/>
      <c r="R281" s="86"/>
      <c r="S281" s="45">
        <v>1</v>
      </c>
      <c r="T281" s="45">
        <v>0</v>
      </c>
      <c r="U281" s="46">
        <v>0</v>
      </c>
      <c r="V281" s="46">
        <v>0.195106</v>
      </c>
      <c r="W281" s="46">
        <v>0.000653</v>
      </c>
      <c r="X281" s="46">
        <v>0.002778</v>
      </c>
      <c r="Y281" s="46">
        <v>0</v>
      </c>
      <c r="Z281" s="46">
        <v>0</v>
      </c>
      <c r="AA281" s="68">
        <v>281</v>
      </c>
      <c r="AB281" s="68"/>
      <c r="AC281" s="69"/>
      <c r="AD281" s="76" t="s">
        <v>1526</v>
      </c>
      <c r="AE281" s="80" t="s">
        <v>1819</v>
      </c>
      <c r="AF281" s="76">
        <v>5733079</v>
      </c>
      <c r="AG281" s="76">
        <v>1060</v>
      </c>
      <c r="AH281" s="76">
        <v>311666</v>
      </c>
      <c r="AI281" s="76">
        <v>46969</v>
      </c>
      <c r="AJ281" s="76">
        <v>37</v>
      </c>
      <c r="AK281" s="76">
        <v>51047</v>
      </c>
      <c r="AL281" s="76" t="b">
        <v>0</v>
      </c>
      <c r="AM281" s="78">
        <v>39826.81138888889</v>
      </c>
      <c r="AN281" s="76" t="s">
        <v>1922</v>
      </c>
      <c r="AO281" s="76" t="s">
        <v>2308</v>
      </c>
      <c r="AP281" s="82" t="str">
        <f>HYPERLINK("https://t.co/pAkU7GeWJx")</f>
        <v>https://t.co/pAkU7GeWJx</v>
      </c>
      <c r="AQ281" s="82" t="str">
        <f>HYPERLINK("http://www.ft.com/")</f>
        <v>http://www.ft.com/</v>
      </c>
      <c r="AR281" s="76" t="s">
        <v>2553</v>
      </c>
      <c r="AS281" s="76" t="s">
        <v>2593</v>
      </c>
      <c r="AT281" s="76" t="s">
        <v>2605</v>
      </c>
      <c r="AU281" s="76" t="s">
        <v>2650</v>
      </c>
      <c r="AV281" s="76"/>
      <c r="AW281" s="82" t="str">
        <f>HYPERLINK("https://t.co/pAkU7GeWJx")</f>
        <v>https://t.co/pAkU7GeWJx</v>
      </c>
      <c r="AX281" s="76" t="b">
        <v>1</v>
      </c>
      <c r="AY281" s="76"/>
      <c r="AZ281" s="76"/>
      <c r="BA281" s="76" t="b">
        <v>0</v>
      </c>
      <c r="BB281" s="76" t="b">
        <v>1</v>
      </c>
      <c r="BC281" s="76" t="b">
        <v>0</v>
      </c>
      <c r="BD281" s="76" t="b">
        <v>0</v>
      </c>
      <c r="BE281" s="76" t="b">
        <v>1</v>
      </c>
      <c r="BF281" s="76" t="b">
        <v>0</v>
      </c>
      <c r="BG281" s="76" t="b">
        <v>0</v>
      </c>
      <c r="BH281" s="82" t="str">
        <f>HYPERLINK("https://pbs.twimg.com/profile_banners/18949452/1685967419")</f>
        <v>https://pbs.twimg.com/profile_banners/18949452/1685967419</v>
      </c>
      <c r="BI281" s="76"/>
      <c r="BJ281" s="76" t="s">
        <v>2656</v>
      </c>
      <c r="BK281" s="76" t="b">
        <v>0</v>
      </c>
      <c r="BL281" s="76"/>
      <c r="BM281" s="76" t="s">
        <v>65</v>
      </c>
      <c r="BN281" s="76" t="s">
        <v>2657</v>
      </c>
      <c r="BO281" s="82" t="str">
        <f>HYPERLINK("https://twitter.com/ft")</f>
        <v>https://twitter.com/ft</v>
      </c>
      <c r="BP281" s="76" t="str">
        <f>REPLACE(INDEX(GroupVertices[Group],MATCH(Vertices[[#This Row],[Vertex]],GroupVertices[Vertex],0)),1,1,"")</f>
        <v>6</v>
      </c>
      <c r="BQ281" s="45"/>
      <c r="BR281" s="46"/>
      <c r="BS281" s="45"/>
      <c r="BT281" s="46"/>
      <c r="BU281" s="45"/>
      <c r="BV281" s="46"/>
      <c r="BW281" s="45"/>
      <c r="BX281" s="46"/>
      <c r="BY281" s="45"/>
      <c r="BZ281" s="45"/>
      <c r="CA281" s="45"/>
      <c r="CB281" s="45"/>
      <c r="CC281" s="45"/>
      <c r="CD281" s="45"/>
      <c r="CE281" s="45"/>
      <c r="CF281" s="45"/>
      <c r="CG281" s="45"/>
      <c r="CH281" s="45"/>
      <c r="CI281" s="45"/>
      <c r="CJ281" s="2"/>
    </row>
    <row r="282" spans="1:88" ht="15">
      <c r="A282" s="61" t="s">
        <v>511</v>
      </c>
      <c r="B282" s="62"/>
      <c r="C282" s="62"/>
      <c r="D282" s="63">
        <v>535</v>
      </c>
      <c r="E282" s="65"/>
      <c r="F282" s="100" t="str">
        <f>HYPERLINK("https://pbs.twimg.com/profile_images/1612379920218341377/4dtJ1Jnl_normal.jpg")</f>
        <v>https://pbs.twimg.com/profile_images/1612379920218341377/4dtJ1Jnl_normal.jpg</v>
      </c>
      <c r="G282" s="62"/>
      <c r="H282" s="66" t="s">
        <v>511</v>
      </c>
      <c r="I282" s="67"/>
      <c r="J282" s="67" t="s">
        <v>159</v>
      </c>
      <c r="K282" s="66" t="s">
        <v>2936</v>
      </c>
      <c r="L282" s="70">
        <v>477.0952380952381</v>
      </c>
      <c r="M282" s="71">
        <v>5130.15380859375</v>
      </c>
      <c r="N282" s="71">
        <v>2520.822998046875</v>
      </c>
      <c r="O282" s="72"/>
      <c r="P282" s="73"/>
      <c r="Q282" s="73"/>
      <c r="R282" s="86"/>
      <c r="S282" s="45">
        <v>1</v>
      </c>
      <c r="T282" s="45">
        <v>0</v>
      </c>
      <c r="U282" s="46">
        <v>0</v>
      </c>
      <c r="V282" s="46">
        <v>0.195106</v>
      </c>
      <c r="W282" s="46">
        <v>0.000653</v>
      </c>
      <c r="X282" s="46">
        <v>0.002778</v>
      </c>
      <c r="Y282" s="46">
        <v>0</v>
      </c>
      <c r="Z282" s="46">
        <v>0</v>
      </c>
      <c r="AA282" s="68">
        <v>282</v>
      </c>
      <c r="AB282" s="68"/>
      <c r="AC282" s="69"/>
      <c r="AD282" s="76" t="s">
        <v>1527</v>
      </c>
      <c r="AE282" s="80" t="s">
        <v>1820</v>
      </c>
      <c r="AF282" s="76">
        <v>43390</v>
      </c>
      <c r="AG282" s="76">
        <v>2778</v>
      </c>
      <c r="AH282" s="76">
        <v>17895</v>
      </c>
      <c r="AI282" s="76">
        <v>354</v>
      </c>
      <c r="AJ282" s="76">
        <v>4989</v>
      </c>
      <c r="AK282" s="76">
        <v>7575</v>
      </c>
      <c r="AL282" s="76" t="b">
        <v>0</v>
      </c>
      <c r="AM282" s="78">
        <v>41059.60460648148</v>
      </c>
      <c r="AN282" s="76" t="s">
        <v>2023</v>
      </c>
      <c r="AO282" s="76" t="s">
        <v>2309</v>
      </c>
      <c r="AP282" s="82" t="str">
        <f>HYPERLINK("https://t.co/Tq8OKZn4kM")</f>
        <v>https://t.co/Tq8OKZn4kM</v>
      </c>
      <c r="AQ282" s="82" t="str">
        <f>HYPERLINK("http://www.investeurope.eu")</f>
        <v>http://www.investeurope.eu</v>
      </c>
      <c r="AR282" s="76" t="s">
        <v>2554</v>
      </c>
      <c r="AS282" s="76"/>
      <c r="AT282" s="76"/>
      <c r="AU282" s="76"/>
      <c r="AV282" s="76">
        <v>1.69752133024395E+18</v>
      </c>
      <c r="AW282" s="82" t="str">
        <f>HYPERLINK("https://t.co/Tq8OKZn4kM")</f>
        <v>https://t.co/Tq8OKZn4kM</v>
      </c>
      <c r="AX282" s="76" t="b">
        <v>1</v>
      </c>
      <c r="AY282" s="76"/>
      <c r="AZ282" s="76"/>
      <c r="BA282" s="76" t="b">
        <v>1</v>
      </c>
      <c r="BB282" s="76" t="b">
        <v>1</v>
      </c>
      <c r="BC282" s="76" t="b">
        <v>0</v>
      </c>
      <c r="BD282" s="76" t="b">
        <v>0</v>
      </c>
      <c r="BE282" s="76" t="b">
        <v>1</v>
      </c>
      <c r="BF282" s="76" t="b">
        <v>0</v>
      </c>
      <c r="BG282" s="76" t="b">
        <v>0</v>
      </c>
      <c r="BH282" s="82" t="str">
        <f>HYPERLINK("https://pbs.twimg.com/profile_banners/594719820/1693572831")</f>
        <v>https://pbs.twimg.com/profile_banners/594719820/1693572831</v>
      </c>
      <c r="BI282" s="76"/>
      <c r="BJ282" s="76" t="s">
        <v>2656</v>
      </c>
      <c r="BK282" s="76" t="b">
        <v>0</v>
      </c>
      <c r="BL282" s="76"/>
      <c r="BM282" s="76" t="s">
        <v>65</v>
      </c>
      <c r="BN282" s="76" t="s">
        <v>2657</v>
      </c>
      <c r="BO282" s="82" t="str">
        <f>HYPERLINK("https://twitter.com/investeuropeeu")</f>
        <v>https://twitter.com/investeuropeeu</v>
      </c>
      <c r="BP282" s="76" t="str">
        <f>REPLACE(INDEX(GroupVertices[Group],MATCH(Vertices[[#This Row],[Vertex]],GroupVertices[Vertex],0)),1,1,"")</f>
        <v>6</v>
      </c>
      <c r="BQ282" s="45"/>
      <c r="BR282" s="46"/>
      <c r="BS282" s="45"/>
      <c r="BT282" s="46"/>
      <c r="BU282" s="45"/>
      <c r="BV282" s="46"/>
      <c r="BW282" s="45"/>
      <c r="BX282" s="46"/>
      <c r="BY282" s="45"/>
      <c r="BZ282" s="45"/>
      <c r="CA282" s="45"/>
      <c r="CB282" s="45"/>
      <c r="CC282" s="45"/>
      <c r="CD282" s="45"/>
      <c r="CE282" s="45"/>
      <c r="CF282" s="45"/>
      <c r="CG282" s="45"/>
      <c r="CH282" s="45"/>
      <c r="CI282" s="45"/>
      <c r="CJ282" s="2"/>
    </row>
    <row r="283" spans="1:88" ht="15">
      <c r="A283" s="61" t="s">
        <v>512</v>
      </c>
      <c r="B283" s="62"/>
      <c r="C283" s="62"/>
      <c r="D283" s="63">
        <v>535</v>
      </c>
      <c r="E283" s="65"/>
      <c r="F283" s="100" t="str">
        <f>HYPERLINK("https://pbs.twimg.com/profile_images/1612604603433947136/le1ekzh0_normal.jpg")</f>
        <v>https://pbs.twimg.com/profile_images/1612604603433947136/le1ekzh0_normal.jpg</v>
      </c>
      <c r="G283" s="62"/>
      <c r="H283" s="66" t="s">
        <v>512</v>
      </c>
      <c r="I283" s="67"/>
      <c r="J283" s="67" t="s">
        <v>159</v>
      </c>
      <c r="K283" s="66" t="s">
        <v>2937</v>
      </c>
      <c r="L283" s="70">
        <v>477.0952380952381</v>
      </c>
      <c r="M283" s="71">
        <v>5551.79541015625</v>
      </c>
      <c r="N283" s="71">
        <v>569.998779296875</v>
      </c>
      <c r="O283" s="72"/>
      <c r="P283" s="73"/>
      <c r="Q283" s="73"/>
      <c r="R283" s="86"/>
      <c r="S283" s="45">
        <v>1</v>
      </c>
      <c r="T283" s="45">
        <v>0</v>
      </c>
      <c r="U283" s="46">
        <v>0</v>
      </c>
      <c r="V283" s="46">
        <v>0.195106</v>
      </c>
      <c r="W283" s="46">
        <v>0.000653</v>
      </c>
      <c r="X283" s="46">
        <v>0.002778</v>
      </c>
      <c r="Y283" s="46">
        <v>0</v>
      </c>
      <c r="Z283" s="46">
        <v>0</v>
      </c>
      <c r="AA283" s="68">
        <v>283</v>
      </c>
      <c r="AB283" s="68"/>
      <c r="AC283" s="69"/>
      <c r="AD283" s="76" t="s">
        <v>1528</v>
      </c>
      <c r="AE283" s="80" t="s">
        <v>1821</v>
      </c>
      <c r="AF283" s="76">
        <v>225432</v>
      </c>
      <c r="AG283" s="76">
        <v>12043</v>
      </c>
      <c r="AH283" s="76">
        <v>21154</v>
      </c>
      <c r="AI283" s="76">
        <v>1821</v>
      </c>
      <c r="AJ283" s="76">
        <v>5281</v>
      </c>
      <c r="AK283" s="76">
        <v>3124</v>
      </c>
      <c r="AL283" s="76" t="b">
        <v>0</v>
      </c>
      <c r="AM283" s="78">
        <v>39874.72956018519</v>
      </c>
      <c r="AN283" s="76" t="s">
        <v>2024</v>
      </c>
      <c r="AO283" s="76" t="s">
        <v>2310</v>
      </c>
      <c r="AP283" s="82" t="str">
        <f>HYPERLINK("https://t.co/A8ITeeVT9G")</f>
        <v>https://t.co/A8ITeeVT9G</v>
      </c>
      <c r="AQ283" s="82" t="str">
        <f>HYPERLINK("https://oversight.house.gov/")</f>
        <v>https://oversight.house.gov/</v>
      </c>
      <c r="AR283" s="76" t="s">
        <v>2555</v>
      </c>
      <c r="AS283" s="76"/>
      <c r="AT283" s="76"/>
      <c r="AU283" s="76"/>
      <c r="AV283" s="76">
        <v>1.69942339721254E+18</v>
      </c>
      <c r="AW283" s="82" t="str">
        <f>HYPERLINK("https://t.co/A8ITeeVT9G")</f>
        <v>https://t.co/A8ITeeVT9G</v>
      </c>
      <c r="AX283" s="76" t="b">
        <v>1</v>
      </c>
      <c r="AY283" s="76"/>
      <c r="AZ283" s="76"/>
      <c r="BA283" s="76" t="b">
        <v>0</v>
      </c>
      <c r="BB283" s="76" t="b">
        <v>0</v>
      </c>
      <c r="BC283" s="76" t="b">
        <v>0</v>
      </c>
      <c r="BD283" s="76" t="b">
        <v>0</v>
      </c>
      <c r="BE283" s="76" t="b">
        <v>1</v>
      </c>
      <c r="BF283" s="76" t="b">
        <v>0</v>
      </c>
      <c r="BG283" s="76" t="b">
        <v>0</v>
      </c>
      <c r="BH283" s="82" t="str">
        <f>HYPERLINK("https://pbs.twimg.com/profile_banners/22508473/1673309873")</f>
        <v>https://pbs.twimg.com/profile_banners/22508473/1673309873</v>
      </c>
      <c r="BI283" s="76"/>
      <c r="BJ283" s="76" t="s">
        <v>2656</v>
      </c>
      <c r="BK283" s="76" t="b">
        <v>0</v>
      </c>
      <c r="BL283" s="76"/>
      <c r="BM283" s="76" t="s">
        <v>65</v>
      </c>
      <c r="BN283" s="76" t="s">
        <v>2657</v>
      </c>
      <c r="BO283" s="82" t="str">
        <f>HYPERLINK("https://twitter.com/gopoversight")</f>
        <v>https://twitter.com/gopoversight</v>
      </c>
      <c r="BP283" s="76" t="str">
        <f>REPLACE(INDEX(GroupVertices[Group],MATCH(Vertices[[#This Row],[Vertex]],GroupVertices[Vertex],0)),1,1,"")</f>
        <v>6</v>
      </c>
      <c r="BQ283" s="45"/>
      <c r="BR283" s="46"/>
      <c r="BS283" s="45"/>
      <c r="BT283" s="46"/>
      <c r="BU283" s="45"/>
      <c r="BV283" s="46"/>
      <c r="BW283" s="45"/>
      <c r="BX283" s="46"/>
      <c r="BY283" s="45"/>
      <c r="BZ283" s="45"/>
      <c r="CA283" s="45"/>
      <c r="CB283" s="45"/>
      <c r="CC283" s="45"/>
      <c r="CD283" s="45"/>
      <c r="CE283" s="45"/>
      <c r="CF283" s="45"/>
      <c r="CG283" s="45"/>
      <c r="CH283" s="45"/>
      <c r="CI283" s="45"/>
      <c r="CJ283" s="2"/>
    </row>
    <row r="284" spans="1:88" ht="15">
      <c r="A284" s="61" t="s">
        <v>513</v>
      </c>
      <c r="B284" s="62"/>
      <c r="C284" s="62"/>
      <c r="D284" s="63">
        <v>535</v>
      </c>
      <c r="E284" s="65"/>
      <c r="F284" s="100" t="str">
        <f>HYPERLINK("https://pbs.twimg.com/profile_images/2708846769/f45e90b9745e0fe4017c307899dc483e_normal.jpeg")</f>
        <v>https://pbs.twimg.com/profile_images/2708846769/f45e90b9745e0fe4017c307899dc483e_normal.jpeg</v>
      </c>
      <c r="G284" s="62"/>
      <c r="H284" s="66" t="s">
        <v>513</v>
      </c>
      <c r="I284" s="67"/>
      <c r="J284" s="67" t="s">
        <v>159</v>
      </c>
      <c r="K284" s="66" t="s">
        <v>2938</v>
      </c>
      <c r="L284" s="70">
        <v>477.0952380952381</v>
      </c>
      <c r="M284" s="71">
        <v>5911.1640625</v>
      </c>
      <c r="N284" s="71">
        <v>749.1145629882812</v>
      </c>
      <c r="O284" s="72"/>
      <c r="P284" s="73"/>
      <c r="Q284" s="73"/>
      <c r="R284" s="86"/>
      <c r="S284" s="45">
        <v>1</v>
      </c>
      <c r="T284" s="45">
        <v>0</v>
      </c>
      <c r="U284" s="46">
        <v>0</v>
      </c>
      <c r="V284" s="46">
        <v>0.195106</v>
      </c>
      <c r="W284" s="46">
        <v>0.000653</v>
      </c>
      <c r="X284" s="46">
        <v>0.002778</v>
      </c>
      <c r="Y284" s="46">
        <v>0</v>
      </c>
      <c r="Z284" s="46">
        <v>0</v>
      </c>
      <c r="AA284" s="68">
        <v>284</v>
      </c>
      <c r="AB284" s="68"/>
      <c r="AC284" s="69"/>
      <c r="AD284" s="76" t="s">
        <v>1529</v>
      </c>
      <c r="AE284" s="80" t="s">
        <v>1822</v>
      </c>
      <c r="AF284" s="76">
        <v>243</v>
      </c>
      <c r="AG284" s="76">
        <v>870</v>
      </c>
      <c r="AH284" s="76">
        <v>8784</v>
      </c>
      <c r="AI284" s="76">
        <v>9</v>
      </c>
      <c r="AJ284" s="76">
        <v>2129</v>
      </c>
      <c r="AK284" s="76">
        <v>2379</v>
      </c>
      <c r="AL284" s="76" t="b">
        <v>0</v>
      </c>
      <c r="AM284" s="78">
        <v>41132.965775462966</v>
      </c>
      <c r="AN284" s="76" t="s">
        <v>2025</v>
      </c>
      <c r="AO284" s="76" t="s">
        <v>2311</v>
      </c>
      <c r="AP284" s="76"/>
      <c r="AQ284" s="76"/>
      <c r="AR284" s="76"/>
      <c r="AS284" s="76"/>
      <c r="AT284" s="76"/>
      <c r="AU284" s="76"/>
      <c r="AV284" s="76">
        <v>1.59918717512326E+18</v>
      </c>
      <c r="AW284" s="76"/>
      <c r="AX284" s="76" t="b">
        <v>1</v>
      </c>
      <c r="AY284" s="76"/>
      <c r="AZ284" s="76"/>
      <c r="BA284" s="76" t="b">
        <v>0</v>
      </c>
      <c r="BB284" s="76" t="b">
        <v>1</v>
      </c>
      <c r="BC284" s="76" t="b">
        <v>1</v>
      </c>
      <c r="BD284" s="76" t="b">
        <v>0</v>
      </c>
      <c r="BE284" s="76" t="b">
        <v>1</v>
      </c>
      <c r="BF284" s="76" t="b">
        <v>0</v>
      </c>
      <c r="BG284" s="76" t="b">
        <v>0</v>
      </c>
      <c r="BH284" s="82" t="str">
        <f>HYPERLINK("https://pbs.twimg.com/profile_banners/752063053/1684188178")</f>
        <v>https://pbs.twimg.com/profile_banners/752063053/1684188178</v>
      </c>
      <c r="BI284" s="76"/>
      <c r="BJ284" s="76" t="s">
        <v>2656</v>
      </c>
      <c r="BK284" s="76" t="b">
        <v>0</v>
      </c>
      <c r="BL284" s="76"/>
      <c r="BM284" s="76" t="s">
        <v>65</v>
      </c>
      <c r="BN284" s="76" t="s">
        <v>2657</v>
      </c>
      <c r="BO284" s="82" t="str">
        <f>HYPERLINK("https://twitter.com/nostatusquono")</f>
        <v>https://twitter.com/nostatusquono</v>
      </c>
      <c r="BP284" s="76" t="str">
        <f>REPLACE(INDEX(GroupVertices[Group],MATCH(Vertices[[#This Row],[Vertex]],GroupVertices[Vertex],0)),1,1,"")</f>
        <v>6</v>
      </c>
      <c r="BQ284" s="45"/>
      <c r="BR284" s="46"/>
      <c r="BS284" s="45"/>
      <c r="BT284" s="46"/>
      <c r="BU284" s="45"/>
      <c r="BV284" s="46"/>
      <c r="BW284" s="45"/>
      <c r="BX284" s="46"/>
      <c r="BY284" s="45"/>
      <c r="BZ284" s="45"/>
      <c r="CA284" s="45"/>
      <c r="CB284" s="45"/>
      <c r="CC284" s="45"/>
      <c r="CD284" s="45"/>
      <c r="CE284" s="45"/>
      <c r="CF284" s="45"/>
      <c r="CG284" s="45"/>
      <c r="CH284" s="45"/>
      <c r="CI284" s="45"/>
      <c r="CJ284" s="2"/>
    </row>
    <row r="285" spans="1:88" ht="15">
      <c r="A285" s="61" t="s">
        <v>514</v>
      </c>
      <c r="B285" s="62"/>
      <c r="C285" s="62"/>
      <c r="D285" s="63">
        <v>535</v>
      </c>
      <c r="E285" s="65"/>
      <c r="F285" s="100" t="str">
        <f>HYPERLINK("https://pbs.twimg.com/profile_images/2533797248/rjwuag87gkyurj2y6ynm_normal.jpeg")</f>
        <v>https://pbs.twimg.com/profile_images/2533797248/rjwuag87gkyurj2y6ynm_normal.jpeg</v>
      </c>
      <c r="G285" s="62"/>
      <c r="H285" s="66" t="s">
        <v>514</v>
      </c>
      <c r="I285" s="67"/>
      <c r="J285" s="67" t="s">
        <v>159</v>
      </c>
      <c r="K285" s="66" t="s">
        <v>2939</v>
      </c>
      <c r="L285" s="70">
        <v>477.0952380952381</v>
      </c>
      <c r="M285" s="71">
        <v>5498.38525390625</v>
      </c>
      <c r="N285" s="71">
        <v>2632.089599609375</v>
      </c>
      <c r="O285" s="72"/>
      <c r="P285" s="73"/>
      <c r="Q285" s="73"/>
      <c r="R285" s="86"/>
      <c r="S285" s="45">
        <v>1</v>
      </c>
      <c r="T285" s="45">
        <v>0</v>
      </c>
      <c r="U285" s="46">
        <v>0</v>
      </c>
      <c r="V285" s="46">
        <v>0.195106</v>
      </c>
      <c r="W285" s="46">
        <v>0.000653</v>
      </c>
      <c r="X285" s="46">
        <v>0.002778</v>
      </c>
      <c r="Y285" s="46">
        <v>0</v>
      </c>
      <c r="Z285" s="46">
        <v>0</v>
      </c>
      <c r="AA285" s="68">
        <v>285</v>
      </c>
      <c r="AB285" s="68"/>
      <c r="AC285" s="69"/>
      <c r="AD285" s="76" t="s">
        <v>1530</v>
      </c>
      <c r="AE285" s="80" t="s">
        <v>1823</v>
      </c>
      <c r="AF285" s="76">
        <v>9456</v>
      </c>
      <c r="AG285" s="76">
        <v>1707</v>
      </c>
      <c r="AH285" s="76">
        <v>293323</v>
      </c>
      <c r="AI285" s="76">
        <v>751</v>
      </c>
      <c r="AJ285" s="76">
        <v>69</v>
      </c>
      <c r="AK285" s="76">
        <v>21445</v>
      </c>
      <c r="AL285" s="76" t="b">
        <v>0</v>
      </c>
      <c r="AM285" s="78">
        <v>39625.9009375</v>
      </c>
      <c r="AN285" s="76" t="s">
        <v>2026</v>
      </c>
      <c r="AO285" s="76" t="s">
        <v>2312</v>
      </c>
      <c r="AP285" s="82" t="str">
        <f>HYPERLINK("http://t.co/QAPz8gvAXa")</f>
        <v>http://t.co/QAPz8gvAXa</v>
      </c>
      <c r="AQ285" s="82" t="str">
        <f>HYPERLINK("http://about.me/Barbara.Duck")</f>
        <v>http://about.me/Barbara.Duck</v>
      </c>
      <c r="AR285" s="76" t="s">
        <v>2556</v>
      </c>
      <c r="AS285" s="76"/>
      <c r="AT285" s="76"/>
      <c r="AU285" s="76"/>
      <c r="AV285" s="76"/>
      <c r="AW285" s="82" t="str">
        <f>HYPERLINK("http://t.co/QAPz8gvAXa")</f>
        <v>http://t.co/QAPz8gvAXa</v>
      </c>
      <c r="AX285" s="76" t="b">
        <v>0</v>
      </c>
      <c r="AY285" s="76"/>
      <c r="AZ285" s="76"/>
      <c r="BA285" s="76" t="b">
        <v>1</v>
      </c>
      <c r="BB285" s="76" t="b">
        <v>0</v>
      </c>
      <c r="BC285" s="76" t="b">
        <v>0</v>
      </c>
      <c r="BD285" s="76" t="b">
        <v>0</v>
      </c>
      <c r="BE285" s="76" t="b">
        <v>0</v>
      </c>
      <c r="BF285" s="76" t="b">
        <v>0</v>
      </c>
      <c r="BG285" s="76" t="b">
        <v>0</v>
      </c>
      <c r="BH285" s="82" t="str">
        <f>HYPERLINK("https://pbs.twimg.com/profile_banners/15248550/1399422130")</f>
        <v>https://pbs.twimg.com/profile_banners/15248550/1399422130</v>
      </c>
      <c r="BI285" s="76"/>
      <c r="BJ285" s="76" t="s">
        <v>2656</v>
      </c>
      <c r="BK285" s="76" t="b">
        <v>0</v>
      </c>
      <c r="BL285" s="76"/>
      <c r="BM285" s="76" t="s">
        <v>65</v>
      </c>
      <c r="BN285" s="76" t="s">
        <v>2657</v>
      </c>
      <c r="BO285" s="82" t="str">
        <f>HYPERLINK("https://twitter.com/medicalquack")</f>
        <v>https://twitter.com/medicalquack</v>
      </c>
      <c r="BP285" s="76" t="str">
        <f>REPLACE(INDEX(GroupVertices[Group],MATCH(Vertices[[#This Row],[Vertex]],GroupVertices[Vertex],0)),1,1,"")</f>
        <v>6</v>
      </c>
      <c r="BQ285" s="45"/>
      <c r="BR285" s="46"/>
      <c r="BS285" s="45"/>
      <c r="BT285" s="46"/>
      <c r="BU285" s="45"/>
      <c r="BV285" s="46"/>
      <c r="BW285" s="45"/>
      <c r="BX285" s="46"/>
      <c r="BY285" s="45"/>
      <c r="BZ285" s="45"/>
      <c r="CA285" s="45"/>
      <c r="CB285" s="45"/>
      <c r="CC285" s="45"/>
      <c r="CD285" s="45"/>
      <c r="CE285" s="45"/>
      <c r="CF285" s="45"/>
      <c r="CG285" s="45"/>
      <c r="CH285" s="45"/>
      <c r="CI285" s="45"/>
      <c r="CJ285" s="2"/>
    </row>
    <row r="286" spans="1:88" ht="15">
      <c r="A286" s="61" t="s">
        <v>515</v>
      </c>
      <c r="B286" s="62"/>
      <c r="C286" s="62"/>
      <c r="D286" s="63">
        <v>535</v>
      </c>
      <c r="E286" s="65"/>
      <c r="F286" s="100" t="str">
        <f>HYPERLINK("https://pbs.twimg.com/profile_images/1161560033533890560/EXNBDObD_normal.jpg")</f>
        <v>https://pbs.twimg.com/profile_images/1161560033533890560/EXNBDObD_normal.jpg</v>
      </c>
      <c r="G286" s="62"/>
      <c r="H286" s="66" t="s">
        <v>515</v>
      </c>
      <c r="I286" s="67"/>
      <c r="J286" s="67" t="s">
        <v>159</v>
      </c>
      <c r="K286" s="66" t="s">
        <v>2940</v>
      </c>
      <c r="L286" s="70">
        <v>477.0952380952381</v>
      </c>
      <c r="M286" s="71">
        <v>6030.349609375</v>
      </c>
      <c r="N286" s="71">
        <v>1829.1627197265625</v>
      </c>
      <c r="O286" s="72"/>
      <c r="P286" s="73"/>
      <c r="Q286" s="73"/>
      <c r="R286" s="86"/>
      <c r="S286" s="45">
        <v>1</v>
      </c>
      <c r="T286" s="45">
        <v>0</v>
      </c>
      <c r="U286" s="46">
        <v>0</v>
      </c>
      <c r="V286" s="46">
        <v>0.195106</v>
      </c>
      <c r="W286" s="46">
        <v>0.000653</v>
      </c>
      <c r="X286" s="46">
        <v>0.002778</v>
      </c>
      <c r="Y286" s="46">
        <v>0</v>
      </c>
      <c r="Z286" s="46">
        <v>0</v>
      </c>
      <c r="AA286" s="68">
        <v>286</v>
      </c>
      <c r="AB286" s="68"/>
      <c r="AC286" s="69"/>
      <c r="AD286" s="76" t="s">
        <v>1531</v>
      </c>
      <c r="AE286" s="80" t="s">
        <v>1824</v>
      </c>
      <c r="AF286" s="76">
        <v>3054</v>
      </c>
      <c r="AG286" s="76">
        <v>503</v>
      </c>
      <c r="AH286" s="76">
        <v>8620</v>
      </c>
      <c r="AI286" s="76">
        <v>211</v>
      </c>
      <c r="AJ286" s="76">
        <v>1936</v>
      </c>
      <c r="AK286" s="76">
        <v>123</v>
      </c>
      <c r="AL286" s="76" t="b">
        <v>0</v>
      </c>
      <c r="AM286" s="78">
        <v>40958.93547453704</v>
      </c>
      <c r="AN286" s="76" t="s">
        <v>2027</v>
      </c>
      <c r="AO286" s="76" t="s">
        <v>2313</v>
      </c>
      <c r="AP286" s="76"/>
      <c r="AQ286" s="76"/>
      <c r="AR286" s="76"/>
      <c r="AS286" s="76"/>
      <c r="AT286" s="76"/>
      <c r="AU286" s="76"/>
      <c r="AV286" s="76"/>
      <c r="AW286" s="76"/>
      <c r="AX286" s="76" t="b">
        <v>0</v>
      </c>
      <c r="AY286" s="76"/>
      <c r="AZ286" s="76"/>
      <c r="BA286" s="76" t="b">
        <v>0</v>
      </c>
      <c r="BB286" s="76" t="b">
        <v>0</v>
      </c>
      <c r="BC286" s="76" t="b">
        <v>0</v>
      </c>
      <c r="BD286" s="76" t="b">
        <v>0</v>
      </c>
      <c r="BE286" s="76" t="b">
        <v>1</v>
      </c>
      <c r="BF286" s="76" t="b">
        <v>0</v>
      </c>
      <c r="BG286" s="76" t="b">
        <v>0</v>
      </c>
      <c r="BH286" s="82" t="str">
        <f>HYPERLINK("https://pbs.twimg.com/profile_banners/497363497/1567836666")</f>
        <v>https://pbs.twimg.com/profile_banners/497363497/1567836666</v>
      </c>
      <c r="BI286" s="76"/>
      <c r="BJ286" s="76" t="s">
        <v>2656</v>
      </c>
      <c r="BK286" s="76" t="b">
        <v>0</v>
      </c>
      <c r="BL286" s="76"/>
      <c r="BM286" s="76" t="s">
        <v>65</v>
      </c>
      <c r="BN286" s="76" t="s">
        <v>2657</v>
      </c>
      <c r="BO286" s="82" t="str">
        <f>HYPERLINK("https://twitter.com/ttfacer")</f>
        <v>https://twitter.com/ttfacer</v>
      </c>
      <c r="BP286" s="76" t="str">
        <f>REPLACE(INDEX(GroupVertices[Group],MATCH(Vertices[[#This Row],[Vertex]],GroupVertices[Vertex],0)),1,1,"")</f>
        <v>6</v>
      </c>
      <c r="BQ286" s="45"/>
      <c r="BR286" s="46"/>
      <c r="BS286" s="45"/>
      <c r="BT286" s="46"/>
      <c r="BU286" s="45"/>
      <c r="BV286" s="46"/>
      <c r="BW286" s="45"/>
      <c r="BX286" s="46"/>
      <c r="BY286" s="45"/>
      <c r="BZ286" s="45"/>
      <c r="CA286" s="45"/>
      <c r="CB286" s="45"/>
      <c r="CC286" s="45"/>
      <c r="CD286" s="45"/>
      <c r="CE286" s="45"/>
      <c r="CF286" s="45"/>
      <c r="CG286" s="45"/>
      <c r="CH286" s="45"/>
      <c r="CI286" s="45"/>
      <c r="CJ286" s="2"/>
    </row>
    <row r="287" spans="1:88" ht="15">
      <c r="A287" s="61" t="s">
        <v>516</v>
      </c>
      <c r="B287" s="62"/>
      <c r="C287" s="62"/>
      <c r="D287" s="63">
        <v>535</v>
      </c>
      <c r="E287" s="65"/>
      <c r="F287" s="100" t="str">
        <f>HYPERLINK("https://pbs.twimg.com/profile_images/1567704552283193345/wMLFemzm_normal.jpg")</f>
        <v>https://pbs.twimg.com/profile_images/1567704552283193345/wMLFemzm_normal.jpg</v>
      </c>
      <c r="G287" s="62"/>
      <c r="H287" s="66" t="s">
        <v>516</v>
      </c>
      <c r="I287" s="67"/>
      <c r="J287" s="67" t="s">
        <v>159</v>
      </c>
      <c r="K287" s="66" t="s">
        <v>2941</v>
      </c>
      <c r="L287" s="70">
        <v>477.0952380952381</v>
      </c>
      <c r="M287" s="71">
        <v>5675.6708984375</v>
      </c>
      <c r="N287" s="71">
        <v>1123.397705078125</v>
      </c>
      <c r="O287" s="72"/>
      <c r="P287" s="73"/>
      <c r="Q287" s="73"/>
      <c r="R287" s="86"/>
      <c r="S287" s="45">
        <v>1</v>
      </c>
      <c r="T287" s="45">
        <v>0</v>
      </c>
      <c r="U287" s="46">
        <v>0</v>
      </c>
      <c r="V287" s="46">
        <v>0.195106</v>
      </c>
      <c r="W287" s="46">
        <v>0.000653</v>
      </c>
      <c r="X287" s="46">
        <v>0.002778</v>
      </c>
      <c r="Y287" s="46">
        <v>0</v>
      </c>
      <c r="Z287" s="46">
        <v>0</v>
      </c>
      <c r="AA287" s="68">
        <v>287</v>
      </c>
      <c r="AB287" s="68"/>
      <c r="AC287" s="69"/>
      <c r="AD287" s="76" t="s">
        <v>1532</v>
      </c>
      <c r="AE287" s="80" t="s">
        <v>1825</v>
      </c>
      <c r="AF287" s="76">
        <v>410932</v>
      </c>
      <c r="AG287" s="76">
        <v>356</v>
      </c>
      <c r="AH287" s="76">
        <v>11304</v>
      </c>
      <c r="AI287" s="76">
        <v>2340</v>
      </c>
      <c r="AJ287" s="76">
        <v>9673</v>
      </c>
      <c r="AK287" s="76">
        <v>3593</v>
      </c>
      <c r="AL287" s="76" t="b">
        <v>0</v>
      </c>
      <c r="AM287" s="78">
        <v>43664.74582175926</v>
      </c>
      <c r="AN287" s="76" t="s">
        <v>2028</v>
      </c>
      <c r="AO287" s="76" t="s">
        <v>2314</v>
      </c>
      <c r="AP287" s="82" t="str">
        <f>HYPERLINK("https://t.co/xcyQcehzt2")</f>
        <v>https://t.co/xcyQcehzt2</v>
      </c>
      <c r="AQ287" s="82" t="str">
        <f>HYPERLINK("https://linktr.ee/jacksonhinkle")</f>
        <v>https://linktr.ee/jacksonhinkle</v>
      </c>
      <c r="AR287" s="76" t="s">
        <v>2557</v>
      </c>
      <c r="AS287" s="82" t="str">
        <f>HYPERLINK("https://t.co/QVNU7HIQ9F")</f>
        <v>https://t.co/QVNU7HIQ9F</v>
      </c>
      <c r="AT287" s="82" t="str">
        <f>HYPERLINK("http://youtube.com/@TheDivewithJacksonHinkle")</f>
        <v>http://youtube.com/@TheDivewithJacksonHinkle</v>
      </c>
      <c r="AU287" s="76" t="s">
        <v>2651</v>
      </c>
      <c r="AV287" s="76">
        <v>1.56731184442731E+18</v>
      </c>
      <c r="AW287" s="82" t="str">
        <f>HYPERLINK("https://t.co/xcyQcehzt2")</f>
        <v>https://t.co/xcyQcehzt2</v>
      </c>
      <c r="AX287" s="76" t="b">
        <v>1</v>
      </c>
      <c r="AY287" s="76"/>
      <c r="AZ287" s="76"/>
      <c r="BA287" s="76" t="b">
        <v>1</v>
      </c>
      <c r="BB287" s="76" t="b">
        <v>1</v>
      </c>
      <c r="BC287" s="76" t="b">
        <v>1</v>
      </c>
      <c r="BD287" s="76" t="b">
        <v>0</v>
      </c>
      <c r="BE287" s="76" t="b">
        <v>1</v>
      </c>
      <c r="BF287" s="76" t="b">
        <v>0</v>
      </c>
      <c r="BG287" s="76" t="b">
        <v>0</v>
      </c>
      <c r="BH287" s="82" t="str">
        <f>HYPERLINK("https://pbs.twimg.com/profile_banners/1151913018936053760/1676006745")</f>
        <v>https://pbs.twimg.com/profile_banners/1151913018936053760/1676006745</v>
      </c>
      <c r="BI287" s="76"/>
      <c r="BJ287" s="76" t="s">
        <v>2656</v>
      </c>
      <c r="BK287" s="76" t="b">
        <v>0</v>
      </c>
      <c r="BL287" s="76"/>
      <c r="BM287" s="76" t="s">
        <v>65</v>
      </c>
      <c r="BN287" s="76" t="s">
        <v>2657</v>
      </c>
      <c r="BO287" s="82" t="str">
        <f>HYPERLINK("https://twitter.com/jacksonhinklle")</f>
        <v>https://twitter.com/jacksonhinklle</v>
      </c>
      <c r="BP287" s="76" t="str">
        <f>REPLACE(INDEX(GroupVertices[Group],MATCH(Vertices[[#This Row],[Vertex]],GroupVertices[Vertex],0)),1,1,"")</f>
        <v>6</v>
      </c>
      <c r="BQ287" s="45"/>
      <c r="BR287" s="46"/>
      <c r="BS287" s="45"/>
      <c r="BT287" s="46"/>
      <c r="BU287" s="45"/>
      <c r="BV287" s="46"/>
      <c r="BW287" s="45"/>
      <c r="BX287" s="46"/>
      <c r="BY287" s="45"/>
      <c r="BZ287" s="45"/>
      <c r="CA287" s="45"/>
      <c r="CB287" s="45"/>
      <c r="CC287" s="45"/>
      <c r="CD287" s="45"/>
      <c r="CE287" s="45"/>
      <c r="CF287" s="45"/>
      <c r="CG287" s="45"/>
      <c r="CH287" s="45"/>
      <c r="CI287" s="45"/>
      <c r="CJ287" s="2"/>
    </row>
    <row r="288" spans="1:88" ht="15">
      <c r="A288" s="61" t="s">
        <v>517</v>
      </c>
      <c r="B288" s="62"/>
      <c r="C288" s="62"/>
      <c r="D288" s="63">
        <v>535</v>
      </c>
      <c r="E288" s="65"/>
      <c r="F288" s="100" t="str">
        <f>HYPERLINK("https://pbs.twimg.com/profile_images/971415515754266624/zCX0q9d5_normal.jpg")</f>
        <v>https://pbs.twimg.com/profile_images/971415515754266624/zCX0q9d5_normal.jpg</v>
      </c>
      <c r="G288" s="62"/>
      <c r="H288" s="66" t="s">
        <v>517</v>
      </c>
      <c r="I288" s="67"/>
      <c r="J288" s="67" t="s">
        <v>159</v>
      </c>
      <c r="K288" s="66" t="s">
        <v>2942</v>
      </c>
      <c r="L288" s="70">
        <v>477.0952380952381</v>
      </c>
      <c r="M288" s="71">
        <v>5881.72607421875</v>
      </c>
      <c r="N288" s="71">
        <v>2311.147705078125</v>
      </c>
      <c r="O288" s="72"/>
      <c r="P288" s="73"/>
      <c r="Q288" s="73"/>
      <c r="R288" s="86"/>
      <c r="S288" s="45">
        <v>1</v>
      </c>
      <c r="T288" s="45">
        <v>0</v>
      </c>
      <c r="U288" s="46">
        <v>0</v>
      </c>
      <c r="V288" s="46">
        <v>0.195106</v>
      </c>
      <c r="W288" s="46">
        <v>0.000653</v>
      </c>
      <c r="X288" s="46">
        <v>0.002778</v>
      </c>
      <c r="Y288" s="46">
        <v>0</v>
      </c>
      <c r="Z288" s="46">
        <v>0</v>
      </c>
      <c r="AA288" s="68">
        <v>288</v>
      </c>
      <c r="AB288" s="68"/>
      <c r="AC288" s="69"/>
      <c r="AD288" s="76" t="s">
        <v>1533</v>
      </c>
      <c r="AE288" s="80" t="s">
        <v>1826</v>
      </c>
      <c r="AF288" s="76">
        <v>20547739</v>
      </c>
      <c r="AG288" s="76">
        <v>1093</v>
      </c>
      <c r="AH288" s="76">
        <v>418416</v>
      </c>
      <c r="AI288" s="76">
        <v>128485</v>
      </c>
      <c r="AJ288" s="76">
        <v>1129</v>
      </c>
      <c r="AK288" s="76">
        <v>46343</v>
      </c>
      <c r="AL288" s="76" t="b">
        <v>0</v>
      </c>
      <c r="AM288" s="78">
        <v>39173.26542824074</v>
      </c>
      <c r="AN288" s="76" t="s">
        <v>1977</v>
      </c>
      <c r="AO288" s="76" t="s">
        <v>2315</v>
      </c>
      <c r="AP288" s="82" t="str">
        <f>HYPERLINK("https://t.co/9rMrYLEXTt")</f>
        <v>https://t.co/9rMrYLEXTt</v>
      </c>
      <c r="AQ288" s="82" t="str">
        <f>HYPERLINK("http://wsj.com")</f>
        <v>http://wsj.com</v>
      </c>
      <c r="AR288" s="76" t="s">
        <v>2558</v>
      </c>
      <c r="AS288" s="76" t="s">
        <v>2594</v>
      </c>
      <c r="AT288" s="76" t="s">
        <v>2606</v>
      </c>
      <c r="AU288" s="76" t="s">
        <v>2652</v>
      </c>
      <c r="AV288" s="76">
        <v>1.69942613487661E+18</v>
      </c>
      <c r="AW288" s="82" t="str">
        <f>HYPERLINK("https://t.co/9rMrYLEXTt")</f>
        <v>https://t.co/9rMrYLEXTt</v>
      </c>
      <c r="AX288" s="76" t="b">
        <v>1</v>
      </c>
      <c r="AY288" s="76"/>
      <c r="AZ288" s="76"/>
      <c r="BA288" s="76" t="b">
        <v>0</v>
      </c>
      <c r="BB288" s="76" t="b">
        <v>1</v>
      </c>
      <c r="BC288" s="76" t="b">
        <v>0</v>
      </c>
      <c r="BD288" s="76" t="b">
        <v>0</v>
      </c>
      <c r="BE288" s="76" t="b">
        <v>1</v>
      </c>
      <c r="BF288" s="76" t="b">
        <v>0</v>
      </c>
      <c r="BG288" s="76" t="b">
        <v>0</v>
      </c>
      <c r="BH288" s="82" t="str">
        <f>HYPERLINK("https://pbs.twimg.com/profile_banners/3108351/1680557947")</f>
        <v>https://pbs.twimg.com/profile_banners/3108351/1680557947</v>
      </c>
      <c r="BI288" s="76"/>
      <c r="BJ288" s="76" t="s">
        <v>2655</v>
      </c>
      <c r="BK288" s="76" t="b">
        <v>0</v>
      </c>
      <c r="BL288" s="76"/>
      <c r="BM288" s="76" t="s">
        <v>65</v>
      </c>
      <c r="BN288" s="76" t="s">
        <v>2657</v>
      </c>
      <c r="BO288" s="82" t="str">
        <f>HYPERLINK("https://twitter.com/wsj")</f>
        <v>https://twitter.com/wsj</v>
      </c>
      <c r="BP288" s="76" t="str">
        <f>REPLACE(INDEX(GroupVertices[Group],MATCH(Vertices[[#This Row],[Vertex]],GroupVertices[Vertex],0)),1,1,"")</f>
        <v>6</v>
      </c>
      <c r="BQ288" s="45"/>
      <c r="BR288" s="46"/>
      <c r="BS288" s="45"/>
      <c r="BT288" s="46"/>
      <c r="BU288" s="45"/>
      <c r="BV288" s="46"/>
      <c r="BW288" s="45"/>
      <c r="BX288" s="46"/>
      <c r="BY288" s="45"/>
      <c r="BZ288" s="45"/>
      <c r="CA288" s="45"/>
      <c r="CB288" s="45"/>
      <c r="CC288" s="45"/>
      <c r="CD288" s="45"/>
      <c r="CE288" s="45"/>
      <c r="CF288" s="45"/>
      <c r="CG288" s="45"/>
      <c r="CH288" s="45"/>
      <c r="CI288" s="45"/>
      <c r="CJ288" s="2"/>
    </row>
    <row r="289" spans="1:88" ht="15">
      <c r="A289" s="61" t="s">
        <v>518</v>
      </c>
      <c r="B289" s="62"/>
      <c r="C289" s="62"/>
      <c r="D289" s="63">
        <v>535</v>
      </c>
      <c r="E289" s="65"/>
      <c r="F289" s="100" t="str">
        <f>HYPERLINK("https://pbs.twimg.com/profile_images/1526672938547699712/pL8XVhKW_normal.jpg")</f>
        <v>https://pbs.twimg.com/profile_images/1526672938547699712/pL8XVhKW_normal.jpg</v>
      </c>
      <c r="G289" s="62"/>
      <c r="H289" s="66" t="s">
        <v>518</v>
      </c>
      <c r="I289" s="67"/>
      <c r="J289" s="67" t="s">
        <v>159</v>
      </c>
      <c r="K289" s="66" t="s">
        <v>2943</v>
      </c>
      <c r="L289" s="70">
        <v>477.0952380952381</v>
      </c>
      <c r="M289" s="71">
        <v>6071.57958984375</v>
      </c>
      <c r="N289" s="71">
        <v>1317.3956298828125</v>
      </c>
      <c r="O289" s="72"/>
      <c r="P289" s="73"/>
      <c r="Q289" s="73"/>
      <c r="R289" s="86"/>
      <c r="S289" s="45">
        <v>1</v>
      </c>
      <c r="T289" s="45">
        <v>0</v>
      </c>
      <c r="U289" s="46">
        <v>0</v>
      </c>
      <c r="V289" s="46">
        <v>0.195106</v>
      </c>
      <c r="W289" s="46">
        <v>0.000653</v>
      </c>
      <c r="X289" s="46">
        <v>0.002778</v>
      </c>
      <c r="Y289" s="46">
        <v>0</v>
      </c>
      <c r="Z289" s="46">
        <v>0</v>
      </c>
      <c r="AA289" s="68">
        <v>289</v>
      </c>
      <c r="AB289" s="68"/>
      <c r="AC289" s="69"/>
      <c r="AD289" s="76" t="s">
        <v>1534</v>
      </c>
      <c r="AE289" s="80" t="s">
        <v>1827</v>
      </c>
      <c r="AF289" s="76">
        <v>692</v>
      </c>
      <c r="AG289" s="76">
        <v>657</v>
      </c>
      <c r="AH289" s="76">
        <v>54089</v>
      </c>
      <c r="AI289" s="76">
        <v>7</v>
      </c>
      <c r="AJ289" s="76">
        <v>101958</v>
      </c>
      <c r="AK289" s="76">
        <v>2438</v>
      </c>
      <c r="AL289" s="76" t="b">
        <v>0</v>
      </c>
      <c r="AM289" s="78">
        <v>44667.83116898148</v>
      </c>
      <c r="AN289" s="76" t="s">
        <v>2029</v>
      </c>
      <c r="AO289" s="76" t="s">
        <v>2316</v>
      </c>
      <c r="AP289" s="76"/>
      <c r="AQ289" s="76"/>
      <c r="AR289" s="76"/>
      <c r="AS289" s="76"/>
      <c r="AT289" s="76"/>
      <c r="AU289" s="76"/>
      <c r="AV289" s="76">
        <v>1.66135634617063E+18</v>
      </c>
      <c r="AW289" s="76"/>
      <c r="AX289" s="76" t="b">
        <v>0</v>
      </c>
      <c r="AY289" s="76"/>
      <c r="AZ289" s="76"/>
      <c r="BA289" s="76" t="b">
        <v>0</v>
      </c>
      <c r="BB289" s="76" t="b">
        <v>1</v>
      </c>
      <c r="BC289" s="76" t="b">
        <v>1</v>
      </c>
      <c r="BD289" s="76" t="b">
        <v>0</v>
      </c>
      <c r="BE289" s="76" t="b">
        <v>0</v>
      </c>
      <c r="BF289" s="76" t="b">
        <v>0</v>
      </c>
      <c r="BG289" s="76" t="b">
        <v>0</v>
      </c>
      <c r="BH289" s="82" t="str">
        <f>HYPERLINK("https://pbs.twimg.com/profile_banners/1515418934228434951/1694179398")</f>
        <v>https://pbs.twimg.com/profile_banners/1515418934228434951/1694179398</v>
      </c>
      <c r="BI289" s="76"/>
      <c r="BJ289" s="76" t="s">
        <v>2656</v>
      </c>
      <c r="BK289" s="76" t="b">
        <v>0</v>
      </c>
      <c r="BL289" s="76"/>
      <c r="BM289" s="76" t="s">
        <v>65</v>
      </c>
      <c r="BN289" s="76" t="s">
        <v>2657</v>
      </c>
      <c r="BO289" s="82" t="str">
        <f>HYPERLINK("https://twitter.com/champprivate")</f>
        <v>https://twitter.com/champprivate</v>
      </c>
      <c r="BP289" s="76" t="str">
        <f>REPLACE(INDEX(GroupVertices[Group],MATCH(Vertices[[#This Row],[Vertex]],GroupVertices[Vertex],0)),1,1,"")</f>
        <v>6</v>
      </c>
      <c r="BQ289" s="45"/>
      <c r="BR289" s="46"/>
      <c r="BS289" s="45"/>
      <c r="BT289" s="46"/>
      <c r="BU289" s="45"/>
      <c r="BV289" s="46"/>
      <c r="BW289" s="45"/>
      <c r="BX289" s="46"/>
      <c r="BY289" s="45"/>
      <c r="BZ289" s="45"/>
      <c r="CA289" s="45"/>
      <c r="CB289" s="45"/>
      <c r="CC289" s="45"/>
      <c r="CD289" s="45"/>
      <c r="CE289" s="45"/>
      <c r="CF289" s="45"/>
      <c r="CG289" s="45"/>
      <c r="CH289" s="45"/>
      <c r="CI289" s="45"/>
      <c r="CJ289" s="2"/>
    </row>
    <row r="290" spans="1:88" ht="15">
      <c r="A290" s="61" t="s">
        <v>519</v>
      </c>
      <c r="B290" s="62"/>
      <c r="C290" s="62"/>
      <c r="D290" s="63">
        <v>535</v>
      </c>
      <c r="E290" s="65"/>
      <c r="F290" s="100" t="str">
        <f>HYPERLINK("https://pbs.twimg.com/profile_images/1651680764918919185/AoSWHYO3_normal.jpg")</f>
        <v>https://pbs.twimg.com/profile_images/1651680764918919185/AoSWHYO3_normal.jpg</v>
      </c>
      <c r="G290" s="62"/>
      <c r="H290" s="66" t="s">
        <v>519</v>
      </c>
      <c r="I290" s="67"/>
      <c r="J290" s="67" t="s">
        <v>159</v>
      </c>
      <c r="K290" s="66" t="s">
        <v>2944</v>
      </c>
      <c r="L290" s="70">
        <v>477.0952380952381</v>
      </c>
      <c r="M290" s="71">
        <v>4988.6767578125</v>
      </c>
      <c r="N290" s="71">
        <v>2115.406982421875</v>
      </c>
      <c r="O290" s="72"/>
      <c r="P290" s="73"/>
      <c r="Q290" s="73"/>
      <c r="R290" s="86"/>
      <c r="S290" s="45">
        <v>1</v>
      </c>
      <c r="T290" s="45">
        <v>0</v>
      </c>
      <c r="U290" s="46">
        <v>0</v>
      </c>
      <c r="V290" s="46">
        <v>0.195106</v>
      </c>
      <c r="W290" s="46">
        <v>0.000653</v>
      </c>
      <c r="X290" s="46">
        <v>0.002778</v>
      </c>
      <c r="Y290" s="46">
        <v>0</v>
      </c>
      <c r="Z290" s="46">
        <v>0</v>
      </c>
      <c r="AA290" s="68">
        <v>290</v>
      </c>
      <c r="AB290" s="68"/>
      <c r="AC290" s="69"/>
      <c r="AD290" s="76" t="s">
        <v>1535</v>
      </c>
      <c r="AE290" s="80" t="s">
        <v>1828</v>
      </c>
      <c r="AF290" s="76">
        <v>5369</v>
      </c>
      <c r="AG290" s="76">
        <v>5330</v>
      </c>
      <c r="AH290" s="76">
        <v>155043</v>
      </c>
      <c r="AI290" s="76">
        <v>66</v>
      </c>
      <c r="AJ290" s="76">
        <v>34986</v>
      </c>
      <c r="AK290" s="76">
        <v>62229</v>
      </c>
      <c r="AL290" s="76" t="b">
        <v>0</v>
      </c>
      <c r="AM290" s="78">
        <v>43367.600335648145</v>
      </c>
      <c r="AN290" s="76" t="s">
        <v>2030</v>
      </c>
      <c r="AO290" s="76" t="s">
        <v>2317</v>
      </c>
      <c r="AP290" s="82" t="str">
        <f>HYPERLINK("https://t.co/9zXCytmks7")</f>
        <v>https://t.co/9zXCytmks7</v>
      </c>
      <c r="AQ290" s="82" t="str">
        <f>HYPERLINK("http://redesignyourthinking.blog/about/ceo/")</f>
        <v>http://redesignyourthinking.blog/about/ceo/</v>
      </c>
      <c r="AR290" s="76" t="s">
        <v>2559</v>
      </c>
      <c r="AS290" s="76"/>
      <c r="AT290" s="76"/>
      <c r="AU290" s="76"/>
      <c r="AV290" s="76">
        <v>1.45632606109716E+18</v>
      </c>
      <c r="AW290" s="82" t="str">
        <f>HYPERLINK("https://t.co/9zXCytmks7")</f>
        <v>https://t.co/9zXCytmks7</v>
      </c>
      <c r="AX290" s="76" t="b">
        <v>1</v>
      </c>
      <c r="AY290" s="76"/>
      <c r="AZ290" s="76"/>
      <c r="BA290" s="76" t="b">
        <v>1</v>
      </c>
      <c r="BB290" s="76" t="b">
        <v>0</v>
      </c>
      <c r="BC290" s="76" t="b">
        <v>0</v>
      </c>
      <c r="BD290" s="76" t="b">
        <v>0</v>
      </c>
      <c r="BE290" s="76" t="b">
        <v>1</v>
      </c>
      <c r="BF290" s="76" t="b">
        <v>0</v>
      </c>
      <c r="BG290" s="76" t="b">
        <v>0</v>
      </c>
      <c r="BH290" s="82" t="str">
        <f>HYPERLINK("https://pbs.twimg.com/profile_banners/1044231098006425601/1583274702")</f>
        <v>https://pbs.twimg.com/profile_banners/1044231098006425601/1583274702</v>
      </c>
      <c r="BI290" s="76"/>
      <c r="BJ290" s="76" t="s">
        <v>2656</v>
      </c>
      <c r="BK290" s="76" t="b">
        <v>0</v>
      </c>
      <c r="BL290" s="76"/>
      <c r="BM290" s="76" t="s">
        <v>65</v>
      </c>
      <c r="BN290" s="76" t="s">
        <v>2657</v>
      </c>
      <c r="BO290" s="82" t="str">
        <f>HYPERLINK("https://twitter.com/sbmccallister")</f>
        <v>https://twitter.com/sbmccallister</v>
      </c>
      <c r="BP290" s="76" t="str">
        <f>REPLACE(INDEX(GroupVertices[Group],MATCH(Vertices[[#This Row],[Vertex]],GroupVertices[Vertex],0)),1,1,"")</f>
        <v>6</v>
      </c>
      <c r="BQ290" s="45"/>
      <c r="BR290" s="46"/>
      <c r="BS290" s="45"/>
      <c r="BT290" s="46"/>
      <c r="BU290" s="45"/>
      <c r="BV290" s="46"/>
      <c r="BW290" s="45"/>
      <c r="BX290" s="46"/>
      <c r="BY290" s="45"/>
      <c r="BZ290" s="45"/>
      <c r="CA290" s="45"/>
      <c r="CB290" s="45"/>
      <c r="CC290" s="45"/>
      <c r="CD290" s="45"/>
      <c r="CE290" s="45"/>
      <c r="CF290" s="45"/>
      <c r="CG290" s="45"/>
      <c r="CH290" s="45"/>
      <c r="CI290" s="45"/>
      <c r="CJ290" s="2"/>
    </row>
    <row r="291" spans="1:88" ht="15">
      <c r="A291" s="61" t="s">
        <v>249</v>
      </c>
      <c r="B291" s="62"/>
      <c r="C291" s="62"/>
      <c r="D291" s="63">
        <v>535</v>
      </c>
      <c r="E291" s="65"/>
      <c r="F291" s="100" t="str">
        <f>HYPERLINK("https://pbs.twimg.com/profile_images/1693361057580957696/YXXSA8pi_normal.jpg")</f>
        <v>https://pbs.twimg.com/profile_images/1693361057580957696/YXXSA8pi_normal.jpg</v>
      </c>
      <c r="G291" s="62"/>
      <c r="H291" s="66" t="s">
        <v>249</v>
      </c>
      <c r="I291" s="67"/>
      <c r="J291" s="67" t="s">
        <v>159</v>
      </c>
      <c r="K291" s="66" t="s">
        <v>2945</v>
      </c>
      <c r="L291" s="70">
        <v>477.0952380952381</v>
      </c>
      <c r="M291" s="71">
        <v>4948.2744140625</v>
      </c>
      <c r="N291" s="71">
        <v>945.6963500976562</v>
      </c>
      <c r="O291" s="72"/>
      <c r="P291" s="73"/>
      <c r="Q291" s="73"/>
      <c r="R291" s="86"/>
      <c r="S291" s="45">
        <v>1</v>
      </c>
      <c r="T291" s="45">
        <v>6</v>
      </c>
      <c r="U291" s="46">
        <v>3736.661905</v>
      </c>
      <c r="V291" s="46">
        <v>0.325406</v>
      </c>
      <c r="W291" s="46">
        <v>0.03719</v>
      </c>
      <c r="X291" s="46">
        <v>0.003448</v>
      </c>
      <c r="Y291" s="46">
        <v>0.16666666666666666</v>
      </c>
      <c r="Z291" s="46">
        <v>0.16666666666666666</v>
      </c>
      <c r="AA291" s="68">
        <v>291</v>
      </c>
      <c r="AB291" s="68"/>
      <c r="AC291" s="69"/>
      <c r="AD291" s="76" t="s">
        <v>1536</v>
      </c>
      <c r="AE291" s="80" t="s">
        <v>1184</v>
      </c>
      <c r="AF291" s="76">
        <v>17</v>
      </c>
      <c r="AG291" s="76">
        <v>46</v>
      </c>
      <c r="AH291" s="76">
        <v>111</v>
      </c>
      <c r="AI291" s="76">
        <v>0</v>
      </c>
      <c r="AJ291" s="76">
        <v>157</v>
      </c>
      <c r="AK291" s="76">
        <v>4</v>
      </c>
      <c r="AL291" s="76" t="b">
        <v>0</v>
      </c>
      <c r="AM291" s="78">
        <v>45158.85611111111</v>
      </c>
      <c r="AN291" s="76" t="s">
        <v>2031</v>
      </c>
      <c r="AO291" s="76" t="s">
        <v>2318</v>
      </c>
      <c r="AP291" s="82" t="str">
        <f>HYPERLINK("https://t.co/xCYiWSqTDR")</f>
        <v>https://t.co/xCYiWSqTDR</v>
      </c>
      <c r="AQ291" s="82" t="str">
        <f>HYPERLINK("https://www.linkedin.com/in/arash-roohanian-451093169/")</f>
        <v>https://www.linkedin.com/in/arash-roohanian-451093169/</v>
      </c>
      <c r="AR291" s="76" t="s">
        <v>2560</v>
      </c>
      <c r="AS291" s="76"/>
      <c r="AT291" s="76"/>
      <c r="AU291" s="76"/>
      <c r="AV291" s="76">
        <v>1.69988148321991E+18</v>
      </c>
      <c r="AW291" s="82" t="str">
        <f>HYPERLINK("https://t.co/xCYiWSqTDR")</f>
        <v>https://t.co/xCYiWSqTDR</v>
      </c>
      <c r="AX291" s="76" t="b">
        <v>0</v>
      </c>
      <c r="AY291" s="76"/>
      <c r="AZ291" s="76"/>
      <c r="BA291" s="76" t="b">
        <v>0</v>
      </c>
      <c r="BB291" s="76" t="b">
        <v>1</v>
      </c>
      <c r="BC291" s="76" t="b">
        <v>1</v>
      </c>
      <c r="BD291" s="76" t="b">
        <v>0</v>
      </c>
      <c r="BE291" s="76" t="b">
        <v>0</v>
      </c>
      <c r="BF291" s="76" t="b">
        <v>0</v>
      </c>
      <c r="BG291" s="76" t="b">
        <v>0</v>
      </c>
      <c r="BH291" s="82" t="str">
        <f>HYPERLINK("https://pbs.twimg.com/profile_banners/1693360362026840067/1693426531")</f>
        <v>https://pbs.twimg.com/profile_banners/1693360362026840067/1693426531</v>
      </c>
      <c r="BI291" s="76"/>
      <c r="BJ291" s="76" t="s">
        <v>2656</v>
      </c>
      <c r="BK291" s="76" t="b">
        <v>0</v>
      </c>
      <c r="BL291" s="76"/>
      <c r="BM291" s="76" t="s">
        <v>66</v>
      </c>
      <c r="BN291" s="76" t="s">
        <v>2657</v>
      </c>
      <c r="BO291" s="82" t="str">
        <f>HYPERLINK("https://twitter.com/dataengineer23")</f>
        <v>https://twitter.com/dataengineer23</v>
      </c>
      <c r="BP291" s="76" t="str">
        <f>REPLACE(INDEX(GroupVertices[Group],MATCH(Vertices[[#This Row],[Vertex]],GroupVertices[Vertex],0)),1,1,"")</f>
        <v>6</v>
      </c>
      <c r="BQ291" s="45">
        <v>0</v>
      </c>
      <c r="BR291" s="46">
        <v>0</v>
      </c>
      <c r="BS291" s="45">
        <v>0</v>
      </c>
      <c r="BT291" s="46">
        <v>0</v>
      </c>
      <c r="BU291" s="45">
        <v>0</v>
      </c>
      <c r="BV291" s="46">
        <v>0</v>
      </c>
      <c r="BW291" s="45">
        <v>9</v>
      </c>
      <c r="BX291" s="46">
        <v>100</v>
      </c>
      <c r="BY291" s="45">
        <v>9</v>
      </c>
      <c r="BZ291" s="45"/>
      <c r="CA291" s="45"/>
      <c r="CB291" s="45"/>
      <c r="CC291" s="45"/>
      <c r="CD291" s="45"/>
      <c r="CE291" s="45"/>
      <c r="CF291" s="112" t="s">
        <v>11617</v>
      </c>
      <c r="CG291" s="112" t="s">
        <v>11617</v>
      </c>
      <c r="CH291" s="112" t="s">
        <v>11672</v>
      </c>
      <c r="CI291" s="112" t="s">
        <v>11672</v>
      </c>
      <c r="CJ291" s="2"/>
    </row>
    <row r="292" spans="1:88" ht="15">
      <c r="A292" s="61" t="s">
        <v>250</v>
      </c>
      <c r="B292" s="62"/>
      <c r="C292" s="62"/>
      <c r="D292" s="63">
        <v>535</v>
      </c>
      <c r="E292" s="65"/>
      <c r="F292" s="100" t="str">
        <f>HYPERLINK("https://pbs.twimg.com/profile_images/1674155076959477762/p-4Rg3Rn_normal.jpg")</f>
        <v>https://pbs.twimg.com/profile_images/1674155076959477762/p-4Rg3Rn_normal.jpg</v>
      </c>
      <c r="G292" s="62"/>
      <c r="H292" s="66" t="s">
        <v>250</v>
      </c>
      <c r="I292" s="67"/>
      <c r="J292" s="67" t="s">
        <v>159</v>
      </c>
      <c r="K292" s="66" t="s">
        <v>2946</v>
      </c>
      <c r="L292" s="70">
        <v>477.0952380952381</v>
      </c>
      <c r="M292" s="71">
        <v>4850.1689453125</v>
      </c>
      <c r="N292" s="71">
        <v>1215.202392578125</v>
      </c>
      <c r="O292" s="72"/>
      <c r="P292" s="73"/>
      <c r="Q292" s="73"/>
      <c r="R292" s="86"/>
      <c r="S292" s="45">
        <v>1</v>
      </c>
      <c r="T292" s="45">
        <v>6</v>
      </c>
      <c r="U292" s="46">
        <v>3736.661905</v>
      </c>
      <c r="V292" s="46">
        <v>0.325406</v>
      </c>
      <c r="W292" s="46">
        <v>0.03719</v>
      </c>
      <c r="X292" s="46">
        <v>0.003448</v>
      </c>
      <c r="Y292" s="46">
        <v>0.16666666666666666</v>
      </c>
      <c r="Z292" s="46">
        <v>0.16666666666666666</v>
      </c>
      <c r="AA292" s="68">
        <v>292</v>
      </c>
      <c r="AB292" s="68"/>
      <c r="AC292" s="69"/>
      <c r="AD292" s="76" t="s">
        <v>1537</v>
      </c>
      <c r="AE292" s="80" t="s">
        <v>1183</v>
      </c>
      <c r="AF292" s="76">
        <v>542</v>
      </c>
      <c r="AG292" s="76">
        <v>1775</v>
      </c>
      <c r="AH292" s="76">
        <v>3483</v>
      </c>
      <c r="AI292" s="76">
        <v>20</v>
      </c>
      <c r="AJ292" s="76">
        <v>5452</v>
      </c>
      <c r="AK292" s="76">
        <v>170</v>
      </c>
      <c r="AL292" s="76" t="b">
        <v>0</v>
      </c>
      <c r="AM292" s="78">
        <v>41090.41569444445</v>
      </c>
      <c r="AN292" s="76" t="s">
        <v>2032</v>
      </c>
      <c r="AO292" s="76" t="s">
        <v>2319</v>
      </c>
      <c r="AP292" s="82" t="str">
        <f>HYPERLINK("https://t.co/LdzohdvRpn")</f>
        <v>https://t.co/LdzohdvRpn</v>
      </c>
      <c r="AQ292" s="82" t="str">
        <f>HYPERLINK("https://www.linkedin.com/in/ifeanyi-idiaye-09523abb/")</f>
        <v>https://www.linkedin.com/in/ifeanyi-idiaye-09523abb/</v>
      </c>
      <c r="AR292" s="76" t="s">
        <v>2561</v>
      </c>
      <c r="AS292" s="76"/>
      <c r="AT292" s="76"/>
      <c r="AU292" s="76"/>
      <c r="AV292" s="76"/>
      <c r="AW292" s="82" t="str">
        <f>HYPERLINK("https://t.co/LdzohdvRpn")</f>
        <v>https://t.co/LdzohdvRpn</v>
      </c>
      <c r="AX292" s="76" t="b">
        <v>0</v>
      </c>
      <c r="AY292" s="76"/>
      <c r="AZ292" s="76"/>
      <c r="BA292" s="76" t="b">
        <v>0</v>
      </c>
      <c r="BB292" s="76" t="b">
        <v>1</v>
      </c>
      <c r="BC292" s="76" t="b">
        <v>0</v>
      </c>
      <c r="BD292" s="76" t="b">
        <v>0</v>
      </c>
      <c r="BE292" s="76" t="b">
        <v>1</v>
      </c>
      <c r="BF292" s="76" t="b">
        <v>0</v>
      </c>
      <c r="BG292" s="76" t="b">
        <v>0</v>
      </c>
      <c r="BH292" s="82" t="str">
        <f>HYPERLINK("https://pbs.twimg.com/profile_banners/622691806/1684435101")</f>
        <v>https://pbs.twimg.com/profile_banners/622691806/1684435101</v>
      </c>
      <c r="BI292" s="76"/>
      <c r="BJ292" s="76" t="s">
        <v>2656</v>
      </c>
      <c r="BK292" s="76" t="b">
        <v>0</v>
      </c>
      <c r="BL292" s="76"/>
      <c r="BM292" s="76" t="s">
        <v>66</v>
      </c>
      <c r="BN292" s="76" t="s">
        <v>2657</v>
      </c>
      <c r="BO292" s="82" t="str">
        <f>HYPERLINK("https://twitter.com/ifeanyidiaye")</f>
        <v>https://twitter.com/ifeanyidiaye</v>
      </c>
      <c r="BP292" s="76" t="str">
        <f>REPLACE(INDEX(GroupVertices[Group],MATCH(Vertices[[#This Row],[Vertex]],GroupVertices[Vertex],0)),1,1,"")</f>
        <v>6</v>
      </c>
      <c r="BQ292" s="45">
        <v>0</v>
      </c>
      <c r="BR292" s="46">
        <v>0</v>
      </c>
      <c r="BS292" s="45">
        <v>0</v>
      </c>
      <c r="BT292" s="46">
        <v>0</v>
      </c>
      <c r="BU292" s="45">
        <v>0</v>
      </c>
      <c r="BV292" s="46">
        <v>0</v>
      </c>
      <c r="BW292" s="45">
        <v>15</v>
      </c>
      <c r="BX292" s="46">
        <v>57.69230769230769</v>
      </c>
      <c r="BY292" s="45">
        <v>26</v>
      </c>
      <c r="BZ292" s="45"/>
      <c r="CA292" s="45"/>
      <c r="CB292" s="45"/>
      <c r="CC292" s="45"/>
      <c r="CD292" s="45"/>
      <c r="CE292" s="45"/>
      <c r="CF292" s="112" t="s">
        <v>11618</v>
      </c>
      <c r="CG292" s="112" t="s">
        <v>11618</v>
      </c>
      <c r="CH292" s="112" t="s">
        <v>11673</v>
      </c>
      <c r="CI292" s="112" t="s">
        <v>11673</v>
      </c>
      <c r="CJ292" s="2"/>
    </row>
    <row r="293" spans="1:88" ht="15">
      <c r="A293" s="61" t="s">
        <v>520</v>
      </c>
      <c r="B293" s="62"/>
      <c r="C293" s="62"/>
      <c r="D293" s="63">
        <v>1000</v>
      </c>
      <c r="E293" s="65"/>
      <c r="F293" s="100" t="str">
        <f>HYPERLINK("https://pbs.twimg.com/profile_images/1415324282863882242/jm4U6ihu_normal.jpg")</f>
        <v>https://pbs.twimg.com/profile_images/1415324282863882242/jm4U6ihu_normal.jpg</v>
      </c>
      <c r="G293" s="62"/>
      <c r="H293" s="66" t="s">
        <v>520</v>
      </c>
      <c r="I293" s="67"/>
      <c r="J293" s="67" t="s">
        <v>159</v>
      </c>
      <c r="K293" s="66" t="s">
        <v>2947</v>
      </c>
      <c r="L293" s="70">
        <v>953.1904761904761</v>
      </c>
      <c r="M293" s="71">
        <v>4425.1572265625</v>
      </c>
      <c r="N293" s="71">
        <v>661.554931640625</v>
      </c>
      <c r="O293" s="72"/>
      <c r="P293" s="73"/>
      <c r="Q293" s="73"/>
      <c r="R293" s="86"/>
      <c r="S293" s="45">
        <v>2</v>
      </c>
      <c r="T293" s="45">
        <v>0</v>
      </c>
      <c r="U293" s="46">
        <v>0</v>
      </c>
      <c r="V293" s="46">
        <v>0.241918</v>
      </c>
      <c r="W293" s="46">
        <v>0.006682</v>
      </c>
      <c r="X293" s="46">
        <v>0.002862</v>
      </c>
      <c r="Y293" s="46">
        <v>1</v>
      </c>
      <c r="Z293" s="46">
        <v>0</v>
      </c>
      <c r="AA293" s="68">
        <v>293</v>
      </c>
      <c r="AB293" s="68"/>
      <c r="AC293" s="69"/>
      <c r="AD293" s="76" t="s">
        <v>1538</v>
      </c>
      <c r="AE293" s="80" t="s">
        <v>1829</v>
      </c>
      <c r="AF293" s="76">
        <v>5546</v>
      </c>
      <c r="AG293" s="76">
        <v>2293</v>
      </c>
      <c r="AH293" s="76">
        <v>5125</v>
      </c>
      <c r="AI293" s="76">
        <v>142</v>
      </c>
      <c r="AJ293" s="76">
        <v>1940</v>
      </c>
      <c r="AK293" s="76">
        <v>2717</v>
      </c>
      <c r="AL293" s="76" t="b">
        <v>0</v>
      </c>
      <c r="AM293" s="78">
        <v>42474.39710648148</v>
      </c>
      <c r="AN293" s="76" t="s">
        <v>2033</v>
      </c>
      <c r="AO293" s="76" t="s">
        <v>2320</v>
      </c>
      <c r="AP293" s="82" t="str">
        <f>HYPERLINK("https://t.co/0CGjgfTTTK")</f>
        <v>https://t.co/0CGjgfTTTK</v>
      </c>
      <c r="AQ293" s="82" t="str">
        <f>HYPERLINK("https://connected-data.world/")</f>
        <v>https://connected-data.world/</v>
      </c>
      <c r="AR293" s="76" t="s">
        <v>2562</v>
      </c>
      <c r="AS293" s="76"/>
      <c r="AT293" s="76"/>
      <c r="AU293" s="76"/>
      <c r="AV293" s="76"/>
      <c r="AW293" s="82" t="str">
        <f>HYPERLINK("https://t.co/0CGjgfTTTK")</f>
        <v>https://t.co/0CGjgfTTTK</v>
      </c>
      <c r="AX293" s="76" t="b">
        <v>1</v>
      </c>
      <c r="AY293" s="76"/>
      <c r="AZ293" s="76"/>
      <c r="BA293" s="76" t="b">
        <v>0</v>
      </c>
      <c r="BB293" s="76" t="b">
        <v>1</v>
      </c>
      <c r="BC293" s="76" t="b">
        <v>0</v>
      </c>
      <c r="BD293" s="76" t="b">
        <v>0</v>
      </c>
      <c r="BE293" s="76" t="b">
        <v>1</v>
      </c>
      <c r="BF293" s="76" t="b">
        <v>0</v>
      </c>
      <c r="BG293" s="76" t="b">
        <v>0</v>
      </c>
      <c r="BH293" s="82" t="str">
        <f>HYPERLINK("https://pbs.twimg.com/profile_banners/720545088225587200/1667895454")</f>
        <v>https://pbs.twimg.com/profile_banners/720545088225587200/1667895454</v>
      </c>
      <c r="BI293" s="76"/>
      <c r="BJ293" s="76" t="s">
        <v>2656</v>
      </c>
      <c r="BK293" s="76" t="b">
        <v>0</v>
      </c>
      <c r="BL293" s="76"/>
      <c r="BM293" s="76" t="s">
        <v>65</v>
      </c>
      <c r="BN293" s="76" t="s">
        <v>2657</v>
      </c>
      <c r="BO293" s="82" t="str">
        <f>HYPERLINK("https://twitter.com/connected_data")</f>
        <v>https://twitter.com/connected_data</v>
      </c>
      <c r="BP293" s="76" t="str">
        <f>REPLACE(INDEX(GroupVertices[Group],MATCH(Vertices[[#This Row],[Vertex]],GroupVertices[Vertex],0)),1,1,"")</f>
        <v>6</v>
      </c>
      <c r="BQ293" s="45"/>
      <c r="BR293" s="46"/>
      <c r="BS293" s="45"/>
      <c r="BT293" s="46"/>
      <c r="BU293" s="45"/>
      <c r="BV293" s="46"/>
      <c r="BW293" s="45"/>
      <c r="BX293" s="46"/>
      <c r="BY293" s="45"/>
      <c r="BZ293" s="45"/>
      <c r="CA293" s="45"/>
      <c r="CB293" s="45"/>
      <c r="CC293" s="45"/>
      <c r="CD293" s="45"/>
      <c r="CE293" s="45"/>
      <c r="CF293" s="45"/>
      <c r="CG293" s="45"/>
      <c r="CH293" s="45"/>
      <c r="CI293" s="45"/>
      <c r="CJ293" s="2"/>
    </row>
    <row r="294" spans="1:88" ht="15">
      <c r="A294" s="61" t="s">
        <v>521</v>
      </c>
      <c r="B294" s="62"/>
      <c r="C294" s="62"/>
      <c r="D294" s="63">
        <v>1000</v>
      </c>
      <c r="E294" s="65"/>
      <c r="F294" s="100" t="str">
        <f>HYPERLINK("https://pbs.twimg.com/profile_images/1598372786665361413/d-cQC5bl_normal.jpg")</f>
        <v>https://pbs.twimg.com/profile_images/1598372786665361413/d-cQC5bl_normal.jpg</v>
      </c>
      <c r="G294" s="62"/>
      <c r="H294" s="66" t="s">
        <v>521</v>
      </c>
      <c r="I294" s="67"/>
      <c r="J294" s="67" t="s">
        <v>159</v>
      </c>
      <c r="K294" s="66" t="s">
        <v>2948</v>
      </c>
      <c r="L294" s="70">
        <v>953.1904761904761</v>
      </c>
      <c r="M294" s="71">
        <v>4765.67333984375</v>
      </c>
      <c r="N294" s="71">
        <v>189.68727111816406</v>
      </c>
      <c r="O294" s="72"/>
      <c r="P294" s="73"/>
      <c r="Q294" s="73"/>
      <c r="R294" s="86"/>
      <c r="S294" s="45">
        <v>2</v>
      </c>
      <c r="T294" s="45">
        <v>0</v>
      </c>
      <c r="U294" s="46">
        <v>0</v>
      </c>
      <c r="V294" s="46">
        <v>0.241918</v>
      </c>
      <c r="W294" s="46">
        <v>0.006682</v>
      </c>
      <c r="X294" s="46">
        <v>0.002862</v>
      </c>
      <c r="Y294" s="46">
        <v>1</v>
      </c>
      <c r="Z294" s="46">
        <v>0</v>
      </c>
      <c r="AA294" s="68">
        <v>294</v>
      </c>
      <c r="AB294" s="68"/>
      <c r="AC294" s="69"/>
      <c r="AD294" s="76" t="s">
        <v>1539</v>
      </c>
      <c r="AE294" s="80" t="s">
        <v>1830</v>
      </c>
      <c r="AF294" s="76">
        <v>3353</v>
      </c>
      <c r="AG294" s="76">
        <v>2</v>
      </c>
      <c r="AH294" s="76">
        <v>563</v>
      </c>
      <c r="AI294" s="76">
        <v>49</v>
      </c>
      <c r="AJ294" s="76">
        <v>788</v>
      </c>
      <c r="AK294" s="76">
        <v>59</v>
      </c>
      <c r="AL294" s="76" t="b">
        <v>0</v>
      </c>
      <c r="AM294" s="78">
        <v>44350.680127314816</v>
      </c>
      <c r="AN294" s="76"/>
      <c r="AO294" s="76" t="s">
        <v>2321</v>
      </c>
      <c r="AP294" s="82" t="str">
        <f>HYPERLINK("https://t.co/xBlMQ4YprF")</f>
        <v>https://t.co/xBlMQ4YprF</v>
      </c>
      <c r="AQ294" s="82" t="str">
        <f>HYPERLINK("https://openalex.org/")</f>
        <v>https://openalex.org/</v>
      </c>
      <c r="AR294" s="76" t="s">
        <v>2563</v>
      </c>
      <c r="AS294" s="76"/>
      <c r="AT294" s="76"/>
      <c r="AU294" s="76"/>
      <c r="AV294" s="76"/>
      <c r="AW294" s="82" t="str">
        <f>HYPERLINK("https://t.co/xBlMQ4YprF")</f>
        <v>https://t.co/xBlMQ4YprF</v>
      </c>
      <c r="AX294" s="76" t="b">
        <v>0</v>
      </c>
      <c r="AY294" s="76"/>
      <c r="AZ294" s="76"/>
      <c r="BA294" s="76" t="b">
        <v>0</v>
      </c>
      <c r="BB294" s="76" t="b">
        <v>1</v>
      </c>
      <c r="BC294" s="76" t="b">
        <v>1</v>
      </c>
      <c r="BD294" s="76" t="b">
        <v>0</v>
      </c>
      <c r="BE294" s="76" t="b">
        <v>0</v>
      </c>
      <c r="BF294" s="76" t="b">
        <v>0</v>
      </c>
      <c r="BG294" s="76" t="b">
        <v>0</v>
      </c>
      <c r="BH294" s="76"/>
      <c r="BI294" s="76"/>
      <c r="BJ294" s="76" t="s">
        <v>2656</v>
      </c>
      <c r="BK294" s="76" t="b">
        <v>0</v>
      </c>
      <c r="BL294" s="76"/>
      <c r="BM294" s="76" t="s">
        <v>65</v>
      </c>
      <c r="BN294" s="76" t="s">
        <v>2657</v>
      </c>
      <c r="BO294" s="82" t="str">
        <f>HYPERLINK("https://twitter.com/openalex_org")</f>
        <v>https://twitter.com/openalex_org</v>
      </c>
      <c r="BP294" s="76" t="str">
        <f>REPLACE(INDEX(GroupVertices[Group],MATCH(Vertices[[#This Row],[Vertex]],GroupVertices[Vertex],0)),1,1,"")</f>
        <v>6</v>
      </c>
      <c r="BQ294" s="45"/>
      <c r="BR294" s="46"/>
      <c r="BS294" s="45"/>
      <c r="BT294" s="46"/>
      <c r="BU294" s="45"/>
      <c r="BV294" s="46"/>
      <c r="BW294" s="45"/>
      <c r="BX294" s="46"/>
      <c r="BY294" s="45"/>
      <c r="BZ294" s="45"/>
      <c r="CA294" s="45"/>
      <c r="CB294" s="45"/>
      <c r="CC294" s="45"/>
      <c r="CD294" s="45"/>
      <c r="CE294" s="45"/>
      <c r="CF294" s="45"/>
      <c r="CG294" s="45"/>
      <c r="CH294" s="45"/>
      <c r="CI294" s="45"/>
      <c r="CJ294" s="2"/>
    </row>
    <row r="295" spans="1:88" ht="15">
      <c r="A295" s="61" t="s">
        <v>251</v>
      </c>
      <c r="B295" s="62"/>
      <c r="C295" s="62"/>
      <c r="D295" s="63">
        <v>535</v>
      </c>
      <c r="E295" s="65"/>
      <c r="F295" s="100" t="str">
        <f>HYPERLINK("https://pbs.twimg.com/profile_images/1493137404546654208/TFgx-i4Z_normal.jpg")</f>
        <v>https://pbs.twimg.com/profile_images/1493137404546654208/TFgx-i4Z_normal.jpg</v>
      </c>
      <c r="G295" s="62"/>
      <c r="H295" s="66" t="s">
        <v>251</v>
      </c>
      <c r="I295" s="67"/>
      <c r="J295" s="67" t="s">
        <v>159</v>
      </c>
      <c r="K295" s="66" t="s">
        <v>2949</v>
      </c>
      <c r="L295" s="70">
        <v>477.0952380952381</v>
      </c>
      <c r="M295" s="71">
        <v>8433.3388671875</v>
      </c>
      <c r="N295" s="71">
        <v>1036.6610107421875</v>
      </c>
      <c r="O295" s="72"/>
      <c r="P295" s="73"/>
      <c r="Q295" s="73"/>
      <c r="R295" s="86"/>
      <c r="S295" s="45">
        <v>1</v>
      </c>
      <c r="T295" s="45">
        <v>5</v>
      </c>
      <c r="U295" s="46">
        <v>12</v>
      </c>
      <c r="V295" s="46">
        <v>0.012698</v>
      </c>
      <c r="W295" s="46">
        <v>0</v>
      </c>
      <c r="X295" s="46">
        <v>0.004521</v>
      </c>
      <c r="Y295" s="46">
        <v>0</v>
      </c>
      <c r="Z295" s="46">
        <v>0</v>
      </c>
      <c r="AA295" s="68">
        <v>295</v>
      </c>
      <c r="AB295" s="68"/>
      <c r="AC295" s="69"/>
      <c r="AD295" s="76" t="s">
        <v>1540</v>
      </c>
      <c r="AE295" s="80" t="s">
        <v>1210</v>
      </c>
      <c r="AF295" s="76">
        <v>92</v>
      </c>
      <c r="AG295" s="76">
        <v>352</v>
      </c>
      <c r="AH295" s="76">
        <v>2833</v>
      </c>
      <c r="AI295" s="76">
        <v>0</v>
      </c>
      <c r="AJ295" s="76">
        <v>990</v>
      </c>
      <c r="AK295" s="76">
        <v>464</v>
      </c>
      <c r="AL295" s="76" t="b">
        <v>0</v>
      </c>
      <c r="AM295" s="78">
        <v>43554.11125</v>
      </c>
      <c r="AN295" s="76" t="s">
        <v>2034</v>
      </c>
      <c r="AO295" s="76" t="s">
        <v>2322</v>
      </c>
      <c r="AP295" s="76"/>
      <c r="AQ295" s="76"/>
      <c r="AR295" s="76"/>
      <c r="AS295" s="76"/>
      <c r="AT295" s="76"/>
      <c r="AU295" s="76"/>
      <c r="AV295" s="76"/>
      <c r="AW295" s="76"/>
      <c r="AX295" s="76" t="b">
        <v>0</v>
      </c>
      <c r="AY295" s="76"/>
      <c r="AZ295" s="76"/>
      <c r="BA295" s="76" t="b">
        <v>0</v>
      </c>
      <c r="BB295" s="76" t="b">
        <v>1</v>
      </c>
      <c r="BC295" s="76" t="b">
        <v>0</v>
      </c>
      <c r="BD295" s="76" t="b">
        <v>0</v>
      </c>
      <c r="BE295" s="76" t="b">
        <v>1</v>
      </c>
      <c r="BF295" s="76" t="b">
        <v>0</v>
      </c>
      <c r="BG295" s="76" t="b">
        <v>0</v>
      </c>
      <c r="BH295" s="82" t="str">
        <f>HYPERLINK("https://pbs.twimg.com/profile_banners/1111820391062724610/1553927452")</f>
        <v>https://pbs.twimg.com/profile_banners/1111820391062724610/1553927452</v>
      </c>
      <c r="BI295" s="76"/>
      <c r="BJ295" s="76" t="s">
        <v>2656</v>
      </c>
      <c r="BK295" s="76" t="b">
        <v>0</v>
      </c>
      <c r="BL295" s="76"/>
      <c r="BM295" s="76" t="s">
        <v>66</v>
      </c>
      <c r="BN295" s="76" t="s">
        <v>2657</v>
      </c>
      <c r="BO295" s="82" t="str">
        <f>HYPERLINK("https://twitter.com/himesaka__")</f>
        <v>https://twitter.com/himesaka__</v>
      </c>
      <c r="BP295" s="76" t="str">
        <f>REPLACE(INDEX(GroupVertices[Group],MATCH(Vertices[[#This Row],[Vertex]],GroupVertices[Vertex],0)),1,1,"")</f>
        <v>12</v>
      </c>
      <c r="BQ295" s="45">
        <v>1</v>
      </c>
      <c r="BR295" s="46">
        <v>1.6666666666666667</v>
      </c>
      <c r="BS295" s="45">
        <v>0</v>
      </c>
      <c r="BT295" s="46">
        <v>0</v>
      </c>
      <c r="BU295" s="45">
        <v>0</v>
      </c>
      <c r="BV295" s="46">
        <v>0</v>
      </c>
      <c r="BW295" s="45">
        <v>43</v>
      </c>
      <c r="BX295" s="46">
        <v>71.66666666666667</v>
      </c>
      <c r="BY295" s="45">
        <v>60</v>
      </c>
      <c r="BZ295" s="45"/>
      <c r="CA295" s="45"/>
      <c r="CB295" s="45"/>
      <c r="CC295" s="45"/>
      <c r="CD295" s="45"/>
      <c r="CE295" s="45"/>
      <c r="CF295" s="112" t="s">
        <v>11619</v>
      </c>
      <c r="CG295" s="112" t="s">
        <v>11619</v>
      </c>
      <c r="CH295" s="112" t="s">
        <v>11674</v>
      </c>
      <c r="CI295" s="112" t="s">
        <v>11674</v>
      </c>
      <c r="CJ295" s="2"/>
    </row>
    <row r="296" spans="1:88" ht="15">
      <c r="A296" s="61" t="s">
        <v>522</v>
      </c>
      <c r="B296" s="62"/>
      <c r="C296" s="62"/>
      <c r="D296" s="63">
        <v>535</v>
      </c>
      <c r="E296" s="65"/>
      <c r="F296" s="100" t="str">
        <f>HYPERLINK("https://pbs.twimg.com/profile_images/1189391667897327616/nDr3ZzWt_normal.jpg")</f>
        <v>https://pbs.twimg.com/profile_images/1189391667897327616/nDr3ZzWt_normal.jpg</v>
      </c>
      <c r="G296" s="62"/>
      <c r="H296" s="66" t="s">
        <v>522</v>
      </c>
      <c r="I296" s="67"/>
      <c r="J296" s="67" t="s">
        <v>159</v>
      </c>
      <c r="K296" s="66" t="s">
        <v>2950</v>
      </c>
      <c r="L296" s="70">
        <v>477.0952380952381</v>
      </c>
      <c r="M296" s="71">
        <v>8088.36328125</v>
      </c>
      <c r="N296" s="71">
        <v>703.81396484375</v>
      </c>
      <c r="O296" s="72"/>
      <c r="P296" s="73"/>
      <c r="Q296" s="73"/>
      <c r="R296" s="86"/>
      <c r="S296" s="45">
        <v>1</v>
      </c>
      <c r="T296" s="45">
        <v>0</v>
      </c>
      <c r="U296" s="46">
        <v>0</v>
      </c>
      <c r="V296" s="46">
        <v>0.007256</v>
      </c>
      <c r="W296" s="46">
        <v>0</v>
      </c>
      <c r="X296" s="46">
        <v>0.002825</v>
      </c>
      <c r="Y296" s="46">
        <v>0</v>
      </c>
      <c r="Z296" s="46">
        <v>0</v>
      </c>
      <c r="AA296" s="68">
        <v>296</v>
      </c>
      <c r="AB296" s="68"/>
      <c r="AC296" s="69"/>
      <c r="AD296" s="76" t="s">
        <v>1541</v>
      </c>
      <c r="AE296" s="80" t="s">
        <v>1831</v>
      </c>
      <c r="AF296" s="76">
        <v>4679150</v>
      </c>
      <c r="AG296" s="76">
        <v>1949</v>
      </c>
      <c r="AH296" s="76">
        <v>9314</v>
      </c>
      <c r="AI296" s="76">
        <v>1761</v>
      </c>
      <c r="AJ296" s="76">
        <v>20</v>
      </c>
      <c r="AK296" s="76">
        <v>542</v>
      </c>
      <c r="AL296" s="76" t="b">
        <v>0</v>
      </c>
      <c r="AM296" s="78">
        <v>39950.05384259259</v>
      </c>
      <c r="AN296" s="76" t="s">
        <v>1946</v>
      </c>
      <c r="AO296" s="76" t="s">
        <v>2323</v>
      </c>
      <c r="AP296" s="82" t="str">
        <f>HYPERLINK("https://t.co/um5vJ2OdP1")</f>
        <v>https://t.co/um5vJ2OdP1</v>
      </c>
      <c r="AQ296" s="82" t="str">
        <f>HYPERLINK("http://www.FB.com/PrabowoSubianto")</f>
        <v>http://www.FB.com/PrabowoSubianto</v>
      </c>
      <c r="AR296" s="76" t="s">
        <v>2564</v>
      </c>
      <c r="AS296" s="76"/>
      <c r="AT296" s="76"/>
      <c r="AU296" s="76"/>
      <c r="AV296" s="76"/>
      <c r="AW296" s="82" t="str">
        <f>HYPERLINK("https://t.co/um5vJ2OdP1")</f>
        <v>https://t.co/um5vJ2OdP1</v>
      </c>
      <c r="AX296" s="76" t="b">
        <v>1</v>
      </c>
      <c r="AY296" s="76"/>
      <c r="AZ296" s="76"/>
      <c r="BA296" s="76" t="b">
        <v>0</v>
      </c>
      <c r="BB296" s="76" t="b">
        <v>1</v>
      </c>
      <c r="BC296" s="76" t="b">
        <v>0</v>
      </c>
      <c r="BD296" s="76" t="b">
        <v>0</v>
      </c>
      <c r="BE296" s="76" t="b">
        <v>0</v>
      </c>
      <c r="BF296" s="76" t="b">
        <v>0</v>
      </c>
      <c r="BG296" s="76" t="b">
        <v>0</v>
      </c>
      <c r="BH296" s="82" t="str">
        <f>HYPERLINK("https://pbs.twimg.com/profile_banners/40580714/1572408047")</f>
        <v>https://pbs.twimg.com/profile_banners/40580714/1572408047</v>
      </c>
      <c r="BI296" s="76"/>
      <c r="BJ296" s="76" t="s">
        <v>2656</v>
      </c>
      <c r="BK296" s="76" t="b">
        <v>0</v>
      </c>
      <c r="BL296" s="76"/>
      <c r="BM296" s="76" t="s">
        <v>65</v>
      </c>
      <c r="BN296" s="76" t="s">
        <v>2657</v>
      </c>
      <c r="BO296" s="82" t="str">
        <f>HYPERLINK("https://twitter.com/prabowo")</f>
        <v>https://twitter.com/prabowo</v>
      </c>
      <c r="BP296" s="76" t="str">
        <f>REPLACE(INDEX(GroupVertices[Group],MATCH(Vertices[[#This Row],[Vertex]],GroupVertices[Vertex],0)),1,1,"")</f>
        <v>12</v>
      </c>
      <c r="BQ296" s="45"/>
      <c r="BR296" s="46"/>
      <c r="BS296" s="45"/>
      <c r="BT296" s="46"/>
      <c r="BU296" s="45"/>
      <c r="BV296" s="46"/>
      <c r="BW296" s="45"/>
      <c r="BX296" s="46"/>
      <c r="BY296" s="45"/>
      <c r="BZ296" s="45"/>
      <c r="CA296" s="45"/>
      <c r="CB296" s="45"/>
      <c r="CC296" s="45"/>
      <c r="CD296" s="45"/>
      <c r="CE296" s="45"/>
      <c r="CF296" s="45"/>
      <c r="CG296" s="45"/>
      <c r="CH296" s="45"/>
      <c r="CI296" s="45"/>
      <c r="CJ296" s="2"/>
    </row>
    <row r="297" spans="1:88" ht="15">
      <c r="A297" s="61" t="s">
        <v>523</v>
      </c>
      <c r="B297" s="62"/>
      <c r="C297" s="62"/>
      <c r="D297" s="63">
        <v>535</v>
      </c>
      <c r="E297" s="65"/>
      <c r="F297" s="100" t="str">
        <f>HYPERLINK("https://pbs.twimg.com/profile_images/1659195167147180033/OYfHnEGk_normal.jpg")</f>
        <v>https://pbs.twimg.com/profile_images/1659195167147180033/OYfHnEGk_normal.jpg</v>
      </c>
      <c r="G297" s="62"/>
      <c r="H297" s="66" t="s">
        <v>523</v>
      </c>
      <c r="I297" s="67"/>
      <c r="J297" s="67" t="s">
        <v>159</v>
      </c>
      <c r="K297" s="66" t="s">
        <v>2951</v>
      </c>
      <c r="L297" s="70">
        <v>477.0952380952381</v>
      </c>
      <c r="M297" s="71">
        <v>8562.4111328125</v>
      </c>
      <c r="N297" s="71">
        <v>158.0724334716797</v>
      </c>
      <c r="O297" s="72"/>
      <c r="P297" s="73"/>
      <c r="Q297" s="73"/>
      <c r="R297" s="86"/>
      <c r="S297" s="45">
        <v>1</v>
      </c>
      <c r="T297" s="45">
        <v>0</v>
      </c>
      <c r="U297" s="46">
        <v>0</v>
      </c>
      <c r="V297" s="46">
        <v>0.007256</v>
      </c>
      <c r="W297" s="46">
        <v>0</v>
      </c>
      <c r="X297" s="46">
        <v>0.002825</v>
      </c>
      <c r="Y297" s="46">
        <v>0</v>
      </c>
      <c r="Z297" s="46">
        <v>0</v>
      </c>
      <c r="AA297" s="68">
        <v>297</v>
      </c>
      <c r="AB297" s="68"/>
      <c r="AC297" s="69"/>
      <c r="AD297" s="76" t="s">
        <v>1542</v>
      </c>
      <c r="AE297" s="80" t="s">
        <v>1832</v>
      </c>
      <c r="AF297" s="76">
        <v>3451166</v>
      </c>
      <c r="AG297" s="76">
        <v>3601</v>
      </c>
      <c r="AH297" s="76">
        <v>148335</v>
      </c>
      <c r="AI297" s="76">
        <v>856</v>
      </c>
      <c r="AJ297" s="76">
        <v>6</v>
      </c>
      <c r="AK297" s="76">
        <v>9187</v>
      </c>
      <c r="AL297" s="76" t="b">
        <v>0</v>
      </c>
      <c r="AM297" s="78">
        <v>40208.20579861111</v>
      </c>
      <c r="AN297" s="76" t="s">
        <v>1946</v>
      </c>
      <c r="AO297" s="76" t="s">
        <v>2324</v>
      </c>
      <c r="AP297" s="82" t="str">
        <f>HYPERLINK("https://t.co/vzE06XowWb")</f>
        <v>https://t.co/vzE06XowWb</v>
      </c>
      <c r="AQ297" s="82" t="str">
        <f>HYPERLINK("https://www.ganjarpranowo.com/")</f>
        <v>https://www.ganjarpranowo.com/</v>
      </c>
      <c r="AR297" s="76" t="s">
        <v>2565</v>
      </c>
      <c r="AS297" s="76"/>
      <c r="AT297" s="76"/>
      <c r="AU297" s="76"/>
      <c r="AV297" s="76"/>
      <c r="AW297" s="82" t="str">
        <f>HYPERLINK("https://t.co/vzE06XowWb")</f>
        <v>https://t.co/vzE06XowWb</v>
      </c>
      <c r="AX297" s="76" t="b">
        <v>1</v>
      </c>
      <c r="AY297" s="76"/>
      <c r="AZ297" s="76"/>
      <c r="BA297" s="76" t="b">
        <v>0</v>
      </c>
      <c r="BB297" s="76" t="b">
        <v>1</v>
      </c>
      <c r="BC297" s="76" t="b">
        <v>1</v>
      </c>
      <c r="BD297" s="76" t="b">
        <v>0</v>
      </c>
      <c r="BE297" s="76" t="b">
        <v>0</v>
      </c>
      <c r="BF297" s="76" t="b">
        <v>0</v>
      </c>
      <c r="BG297" s="76" t="b">
        <v>0</v>
      </c>
      <c r="BH297" s="82" t="str">
        <f>HYPERLINK("https://pbs.twimg.com/profile_banners/109762193/1564334924")</f>
        <v>https://pbs.twimg.com/profile_banners/109762193/1564334924</v>
      </c>
      <c r="BI297" s="76"/>
      <c r="BJ297" s="76" t="s">
        <v>2656</v>
      </c>
      <c r="BK297" s="76" t="b">
        <v>0</v>
      </c>
      <c r="BL297" s="76"/>
      <c r="BM297" s="76" t="s">
        <v>65</v>
      </c>
      <c r="BN297" s="76" t="s">
        <v>2657</v>
      </c>
      <c r="BO297" s="82" t="str">
        <f>HYPERLINK("https://twitter.com/ganjarpranowo")</f>
        <v>https://twitter.com/ganjarpranowo</v>
      </c>
      <c r="BP297" s="76" t="str">
        <f>REPLACE(INDEX(GroupVertices[Group],MATCH(Vertices[[#This Row],[Vertex]],GroupVertices[Vertex],0)),1,1,"")</f>
        <v>12</v>
      </c>
      <c r="BQ297" s="45"/>
      <c r="BR297" s="46"/>
      <c r="BS297" s="45"/>
      <c r="BT297" s="46"/>
      <c r="BU297" s="45"/>
      <c r="BV297" s="46"/>
      <c r="BW297" s="45"/>
      <c r="BX297" s="46"/>
      <c r="BY297" s="45"/>
      <c r="BZ297" s="45"/>
      <c r="CA297" s="45"/>
      <c r="CB297" s="45"/>
      <c r="CC297" s="45"/>
      <c r="CD297" s="45"/>
      <c r="CE297" s="45"/>
      <c r="CF297" s="45"/>
      <c r="CG297" s="45"/>
      <c r="CH297" s="45"/>
      <c r="CI297" s="45"/>
      <c r="CJ297" s="2"/>
    </row>
    <row r="298" spans="1:88" ht="15">
      <c r="A298" s="61" t="s">
        <v>524</v>
      </c>
      <c r="B298" s="62"/>
      <c r="C298" s="62"/>
      <c r="D298" s="63">
        <v>535</v>
      </c>
      <c r="E298" s="65"/>
      <c r="F298" s="100" t="str">
        <f>HYPERLINK("https://pbs.twimg.com/profile_images/1585464822581239815/8eS0NIcY_normal.jpg")</f>
        <v>https://pbs.twimg.com/profile_images/1585464822581239815/8eS0NIcY_normal.jpg</v>
      </c>
      <c r="G298" s="62"/>
      <c r="H298" s="66" t="s">
        <v>524</v>
      </c>
      <c r="I298" s="67"/>
      <c r="J298" s="67" t="s">
        <v>159</v>
      </c>
      <c r="K298" s="66" t="s">
        <v>2952</v>
      </c>
      <c r="L298" s="70">
        <v>477.0952380952381</v>
      </c>
      <c r="M298" s="71">
        <v>8304.267578125</v>
      </c>
      <c r="N298" s="71">
        <v>1926.2779541015625</v>
      </c>
      <c r="O298" s="72"/>
      <c r="P298" s="73"/>
      <c r="Q298" s="73"/>
      <c r="R298" s="86"/>
      <c r="S298" s="45">
        <v>1</v>
      </c>
      <c r="T298" s="45">
        <v>0</v>
      </c>
      <c r="U298" s="46">
        <v>0</v>
      </c>
      <c r="V298" s="46">
        <v>0.007256</v>
      </c>
      <c r="W298" s="46">
        <v>0</v>
      </c>
      <c r="X298" s="46">
        <v>0.002825</v>
      </c>
      <c r="Y298" s="46">
        <v>0</v>
      </c>
      <c r="Z298" s="46">
        <v>0</v>
      </c>
      <c r="AA298" s="68">
        <v>298</v>
      </c>
      <c r="AB298" s="68"/>
      <c r="AC298" s="69"/>
      <c r="AD298" s="76" t="s">
        <v>1543</v>
      </c>
      <c r="AE298" s="80" t="s">
        <v>1833</v>
      </c>
      <c r="AF298" s="76">
        <v>4940417</v>
      </c>
      <c r="AG298" s="76">
        <v>385</v>
      </c>
      <c r="AH298" s="76">
        <v>15034</v>
      </c>
      <c r="AI298" s="76">
        <v>1460</v>
      </c>
      <c r="AJ298" s="76">
        <v>21275</v>
      </c>
      <c r="AK298" s="76">
        <v>3736</v>
      </c>
      <c r="AL298" s="76" t="b">
        <v>0</v>
      </c>
      <c r="AM298" s="78">
        <v>40210.141493055555</v>
      </c>
      <c r="AN298" s="76" t="s">
        <v>1946</v>
      </c>
      <c r="AO298" s="76" t="s">
        <v>2325</v>
      </c>
      <c r="AP298" s="82" t="str">
        <f>HYPERLINK("https://t.co/YAI01lyU0b")</f>
        <v>https://t.co/YAI01lyU0b</v>
      </c>
      <c r="AQ298" s="82" t="str">
        <f>HYPERLINK("https://linktr.ee/anies.baswedan")</f>
        <v>https://linktr.ee/anies.baswedan</v>
      </c>
      <c r="AR298" s="76" t="s">
        <v>2566</v>
      </c>
      <c r="AS298" s="76"/>
      <c r="AT298" s="76"/>
      <c r="AU298" s="76"/>
      <c r="AV298" s="76"/>
      <c r="AW298" s="82" t="str">
        <f>HYPERLINK("https://t.co/YAI01lyU0b")</f>
        <v>https://t.co/YAI01lyU0b</v>
      </c>
      <c r="AX298" s="76" t="b">
        <v>1</v>
      </c>
      <c r="AY298" s="76"/>
      <c r="AZ298" s="76"/>
      <c r="BA298" s="76" t="b">
        <v>1</v>
      </c>
      <c r="BB298" s="76" t="b">
        <v>0</v>
      </c>
      <c r="BC298" s="76" t="b">
        <v>1</v>
      </c>
      <c r="BD298" s="76" t="b">
        <v>0</v>
      </c>
      <c r="BE298" s="76" t="b">
        <v>1</v>
      </c>
      <c r="BF298" s="76" t="b">
        <v>0</v>
      </c>
      <c r="BG298" s="76" t="b">
        <v>0</v>
      </c>
      <c r="BH298" s="82" t="str">
        <f>HYPERLINK("https://pbs.twimg.com/profile_banners/110312278/1671194359")</f>
        <v>https://pbs.twimg.com/profile_banners/110312278/1671194359</v>
      </c>
      <c r="BI298" s="76"/>
      <c r="BJ298" s="76" t="s">
        <v>2656</v>
      </c>
      <c r="BK298" s="76" t="b">
        <v>0</v>
      </c>
      <c r="BL298" s="76"/>
      <c r="BM298" s="76" t="s">
        <v>65</v>
      </c>
      <c r="BN298" s="76" t="s">
        <v>2657</v>
      </c>
      <c r="BO298" s="82" t="str">
        <f>HYPERLINK("https://twitter.com/aniesbaswedan")</f>
        <v>https://twitter.com/aniesbaswedan</v>
      </c>
      <c r="BP298" s="76" t="str">
        <f>REPLACE(INDEX(GroupVertices[Group],MATCH(Vertices[[#This Row],[Vertex]],GroupVertices[Vertex],0)),1,1,"")</f>
        <v>12</v>
      </c>
      <c r="BQ298" s="45"/>
      <c r="BR298" s="46"/>
      <c r="BS298" s="45"/>
      <c r="BT298" s="46"/>
      <c r="BU298" s="45"/>
      <c r="BV298" s="46"/>
      <c r="BW298" s="45"/>
      <c r="BX298" s="46"/>
      <c r="BY298" s="45"/>
      <c r="BZ298" s="45"/>
      <c r="CA298" s="45"/>
      <c r="CB298" s="45"/>
      <c r="CC298" s="45"/>
      <c r="CD298" s="45"/>
      <c r="CE298" s="45"/>
      <c r="CF298" s="45"/>
      <c r="CG298" s="45"/>
      <c r="CH298" s="45"/>
      <c r="CI298" s="45"/>
      <c r="CJ298" s="2"/>
    </row>
    <row r="299" spans="1:88" ht="15">
      <c r="A299" s="61" t="s">
        <v>525</v>
      </c>
      <c r="B299" s="62"/>
      <c r="C299" s="62"/>
      <c r="D299" s="63">
        <v>535</v>
      </c>
      <c r="E299" s="65"/>
      <c r="F299" s="100" t="str">
        <f>HYPERLINK("https://pbs.twimg.com/profile_images/1496761267003871232/ZG1eaj28_normal.jpg")</f>
        <v>https://pbs.twimg.com/profile_images/1496761267003871232/ZG1eaj28_normal.jpg</v>
      </c>
      <c r="G299" s="62"/>
      <c r="H299" s="66" t="s">
        <v>525</v>
      </c>
      <c r="I299" s="67"/>
      <c r="J299" s="67" t="s">
        <v>159</v>
      </c>
      <c r="K299" s="66" t="s">
        <v>2953</v>
      </c>
      <c r="L299" s="70">
        <v>477.0952380952381</v>
      </c>
      <c r="M299" s="71">
        <v>8778.3154296875</v>
      </c>
      <c r="N299" s="71">
        <v>1369.508056640625</v>
      </c>
      <c r="O299" s="72"/>
      <c r="P299" s="73"/>
      <c r="Q299" s="73"/>
      <c r="R299" s="86"/>
      <c r="S299" s="45">
        <v>1</v>
      </c>
      <c r="T299" s="45">
        <v>0</v>
      </c>
      <c r="U299" s="46">
        <v>0</v>
      </c>
      <c r="V299" s="46">
        <v>0.007256</v>
      </c>
      <c r="W299" s="46">
        <v>0</v>
      </c>
      <c r="X299" s="46">
        <v>0.002825</v>
      </c>
      <c r="Y299" s="46">
        <v>0</v>
      </c>
      <c r="Z299" s="46">
        <v>0</v>
      </c>
      <c r="AA299" s="68">
        <v>299</v>
      </c>
      <c r="AB299" s="68"/>
      <c r="AC299" s="69"/>
      <c r="AD299" s="76" t="s">
        <v>1544</v>
      </c>
      <c r="AE299" s="80" t="s">
        <v>1185</v>
      </c>
      <c r="AF299" s="76">
        <v>768</v>
      </c>
      <c r="AG299" s="76">
        <v>528</v>
      </c>
      <c r="AH299" s="76">
        <v>1188</v>
      </c>
      <c r="AI299" s="76">
        <v>0</v>
      </c>
      <c r="AJ299" s="76">
        <v>1194</v>
      </c>
      <c r="AK299" s="76">
        <v>671</v>
      </c>
      <c r="AL299" s="76" t="b">
        <v>0</v>
      </c>
      <c r="AM299" s="78">
        <v>40522.41185185185</v>
      </c>
      <c r="AN299" s="76" t="s">
        <v>1946</v>
      </c>
      <c r="AO299" s="76" t="s">
        <v>2326</v>
      </c>
      <c r="AP299" s="82" t="str">
        <f>HYPERLINK("https://t.co/djo3T4Ytwv")</f>
        <v>https://t.co/djo3T4Ytwv</v>
      </c>
      <c r="AQ299" s="82" t="str">
        <f>HYPERLINK("https://linktr.ee/Irwan.dwi.arianto")</f>
        <v>https://linktr.ee/Irwan.dwi.arianto</v>
      </c>
      <c r="AR299" s="76" t="s">
        <v>2567</v>
      </c>
      <c r="AS299" s="76"/>
      <c r="AT299" s="76"/>
      <c r="AU299" s="76"/>
      <c r="AV299" s="76">
        <v>1.27247621624361E+18</v>
      </c>
      <c r="AW299" s="82" t="str">
        <f>HYPERLINK("https://t.co/djo3T4Ytwv")</f>
        <v>https://t.co/djo3T4Ytwv</v>
      </c>
      <c r="AX299" s="76" t="b">
        <v>0</v>
      </c>
      <c r="AY299" s="76" t="b">
        <v>1</v>
      </c>
      <c r="AZ299" s="76" t="b">
        <v>1</v>
      </c>
      <c r="BA299" s="76" t="b">
        <v>1</v>
      </c>
      <c r="BB299" s="76" t="b">
        <v>0</v>
      </c>
      <c r="BC299" s="76" t="b">
        <v>1</v>
      </c>
      <c r="BD299" s="76" t="b">
        <v>0</v>
      </c>
      <c r="BE299" s="76" t="b">
        <v>0</v>
      </c>
      <c r="BF299" s="76" t="b">
        <v>0</v>
      </c>
      <c r="BG299" s="76" t="b">
        <v>0</v>
      </c>
      <c r="BH299" s="82" t="str">
        <f>HYPERLINK("https://pbs.twimg.com/profile_banners/224971239/1583077955")</f>
        <v>https://pbs.twimg.com/profile_banners/224971239/1583077955</v>
      </c>
      <c r="BI299" s="76"/>
      <c r="BJ299" s="76" t="s">
        <v>2656</v>
      </c>
      <c r="BK299" s="76" t="b">
        <v>1</v>
      </c>
      <c r="BL299" s="76"/>
      <c r="BM299" s="76" t="s">
        <v>65</v>
      </c>
      <c r="BN299" s="76" t="s">
        <v>2657</v>
      </c>
      <c r="BO299" s="82" t="str">
        <f>HYPERLINK("https://twitter.com/irwan_dwi_a")</f>
        <v>https://twitter.com/irwan_dwi_a</v>
      </c>
      <c r="BP299" s="76" t="str">
        <f>REPLACE(INDEX(GroupVertices[Group],MATCH(Vertices[[#This Row],[Vertex]],GroupVertices[Vertex],0)),1,1,"")</f>
        <v>12</v>
      </c>
      <c r="BQ299" s="45"/>
      <c r="BR299" s="46"/>
      <c r="BS299" s="45"/>
      <c r="BT299" s="46"/>
      <c r="BU299" s="45"/>
      <c r="BV299" s="46"/>
      <c r="BW299" s="45"/>
      <c r="BX299" s="46"/>
      <c r="BY299" s="45"/>
      <c r="BZ299" s="45"/>
      <c r="CA299" s="45"/>
      <c r="CB299" s="45"/>
      <c r="CC299" s="45"/>
      <c r="CD299" s="45"/>
      <c r="CE299" s="45"/>
      <c r="CF299" s="45"/>
      <c r="CG299" s="45"/>
      <c r="CH299" s="45"/>
      <c r="CI299" s="45"/>
      <c r="CJ299" s="2"/>
    </row>
    <row r="300" spans="1:88" ht="15">
      <c r="A300" s="61" t="s">
        <v>252</v>
      </c>
      <c r="B300" s="62"/>
      <c r="C300" s="62"/>
      <c r="D300" s="63">
        <v>1000</v>
      </c>
      <c r="E300" s="65"/>
      <c r="F300" s="100" t="str">
        <f>HYPERLINK("https://pbs.twimg.com/profile_images/1686727292679008256/gCNSpMpN_normal.jpg")</f>
        <v>https://pbs.twimg.com/profile_images/1686727292679008256/gCNSpMpN_normal.jpg</v>
      </c>
      <c r="G300" s="62"/>
      <c r="H300" s="66" t="s">
        <v>252</v>
      </c>
      <c r="I300" s="67"/>
      <c r="J300" s="67" t="s">
        <v>159</v>
      </c>
      <c r="K300" s="66" t="s">
        <v>2954</v>
      </c>
      <c r="L300" s="70">
        <v>953.1904761904761</v>
      </c>
      <c r="M300" s="71">
        <v>6142.56201171875</v>
      </c>
      <c r="N300" s="71">
        <v>6765.4248046875</v>
      </c>
      <c r="O300" s="72"/>
      <c r="P300" s="73"/>
      <c r="Q300" s="73"/>
      <c r="R300" s="86"/>
      <c r="S300" s="45">
        <v>2</v>
      </c>
      <c r="T300" s="45">
        <v>3</v>
      </c>
      <c r="U300" s="46">
        <v>0</v>
      </c>
      <c r="V300" s="46">
        <v>0.372834</v>
      </c>
      <c r="W300" s="46">
        <v>0.089935</v>
      </c>
      <c r="X300" s="46">
        <v>0.002939</v>
      </c>
      <c r="Y300" s="46">
        <v>0.6666666666666666</v>
      </c>
      <c r="Z300" s="46">
        <v>0.6666666666666666</v>
      </c>
      <c r="AA300" s="68">
        <v>300</v>
      </c>
      <c r="AB300" s="68"/>
      <c r="AC300" s="69"/>
      <c r="AD300" s="76" t="s">
        <v>1545</v>
      </c>
      <c r="AE300" s="80" t="s">
        <v>1186</v>
      </c>
      <c r="AF300" s="76">
        <v>3169</v>
      </c>
      <c r="AG300" s="76">
        <v>1319</v>
      </c>
      <c r="AH300" s="76">
        <v>23070</v>
      </c>
      <c r="AI300" s="76">
        <v>9</v>
      </c>
      <c r="AJ300" s="76">
        <v>29609</v>
      </c>
      <c r="AK300" s="76">
        <v>243</v>
      </c>
      <c r="AL300" s="76" t="b">
        <v>0</v>
      </c>
      <c r="AM300" s="78">
        <v>42546.25240740741</v>
      </c>
      <c r="AN300" s="76"/>
      <c r="AO300" s="76" t="s">
        <v>2327</v>
      </c>
      <c r="AP300" s="76"/>
      <c r="AQ300" s="76"/>
      <c r="AR300" s="76"/>
      <c r="AS300" s="76"/>
      <c r="AT300" s="76"/>
      <c r="AU300" s="76"/>
      <c r="AV300" s="76"/>
      <c r="AW300" s="76"/>
      <c r="AX300" s="76" t="b">
        <v>0</v>
      </c>
      <c r="AY300" s="76"/>
      <c r="AZ300" s="76"/>
      <c r="BA300" s="76" t="b">
        <v>0</v>
      </c>
      <c r="BB300" s="76" t="b">
        <v>1</v>
      </c>
      <c r="BC300" s="76" t="b">
        <v>0</v>
      </c>
      <c r="BD300" s="76" t="b">
        <v>0</v>
      </c>
      <c r="BE300" s="76" t="b">
        <v>1</v>
      </c>
      <c r="BF300" s="76" t="b">
        <v>0</v>
      </c>
      <c r="BG300" s="76" t="b">
        <v>0</v>
      </c>
      <c r="BH300" s="82" t="str">
        <f>HYPERLINK("https://pbs.twimg.com/profile_banners/746584574038257664/1669276378")</f>
        <v>https://pbs.twimg.com/profile_banners/746584574038257664/1669276378</v>
      </c>
      <c r="BI300" s="76"/>
      <c r="BJ300" s="76" t="s">
        <v>2656</v>
      </c>
      <c r="BK300" s="76" t="b">
        <v>0</v>
      </c>
      <c r="BL300" s="76"/>
      <c r="BM300" s="76" t="s">
        <v>66</v>
      </c>
      <c r="BN300" s="76" t="s">
        <v>2657</v>
      </c>
      <c r="BO300" s="82" t="str">
        <f>HYPERLINK("https://twitter.com/samisyrjamaki")</f>
        <v>https://twitter.com/samisyrjamaki</v>
      </c>
      <c r="BP300" s="76" t="str">
        <f>REPLACE(INDEX(GroupVertices[Group],MATCH(Vertices[[#This Row],[Vertex]],GroupVertices[Vertex],0)),1,1,"")</f>
        <v>2</v>
      </c>
      <c r="BQ300" s="45">
        <v>0</v>
      </c>
      <c r="BR300" s="46">
        <v>0</v>
      </c>
      <c r="BS300" s="45">
        <v>0</v>
      </c>
      <c r="BT300" s="46">
        <v>0</v>
      </c>
      <c r="BU300" s="45">
        <v>0</v>
      </c>
      <c r="BV300" s="46">
        <v>0</v>
      </c>
      <c r="BW300" s="45">
        <v>28</v>
      </c>
      <c r="BX300" s="46">
        <v>87.5</v>
      </c>
      <c r="BY300" s="45">
        <v>32</v>
      </c>
      <c r="BZ300" s="45"/>
      <c r="CA300" s="45"/>
      <c r="CB300" s="45"/>
      <c r="CC300" s="45"/>
      <c r="CD300" s="45"/>
      <c r="CE300" s="45"/>
      <c r="CF300" s="112" t="s">
        <v>11620</v>
      </c>
      <c r="CG300" s="112" t="s">
        <v>11637</v>
      </c>
      <c r="CH300" s="112" t="s">
        <v>11675</v>
      </c>
      <c r="CI300" s="112" t="s">
        <v>11689</v>
      </c>
      <c r="CJ300" s="2"/>
    </row>
    <row r="301" spans="1:88" ht="15">
      <c r="A301" s="61" t="s">
        <v>253</v>
      </c>
      <c r="B301" s="62"/>
      <c r="C301" s="62"/>
      <c r="D301" s="63">
        <v>1000</v>
      </c>
      <c r="E301" s="65"/>
      <c r="F301" s="100" t="str">
        <f>HYPERLINK("https://pbs.twimg.com/profile_images/932214325909053440/xREfIOx-_normal.jpg")</f>
        <v>https://pbs.twimg.com/profile_images/932214325909053440/xREfIOx-_normal.jpg</v>
      </c>
      <c r="G301" s="62"/>
      <c r="H301" s="66" t="s">
        <v>253</v>
      </c>
      <c r="I301" s="67"/>
      <c r="J301" s="67" t="s">
        <v>159</v>
      </c>
      <c r="K301" s="66" t="s">
        <v>2955</v>
      </c>
      <c r="L301" s="70">
        <v>953.1904761904761</v>
      </c>
      <c r="M301" s="71">
        <v>5832.2587890625</v>
      </c>
      <c r="N301" s="71">
        <v>6824.181640625</v>
      </c>
      <c r="O301" s="72"/>
      <c r="P301" s="73"/>
      <c r="Q301" s="73"/>
      <c r="R301" s="86"/>
      <c r="S301" s="45">
        <v>2</v>
      </c>
      <c r="T301" s="45">
        <v>3</v>
      </c>
      <c r="U301" s="46">
        <v>0</v>
      </c>
      <c r="V301" s="46">
        <v>0.372834</v>
      </c>
      <c r="W301" s="46">
        <v>0.089935</v>
      </c>
      <c r="X301" s="46">
        <v>0.002939</v>
      </c>
      <c r="Y301" s="46">
        <v>0.6666666666666666</v>
      </c>
      <c r="Z301" s="46">
        <v>0.6666666666666666</v>
      </c>
      <c r="AA301" s="68">
        <v>301</v>
      </c>
      <c r="AB301" s="68"/>
      <c r="AC301" s="69"/>
      <c r="AD301" s="76" t="s">
        <v>1546</v>
      </c>
      <c r="AE301" s="80" t="s">
        <v>1180</v>
      </c>
      <c r="AF301" s="76">
        <v>2131</v>
      </c>
      <c r="AG301" s="76">
        <v>2266</v>
      </c>
      <c r="AH301" s="76">
        <v>18440</v>
      </c>
      <c r="AI301" s="76">
        <v>178</v>
      </c>
      <c r="AJ301" s="76">
        <v>22651</v>
      </c>
      <c r="AK301" s="76">
        <v>627</v>
      </c>
      <c r="AL301" s="76" t="b">
        <v>0</v>
      </c>
      <c r="AM301" s="78">
        <v>39514.51770833333</v>
      </c>
      <c r="AN301" s="76" t="s">
        <v>1853</v>
      </c>
      <c r="AO301" s="76" t="s">
        <v>2328</v>
      </c>
      <c r="AP301" s="76"/>
      <c r="AQ301" s="76"/>
      <c r="AR301" s="76"/>
      <c r="AS301" s="76"/>
      <c r="AT301" s="76"/>
      <c r="AU301" s="76"/>
      <c r="AV301" s="76"/>
      <c r="AW301" s="76"/>
      <c r="AX301" s="76" t="b">
        <v>0</v>
      </c>
      <c r="AY301" s="76"/>
      <c r="AZ301" s="76" t="b">
        <v>1</v>
      </c>
      <c r="BA301" s="76" t="b">
        <v>0</v>
      </c>
      <c r="BB301" s="76" t="b">
        <v>1</v>
      </c>
      <c r="BC301" s="76" t="b">
        <v>0</v>
      </c>
      <c r="BD301" s="76" t="b">
        <v>0</v>
      </c>
      <c r="BE301" s="76" t="b">
        <v>1</v>
      </c>
      <c r="BF301" s="76" t="b">
        <v>0</v>
      </c>
      <c r="BG301" s="76" t="b">
        <v>0</v>
      </c>
      <c r="BH301" s="82" t="str">
        <f>HYPERLINK("https://pbs.twimg.com/profile_banners/14094651/1572693988")</f>
        <v>https://pbs.twimg.com/profile_banners/14094651/1572693988</v>
      </c>
      <c r="BI301" s="76"/>
      <c r="BJ301" s="76" t="s">
        <v>2656</v>
      </c>
      <c r="BK301" s="76" t="b">
        <v>1</v>
      </c>
      <c r="BL301" s="76"/>
      <c r="BM301" s="76" t="s">
        <v>66</v>
      </c>
      <c r="BN301" s="76" t="s">
        <v>2657</v>
      </c>
      <c r="BO301" s="82" t="str">
        <f>HYPERLINK("https://twitter.com/jnkka")</f>
        <v>https://twitter.com/jnkka</v>
      </c>
      <c r="BP301" s="76" t="str">
        <f>REPLACE(INDEX(GroupVertices[Group],MATCH(Vertices[[#This Row],[Vertex]],GroupVertices[Vertex],0)),1,1,"")</f>
        <v>2</v>
      </c>
      <c r="BQ301" s="45">
        <v>0</v>
      </c>
      <c r="BR301" s="46">
        <v>0</v>
      </c>
      <c r="BS301" s="45">
        <v>0</v>
      </c>
      <c r="BT301" s="46">
        <v>0</v>
      </c>
      <c r="BU301" s="45">
        <v>0</v>
      </c>
      <c r="BV301" s="46">
        <v>0</v>
      </c>
      <c r="BW301" s="45">
        <v>9</v>
      </c>
      <c r="BX301" s="46">
        <v>90</v>
      </c>
      <c r="BY301" s="45">
        <v>10</v>
      </c>
      <c r="BZ301" s="45"/>
      <c r="CA301" s="45"/>
      <c r="CB301" s="45"/>
      <c r="CC301" s="45"/>
      <c r="CD301" s="45"/>
      <c r="CE301" s="45"/>
      <c r="CF301" s="112" t="s">
        <v>11621</v>
      </c>
      <c r="CG301" s="112" t="s">
        <v>11621</v>
      </c>
      <c r="CH301" s="112" t="s">
        <v>11676</v>
      </c>
      <c r="CI301" s="112" t="s">
        <v>11676</v>
      </c>
      <c r="CJ301" s="2"/>
    </row>
    <row r="302" spans="1:88" ht="15">
      <c r="A302" s="61" t="s">
        <v>254</v>
      </c>
      <c r="B302" s="62"/>
      <c r="C302" s="62"/>
      <c r="D302" s="63">
        <v>535</v>
      </c>
      <c r="E302" s="65"/>
      <c r="F302" s="100" t="str">
        <f>HYPERLINK("https://pbs.twimg.com/profile_images/1684412156165640194/McWrCZHA_normal.jpg")</f>
        <v>https://pbs.twimg.com/profile_images/1684412156165640194/McWrCZHA_normal.jpg</v>
      </c>
      <c r="G302" s="62"/>
      <c r="H302" s="66" t="s">
        <v>254</v>
      </c>
      <c r="I302" s="67"/>
      <c r="J302" s="67" t="s">
        <v>159</v>
      </c>
      <c r="K302" s="66" t="s">
        <v>2956</v>
      </c>
      <c r="L302" s="70">
        <v>477.0952380952381</v>
      </c>
      <c r="M302" s="71">
        <v>7756.65478515625</v>
      </c>
      <c r="N302" s="71">
        <v>1494.9488525390625</v>
      </c>
      <c r="O302" s="72"/>
      <c r="P302" s="73"/>
      <c r="Q302" s="73"/>
      <c r="R302" s="86"/>
      <c r="S302" s="45">
        <v>1</v>
      </c>
      <c r="T302" s="45">
        <v>1</v>
      </c>
      <c r="U302" s="46">
        <v>0</v>
      </c>
      <c r="V302" s="46">
        <v>0</v>
      </c>
      <c r="W302" s="46">
        <v>0</v>
      </c>
      <c r="X302" s="46">
        <v>0.003165</v>
      </c>
      <c r="Y302" s="46">
        <v>0</v>
      </c>
      <c r="Z302" s="46">
        <v>0</v>
      </c>
      <c r="AA302" s="68">
        <v>302</v>
      </c>
      <c r="AB302" s="68"/>
      <c r="AC302" s="69"/>
      <c r="AD302" s="76" t="s">
        <v>1547</v>
      </c>
      <c r="AE302" s="80" t="s">
        <v>1211</v>
      </c>
      <c r="AF302" s="76">
        <v>0</v>
      </c>
      <c r="AG302" s="76">
        <v>11</v>
      </c>
      <c r="AH302" s="76">
        <v>10</v>
      </c>
      <c r="AI302" s="76">
        <v>0</v>
      </c>
      <c r="AJ302" s="76">
        <v>0</v>
      </c>
      <c r="AK302" s="76">
        <v>1</v>
      </c>
      <c r="AL302" s="76" t="b">
        <v>0</v>
      </c>
      <c r="AM302" s="78">
        <v>45127.32759259259</v>
      </c>
      <c r="AN302" s="76"/>
      <c r="AO302" s="76" t="s">
        <v>2329</v>
      </c>
      <c r="AP302" s="76"/>
      <c r="AQ302" s="76"/>
      <c r="AR302" s="76"/>
      <c r="AS302" s="76"/>
      <c r="AT302" s="76"/>
      <c r="AU302" s="76"/>
      <c r="AV302" s="76"/>
      <c r="AW302" s="76"/>
      <c r="AX302" s="76" t="b">
        <v>0</v>
      </c>
      <c r="AY302" s="76"/>
      <c r="AZ302" s="76"/>
      <c r="BA302" s="76" t="b">
        <v>0</v>
      </c>
      <c r="BB302" s="76" t="b">
        <v>1</v>
      </c>
      <c r="BC302" s="76" t="b">
        <v>1</v>
      </c>
      <c r="BD302" s="76" t="b">
        <v>0</v>
      </c>
      <c r="BE302" s="76" t="b">
        <v>0</v>
      </c>
      <c r="BF302" s="76" t="b">
        <v>0</v>
      </c>
      <c r="BG302" s="76" t="b">
        <v>0</v>
      </c>
      <c r="BH302" s="82" t="str">
        <f>HYPERLINK("https://pbs.twimg.com/profile_banners/1681934793674747904/1689840532")</f>
        <v>https://pbs.twimg.com/profile_banners/1681934793674747904/1689840532</v>
      </c>
      <c r="BI302" s="76"/>
      <c r="BJ302" s="76" t="s">
        <v>2656</v>
      </c>
      <c r="BK302" s="76" t="b">
        <v>0</v>
      </c>
      <c r="BL302" s="76"/>
      <c r="BM302" s="76" t="s">
        <v>66</v>
      </c>
      <c r="BN302" s="76" t="s">
        <v>2657</v>
      </c>
      <c r="BO302" s="82" t="str">
        <f>HYPERLINK("https://twitter.com/heortyw")</f>
        <v>https://twitter.com/heortyw</v>
      </c>
      <c r="BP302" s="76" t="str">
        <f>REPLACE(INDEX(GroupVertices[Group],MATCH(Vertices[[#This Row],[Vertex]],GroupVertices[Vertex],0)),1,1,"")</f>
        <v>11</v>
      </c>
      <c r="BQ302" s="45">
        <v>0</v>
      </c>
      <c r="BR302" s="46">
        <v>0</v>
      </c>
      <c r="BS302" s="45">
        <v>0</v>
      </c>
      <c r="BT302" s="46">
        <v>0</v>
      </c>
      <c r="BU302" s="45">
        <v>0</v>
      </c>
      <c r="BV302" s="46">
        <v>0</v>
      </c>
      <c r="BW302" s="45">
        <v>27</v>
      </c>
      <c r="BX302" s="46">
        <v>69.23076923076923</v>
      </c>
      <c r="BY302" s="45">
        <v>39</v>
      </c>
      <c r="BZ302" s="45" t="s">
        <v>11545</v>
      </c>
      <c r="CA302" s="45" t="s">
        <v>11545</v>
      </c>
      <c r="CB302" s="45" t="s">
        <v>748</v>
      </c>
      <c r="CC302" s="45" t="s">
        <v>748</v>
      </c>
      <c r="CD302" s="45" t="s">
        <v>711</v>
      </c>
      <c r="CE302" s="45" t="s">
        <v>711</v>
      </c>
      <c r="CF302" s="112" t="s">
        <v>11622</v>
      </c>
      <c r="CG302" s="112" t="s">
        <v>11622</v>
      </c>
      <c r="CH302" s="112" t="s">
        <v>11677</v>
      </c>
      <c r="CI302" s="112" t="s">
        <v>11677</v>
      </c>
      <c r="CJ302" s="2"/>
    </row>
    <row r="303" spans="1:88" ht="15">
      <c r="A303" s="61" t="s">
        <v>256</v>
      </c>
      <c r="B303" s="62"/>
      <c r="C303" s="62"/>
      <c r="D303" s="63">
        <v>535</v>
      </c>
      <c r="E303" s="65"/>
      <c r="F303" s="100" t="str">
        <f>HYPERLINK("https://pbs.twimg.com/profile_images/1681934377188757506/4cVj3Vsf_normal.jpg")</f>
        <v>https://pbs.twimg.com/profile_images/1681934377188757506/4cVj3Vsf_normal.jpg</v>
      </c>
      <c r="G303" s="62"/>
      <c r="H303" s="66" t="s">
        <v>256</v>
      </c>
      <c r="I303" s="67"/>
      <c r="J303" s="67" t="s">
        <v>159</v>
      </c>
      <c r="K303" s="66" t="s">
        <v>2957</v>
      </c>
      <c r="L303" s="70">
        <v>477.0952380952381</v>
      </c>
      <c r="M303" s="71">
        <v>6403.28759765625</v>
      </c>
      <c r="N303" s="71">
        <v>955.7867431640625</v>
      </c>
      <c r="O303" s="72"/>
      <c r="P303" s="73"/>
      <c r="Q303" s="73"/>
      <c r="R303" s="86"/>
      <c r="S303" s="45">
        <v>1</v>
      </c>
      <c r="T303" s="45">
        <v>1</v>
      </c>
      <c r="U303" s="46">
        <v>0</v>
      </c>
      <c r="V303" s="46">
        <v>0</v>
      </c>
      <c r="W303" s="46">
        <v>0</v>
      </c>
      <c r="X303" s="46">
        <v>0.003165</v>
      </c>
      <c r="Y303" s="46">
        <v>0</v>
      </c>
      <c r="Z303" s="46">
        <v>0</v>
      </c>
      <c r="AA303" s="68">
        <v>303</v>
      </c>
      <c r="AB303" s="68"/>
      <c r="AC303" s="69"/>
      <c r="AD303" s="76" t="s">
        <v>1548</v>
      </c>
      <c r="AE303" s="80" t="s">
        <v>1212</v>
      </c>
      <c r="AF303" s="76">
        <v>0</v>
      </c>
      <c r="AG303" s="76">
        <v>3</v>
      </c>
      <c r="AH303" s="76">
        <v>12</v>
      </c>
      <c r="AI303" s="76">
        <v>0</v>
      </c>
      <c r="AJ303" s="76">
        <v>0</v>
      </c>
      <c r="AK303" s="76">
        <v>0</v>
      </c>
      <c r="AL303" s="76" t="b">
        <v>0</v>
      </c>
      <c r="AM303" s="78">
        <v>45127.32568287037</v>
      </c>
      <c r="AN303" s="76"/>
      <c r="AO303" s="76"/>
      <c r="AP303" s="76"/>
      <c r="AQ303" s="76"/>
      <c r="AR303" s="76"/>
      <c r="AS303" s="76"/>
      <c r="AT303" s="76"/>
      <c r="AU303" s="76"/>
      <c r="AV303" s="76"/>
      <c r="AW303" s="76"/>
      <c r="AX303" s="76" t="b">
        <v>0</v>
      </c>
      <c r="AY303" s="76"/>
      <c r="AZ303" s="76"/>
      <c r="BA303" s="76" t="b">
        <v>0</v>
      </c>
      <c r="BB303" s="76" t="b">
        <v>1</v>
      </c>
      <c r="BC303" s="76" t="b">
        <v>1</v>
      </c>
      <c r="BD303" s="76" t="b">
        <v>0</v>
      </c>
      <c r="BE303" s="76" t="b">
        <v>0</v>
      </c>
      <c r="BF303" s="76" t="b">
        <v>0</v>
      </c>
      <c r="BG303" s="76" t="b">
        <v>0</v>
      </c>
      <c r="BH303" s="76"/>
      <c r="BI303" s="76"/>
      <c r="BJ303" s="76" t="s">
        <v>2656</v>
      </c>
      <c r="BK303" s="76" t="b">
        <v>0</v>
      </c>
      <c r="BL303" s="76"/>
      <c r="BM303" s="76" t="s">
        <v>66</v>
      </c>
      <c r="BN303" s="76" t="s">
        <v>2657</v>
      </c>
      <c r="BO303" s="82" t="str">
        <f>HYPERLINK("https://twitter.com/anningyeye")</f>
        <v>https://twitter.com/anningyeye</v>
      </c>
      <c r="BP303" s="76" t="str">
        <f>REPLACE(INDEX(GroupVertices[Group],MATCH(Vertices[[#This Row],[Vertex]],GroupVertices[Vertex],0)),1,1,"")</f>
        <v>11</v>
      </c>
      <c r="BQ303" s="45">
        <v>0</v>
      </c>
      <c r="BR303" s="46">
        <v>0</v>
      </c>
      <c r="BS303" s="45">
        <v>0</v>
      </c>
      <c r="BT303" s="46">
        <v>0</v>
      </c>
      <c r="BU303" s="45">
        <v>0</v>
      </c>
      <c r="BV303" s="46">
        <v>0</v>
      </c>
      <c r="BW303" s="45">
        <v>27</v>
      </c>
      <c r="BX303" s="46">
        <v>84.375</v>
      </c>
      <c r="BY303" s="45">
        <v>32</v>
      </c>
      <c r="BZ303" s="45"/>
      <c r="CA303" s="45"/>
      <c r="CB303" s="45"/>
      <c r="CC303" s="45"/>
      <c r="CD303" s="45" t="s">
        <v>712</v>
      </c>
      <c r="CE303" s="45" t="s">
        <v>11581</v>
      </c>
      <c r="CF303" s="112" t="s">
        <v>11623</v>
      </c>
      <c r="CG303" s="112" t="s">
        <v>11623</v>
      </c>
      <c r="CH303" s="112" t="s">
        <v>11678</v>
      </c>
      <c r="CI303" s="112" t="s">
        <v>11678</v>
      </c>
      <c r="CJ303" s="2"/>
    </row>
    <row r="304" spans="1:88" ht="15">
      <c r="A304" s="61" t="s">
        <v>257</v>
      </c>
      <c r="B304" s="62"/>
      <c r="C304" s="62"/>
      <c r="D304" s="63">
        <v>70</v>
      </c>
      <c r="E304" s="65"/>
      <c r="F304" s="100" t="str">
        <f>HYPERLINK("https://pbs.twimg.com/profile_images/1277223966705192966/aIT6N-WJ_normal.jpg")</f>
        <v>https://pbs.twimg.com/profile_images/1277223966705192966/aIT6N-WJ_normal.jpg</v>
      </c>
      <c r="G304" s="62"/>
      <c r="H304" s="66" t="s">
        <v>257</v>
      </c>
      <c r="I304" s="67"/>
      <c r="J304" s="67" t="s">
        <v>159</v>
      </c>
      <c r="K304" s="66" t="s">
        <v>2958</v>
      </c>
      <c r="L304" s="70">
        <v>1</v>
      </c>
      <c r="M304" s="71">
        <v>8997.78515625</v>
      </c>
      <c r="N304" s="71">
        <v>4860.26416015625</v>
      </c>
      <c r="O304" s="72"/>
      <c r="P304" s="73"/>
      <c r="Q304" s="73"/>
      <c r="R304" s="86"/>
      <c r="S304" s="45">
        <v>0</v>
      </c>
      <c r="T304" s="45">
        <v>15</v>
      </c>
      <c r="U304" s="46">
        <v>3731</v>
      </c>
      <c r="V304" s="46">
        <v>0.324641</v>
      </c>
      <c r="W304" s="46">
        <v>0.036019</v>
      </c>
      <c r="X304" s="46">
        <v>0.005518</v>
      </c>
      <c r="Y304" s="46">
        <v>0.06666666666666667</v>
      </c>
      <c r="Z304" s="46">
        <v>0</v>
      </c>
      <c r="AA304" s="68">
        <v>304</v>
      </c>
      <c r="AB304" s="68"/>
      <c r="AC304" s="69"/>
      <c r="AD304" s="76" t="s">
        <v>1549</v>
      </c>
      <c r="AE304" s="80" t="s">
        <v>1213</v>
      </c>
      <c r="AF304" s="76">
        <v>2637</v>
      </c>
      <c r="AG304" s="76">
        <v>551</v>
      </c>
      <c r="AH304" s="76">
        <v>15032</v>
      </c>
      <c r="AI304" s="76">
        <v>50</v>
      </c>
      <c r="AJ304" s="76">
        <v>17424</v>
      </c>
      <c r="AK304" s="76">
        <v>4838</v>
      </c>
      <c r="AL304" s="76" t="b">
        <v>0</v>
      </c>
      <c r="AM304" s="78">
        <v>43393.72331018518</v>
      </c>
      <c r="AN304" s="76" t="s">
        <v>2035</v>
      </c>
      <c r="AO304" s="76" t="s">
        <v>2330</v>
      </c>
      <c r="AP304" s="82" t="str">
        <f>HYPERLINK("https://t.co/WZxQKlKGDh")</f>
        <v>https://t.co/WZxQKlKGDh</v>
      </c>
      <c r="AQ304" s="82" t="str">
        <f>HYPERLINK("https://www.linkedin.com/in/pinakilaskar/")</f>
        <v>https://www.linkedin.com/in/pinakilaskar/</v>
      </c>
      <c r="AR304" s="76" t="s">
        <v>2568</v>
      </c>
      <c r="AS304" s="76"/>
      <c r="AT304" s="76"/>
      <c r="AU304" s="76"/>
      <c r="AV304" s="76">
        <v>1.63752955073227E+18</v>
      </c>
      <c r="AW304" s="82" t="str">
        <f>HYPERLINK("https://t.co/WZxQKlKGDh")</f>
        <v>https://t.co/WZxQKlKGDh</v>
      </c>
      <c r="AX304" s="76" t="b">
        <v>0</v>
      </c>
      <c r="AY304" s="76"/>
      <c r="AZ304" s="76"/>
      <c r="BA304" s="76" t="b">
        <v>0</v>
      </c>
      <c r="BB304" s="76" t="b">
        <v>1</v>
      </c>
      <c r="BC304" s="76" t="b">
        <v>0</v>
      </c>
      <c r="BD304" s="76" t="b">
        <v>0</v>
      </c>
      <c r="BE304" s="76" t="b">
        <v>0</v>
      </c>
      <c r="BF304" s="76" t="b">
        <v>0</v>
      </c>
      <c r="BG304" s="76" t="b">
        <v>0</v>
      </c>
      <c r="BH304" s="82" t="str">
        <f>HYPERLINK("https://pbs.twimg.com/profile_banners/1053697748321501184/1593436911")</f>
        <v>https://pbs.twimg.com/profile_banners/1053697748321501184/1593436911</v>
      </c>
      <c r="BI304" s="76"/>
      <c r="BJ304" s="76" t="s">
        <v>2656</v>
      </c>
      <c r="BK304" s="76" t="b">
        <v>0</v>
      </c>
      <c r="BL304" s="76"/>
      <c r="BM304" s="76" t="s">
        <v>66</v>
      </c>
      <c r="BN304" s="76" t="s">
        <v>2657</v>
      </c>
      <c r="BO304" s="82" t="str">
        <f>HYPERLINK("https://twitter.com/pinakilaskar")</f>
        <v>https://twitter.com/pinakilaskar</v>
      </c>
      <c r="BP304" s="76" t="str">
        <f>REPLACE(INDEX(GroupVertices[Group],MATCH(Vertices[[#This Row],[Vertex]],GroupVertices[Vertex],0)),1,1,"")</f>
        <v>7</v>
      </c>
      <c r="BQ304" s="45">
        <v>5</v>
      </c>
      <c r="BR304" s="46">
        <v>1.5625</v>
      </c>
      <c r="BS304" s="45">
        <v>5</v>
      </c>
      <c r="BT304" s="46">
        <v>1.5625</v>
      </c>
      <c r="BU304" s="45">
        <v>0</v>
      </c>
      <c r="BV304" s="46">
        <v>0</v>
      </c>
      <c r="BW304" s="45">
        <v>261</v>
      </c>
      <c r="BX304" s="46">
        <v>81.5625</v>
      </c>
      <c r="BY304" s="45">
        <v>320</v>
      </c>
      <c r="BZ304" s="45" t="s">
        <v>11546</v>
      </c>
      <c r="CA304" s="45" t="s">
        <v>11553</v>
      </c>
      <c r="CB304" s="45" t="s">
        <v>749</v>
      </c>
      <c r="CC304" s="45" t="s">
        <v>749</v>
      </c>
      <c r="CD304" s="45" t="s">
        <v>11568</v>
      </c>
      <c r="CE304" s="45" t="s">
        <v>11582</v>
      </c>
      <c r="CF304" s="112" t="s">
        <v>11624</v>
      </c>
      <c r="CG304" s="112" t="s">
        <v>11638</v>
      </c>
      <c r="CH304" s="112" t="s">
        <v>11679</v>
      </c>
      <c r="CI304" s="112" t="s">
        <v>11690</v>
      </c>
      <c r="CJ304" s="2"/>
    </row>
    <row r="305" spans="1:88" ht="15">
      <c r="A305" s="61" t="s">
        <v>526</v>
      </c>
      <c r="B305" s="62"/>
      <c r="C305" s="62"/>
      <c r="D305" s="63">
        <v>1000</v>
      </c>
      <c r="E305" s="65"/>
      <c r="F305" s="100" t="str">
        <f>HYPERLINK("https://pbs.twimg.com/profile_images/1206978105941716992/6oTs5P_3_normal.jpg")</f>
        <v>https://pbs.twimg.com/profile_images/1206978105941716992/6oTs5P_3_normal.jpg</v>
      </c>
      <c r="G305" s="62"/>
      <c r="H305" s="66" t="s">
        <v>526</v>
      </c>
      <c r="I305" s="67"/>
      <c r="J305" s="67" t="s">
        <v>159</v>
      </c>
      <c r="K305" s="66" t="s">
        <v>2959</v>
      </c>
      <c r="L305" s="70">
        <v>953.1904761904761</v>
      </c>
      <c r="M305" s="71">
        <v>8205.30078125</v>
      </c>
      <c r="N305" s="71">
        <v>4394.30419921875</v>
      </c>
      <c r="O305" s="72"/>
      <c r="P305" s="73"/>
      <c r="Q305" s="73"/>
      <c r="R305" s="86"/>
      <c r="S305" s="45">
        <v>2</v>
      </c>
      <c r="T305" s="45">
        <v>0</v>
      </c>
      <c r="U305" s="46">
        <v>0</v>
      </c>
      <c r="V305" s="46">
        <v>0.241495</v>
      </c>
      <c r="W305" s="46">
        <v>0.006472</v>
      </c>
      <c r="X305" s="46">
        <v>0.0028</v>
      </c>
      <c r="Y305" s="46">
        <v>0.5</v>
      </c>
      <c r="Z305" s="46">
        <v>0</v>
      </c>
      <c r="AA305" s="68">
        <v>305</v>
      </c>
      <c r="AB305" s="68"/>
      <c r="AC305" s="69"/>
      <c r="AD305" s="76" t="s">
        <v>1550</v>
      </c>
      <c r="AE305" s="80" t="s">
        <v>1834</v>
      </c>
      <c r="AF305" s="76">
        <v>3467</v>
      </c>
      <c r="AG305" s="76">
        <v>1</v>
      </c>
      <c r="AH305" s="76">
        <v>131903</v>
      </c>
      <c r="AI305" s="76">
        <v>25</v>
      </c>
      <c r="AJ305" s="76">
        <v>1093</v>
      </c>
      <c r="AK305" s="76">
        <v>104</v>
      </c>
      <c r="AL305" s="76" t="b">
        <v>0</v>
      </c>
      <c r="AM305" s="78">
        <v>43816.61512731481</v>
      </c>
      <c r="AN305" s="76"/>
      <c r="AO305" s="76" t="s">
        <v>2331</v>
      </c>
      <c r="AP305" s="82" t="str">
        <f>HYPERLINK("https://t.co/XLVVUViHqQ")</f>
        <v>https://t.co/XLVVUViHqQ</v>
      </c>
      <c r="AQ305" s="82" t="str">
        <f>HYPERLINK("https://medium.com/think-ing")</f>
        <v>https://medium.com/think-ing</v>
      </c>
      <c r="AR305" s="76" t="s">
        <v>2569</v>
      </c>
      <c r="AS305" s="76"/>
      <c r="AT305" s="76"/>
      <c r="AU305" s="76"/>
      <c r="AV305" s="76">
        <v>1.27691104938026E+18</v>
      </c>
      <c r="AW305" s="82" t="str">
        <f>HYPERLINK("https://t.co/XLVVUViHqQ")</f>
        <v>https://t.co/XLVVUViHqQ</v>
      </c>
      <c r="AX305" s="76" t="b">
        <v>0</v>
      </c>
      <c r="AY305" s="76"/>
      <c r="AZ305" s="76"/>
      <c r="BA305" s="76" t="b">
        <v>1</v>
      </c>
      <c r="BB305" s="76" t="b">
        <v>1</v>
      </c>
      <c r="BC305" s="76" t="b">
        <v>1</v>
      </c>
      <c r="BD305" s="76" t="b">
        <v>0</v>
      </c>
      <c r="BE305" s="76" t="b">
        <v>1</v>
      </c>
      <c r="BF305" s="76" t="b">
        <v>0</v>
      </c>
      <c r="BG305" s="76" t="b">
        <v>0</v>
      </c>
      <c r="BH305" s="82" t="str">
        <f>HYPERLINK("https://pbs.twimg.com/profile_banners/1206948532495753217/1576600819")</f>
        <v>https://pbs.twimg.com/profile_banners/1206948532495753217/1576600819</v>
      </c>
      <c r="BI305" s="76"/>
      <c r="BJ305" s="76" t="s">
        <v>2656</v>
      </c>
      <c r="BK305" s="76" t="b">
        <v>0</v>
      </c>
      <c r="BL305" s="76"/>
      <c r="BM305" s="76" t="s">
        <v>65</v>
      </c>
      <c r="BN305" s="76" t="s">
        <v>2657</v>
      </c>
      <c r="BO305" s="82" t="str">
        <f>HYPERLINK("https://twitter.com/_thinkbot")</f>
        <v>https://twitter.com/_thinkbot</v>
      </c>
      <c r="BP305" s="76" t="str">
        <f>REPLACE(INDEX(GroupVertices[Group],MATCH(Vertices[[#This Row],[Vertex]],GroupVertices[Vertex],0)),1,1,"")</f>
        <v>7</v>
      </c>
      <c r="BQ305" s="45"/>
      <c r="BR305" s="46"/>
      <c r="BS305" s="45"/>
      <c r="BT305" s="46"/>
      <c r="BU305" s="45"/>
      <c r="BV305" s="46"/>
      <c r="BW305" s="45"/>
      <c r="BX305" s="46"/>
      <c r="BY305" s="45"/>
      <c r="BZ305" s="45"/>
      <c r="CA305" s="45"/>
      <c r="CB305" s="45"/>
      <c r="CC305" s="45"/>
      <c r="CD305" s="45"/>
      <c r="CE305" s="45"/>
      <c r="CF305" s="45"/>
      <c r="CG305" s="45"/>
      <c r="CH305" s="45"/>
      <c r="CI305" s="45"/>
      <c r="CJ305" s="2"/>
    </row>
    <row r="306" spans="1:88" ht="15">
      <c r="A306" s="61" t="s">
        <v>527</v>
      </c>
      <c r="B306" s="62"/>
      <c r="C306" s="62"/>
      <c r="D306" s="63">
        <v>1000</v>
      </c>
      <c r="E306" s="65"/>
      <c r="F306" s="100" t="str">
        <f>HYPERLINK("https://pbs.twimg.com/profile_images/1358834299538051072/F0cQFEjK_normal.jpg")</f>
        <v>https://pbs.twimg.com/profile_images/1358834299538051072/F0cQFEjK_normal.jpg</v>
      </c>
      <c r="G306" s="62"/>
      <c r="H306" s="66" t="s">
        <v>527</v>
      </c>
      <c r="I306" s="67"/>
      <c r="J306" s="67" t="s">
        <v>159</v>
      </c>
      <c r="K306" s="66" t="s">
        <v>2960</v>
      </c>
      <c r="L306" s="70">
        <v>953.1904761904761</v>
      </c>
      <c r="M306" s="71">
        <v>8451.302734375</v>
      </c>
      <c r="N306" s="71">
        <v>5869.62939453125</v>
      </c>
      <c r="O306" s="72"/>
      <c r="P306" s="73"/>
      <c r="Q306" s="73"/>
      <c r="R306" s="86"/>
      <c r="S306" s="45">
        <v>2</v>
      </c>
      <c r="T306" s="45">
        <v>0</v>
      </c>
      <c r="U306" s="46">
        <v>0</v>
      </c>
      <c r="V306" s="46">
        <v>0.241495</v>
      </c>
      <c r="W306" s="46">
        <v>0.006472</v>
      </c>
      <c r="X306" s="46">
        <v>0.0028</v>
      </c>
      <c r="Y306" s="46">
        <v>0.5</v>
      </c>
      <c r="Z306" s="46">
        <v>0</v>
      </c>
      <c r="AA306" s="68">
        <v>306</v>
      </c>
      <c r="AB306" s="68"/>
      <c r="AC306" s="69"/>
      <c r="AD306" s="76" t="s">
        <v>1551</v>
      </c>
      <c r="AE306" s="80" t="s">
        <v>1835</v>
      </c>
      <c r="AF306" s="76">
        <v>186602</v>
      </c>
      <c r="AG306" s="76">
        <v>12</v>
      </c>
      <c r="AH306" s="76">
        <v>2381</v>
      </c>
      <c r="AI306" s="76">
        <v>2733</v>
      </c>
      <c r="AJ306" s="76">
        <v>1853</v>
      </c>
      <c r="AK306" s="76">
        <v>1019</v>
      </c>
      <c r="AL306" s="76" t="b">
        <v>0</v>
      </c>
      <c r="AM306" s="78">
        <v>43223.894733796296</v>
      </c>
      <c r="AN306" s="76" t="s">
        <v>996</v>
      </c>
      <c r="AO306" s="76" t="s">
        <v>2332</v>
      </c>
      <c r="AP306" s="82" t="str">
        <f>HYPERLINK("https://t.co/vdM3Wh34zV")</f>
        <v>https://t.co/vdM3Wh34zV</v>
      </c>
      <c r="AQ306" s="82" t="str">
        <f>HYPERLINK("https://www.DeepLearning.AI/")</f>
        <v>https://www.DeepLearning.AI/</v>
      </c>
      <c r="AR306" s="76" t="s">
        <v>1551</v>
      </c>
      <c r="AS306" s="76"/>
      <c r="AT306" s="76"/>
      <c r="AU306" s="76"/>
      <c r="AV306" s="76">
        <v>1.69981256704717E+18</v>
      </c>
      <c r="AW306" s="82" t="str">
        <f>HYPERLINK("https://t.co/vdM3Wh34zV")</f>
        <v>https://t.co/vdM3Wh34zV</v>
      </c>
      <c r="AX306" s="76" t="b">
        <v>0</v>
      </c>
      <c r="AY306" s="76"/>
      <c r="AZ306" s="76"/>
      <c r="BA306" s="76" t="b">
        <v>0</v>
      </c>
      <c r="BB306" s="76" t="b">
        <v>1</v>
      </c>
      <c r="BC306" s="76" t="b">
        <v>1</v>
      </c>
      <c r="BD306" s="76" t="b">
        <v>0</v>
      </c>
      <c r="BE306" s="76" t="b">
        <v>0</v>
      </c>
      <c r="BF306" s="76" t="b">
        <v>0</v>
      </c>
      <c r="BG306" s="76" t="b">
        <v>0</v>
      </c>
      <c r="BH306" s="82" t="str">
        <f>HYPERLINK("https://pbs.twimg.com/profile_banners/992153930095251456/1692120000")</f>
        <v>https://pbs.twimg.com/profile_banners/992153930095251456/1692120000</v>
      </c>
      <c r="BI306" s="76"/>
      <c r="BJ306" s="76" t="s">
        <v>2656</v>
      </c>
      <c r="BK306" s="76" t="b">
        <v>0</v>
      </c>
      <c r="BL306" s="76"/>
      <c r="BM306" s="76" t="s">
        <v>65</v>
      </c>
      <c r="BN306" s="76" t="s">
        <v>2657</v>
      </c>
      <c r="BO306" s="82" t="str">
        <f>HYPERLINK("https://twitter.com/deeplearningai_")</f>
        <v>https://twitter.com/deeplearningai_</v>
      </c>
      <c r="BP306" s="76" t="str">
        <f>REPLACE(INDEX(GroupVertices[Group],MATCH(Vertices[[#This Row],[Vertex]],GroupVertices[Vertex],0)),1,1,"")</f>
        <v>7</v>
      </c>
      <c r="BQ306" s="45"/>
      <c r="BR306" s="46"/>
      <c r="BS306" s="45"/>
      <c r="BT306" s="46"/>
      <c r="BU306" s="45"/>
      <c r="BV306" s="46"/>
      <c r="BW306" s="45"/>
      <c r="BX306" s="46"/>
      <c r="BY306" s="45"/>
      <c r="BZ306" s="45"/>
      <c r="CA306" s="45"/>
      <c r="CB306" s="45"/>
      <c r="CC306" s="45"/>
      <c r="CD306" s="45"/>
      <c r="CE306" s="45"/>
      <c r="CF306" s="45"/>
      <c r="CG306" s="45"/>
      <c r="CH306" s="45"/>
      <c r="CI306" s="45"/>
      <c r="CJ306" s="2"/>
    </row>
    <row r="307" spans="1:88" ht="15">
      <c r="A307" s="61" t="s">
        <v>528</v>
      </c>
      <c r="B307" s="62"/>
      <c r="C307" s="62"/>
      <c r="D307" s="63">
        <v>1000</v>
      </c>
      <c r="E307" s="65"/>
      <c r="F307" s="100" t="str">
        <f>HYPERLINK("https://pbs.twimg.com/profile_images/1612716464519237632/SvUtk7NF_normal.jpg")</f>
        <v>https://pbs.twimg.com/profile_images/1612716464519237632/SvUtk7NF_normal.jpg</v>
      </c>
      <c r="G307" s="62"/>
      <c r="H307" s="66" t="s">
        <v>528</v>
      </c>
      <c r="I307" s="67"/>
      <c r="J307" s="67" t="s">
        <v>159</v>
      </c>
      <c r="K307" s="66" t="s">
        <v>2961</v>
      </c>
      <c r="L307" s="70">
        <v>953.1904761904761</v>
      </c>
      <c r="M307" s="71">
        <v>8921.939453125</v>
      </c>
      <c r="N307" s="71">
        <v>3823.14697265625</v>
      </c>
      <c r="O307" s="72"/>
      <c r="P307" s="73"/>
      <c r="Q307" s="73"/>
      <c r="R307" s="86"/>
      <c r="S307" s="45">
        <v>2</v>
      </c>
      <c r="T307" s="45">
        <v>0</v>
      </c>
      <c r="U307" s="46">
        <v>0</v>
      </c>
      <c r="V307" s="46">
        <v>0.241495</v>
      </c>
      <c r="W307" s="46">
        <v>0.006472</v>
      </c>
      <c r="X307" s="46">
        <v>0.0028</v>
      </c>
      <c r="Y307" s="46">
        <v>0.5</v>
      </c>
      <c r="Z307" s="46">
        <v>0</v>
      </c>
      <c r="AA307" s="68">
        <v>307</v>
      </c>
      <c r="AB307" s="68"/>
      <c r="AC307" s="69"/>
      <c r="AD307" s="76" t="s">
        <v>1552</v>
      </c>
      <c r="AE307" s="80" t="s">
        <v>1836</v>
      </c>
      <c r="AF307" s="76">
        <v>5668</v>
      </c>
      <c r="AG307" s="76">
        <v>126</v>
      </c>
      <c r="AH307" s="76">
        <v>3661</v>
      </c>
      <c r="AI307" s="76">
        <v>57</v>
      </c>
      <c r="AJ307" s="76">
        <v>984</v>
      </c>
      <c r="AK307" s="76">
        <v>2148</v>
      </c>
      <c r="AL307" s="76" t="b">
        <v>0</v>
      </c>
      <c r="AM307" s="78">
        <v>40307.108935185184</v>
      </c>
      <c r="AN307" s="76"/>
      <c r="AO307" s="76" t="s">
        <v>2333</v>
      </c>
      <c r="AP307" s="82" t="str">
        <f>HYPERLINK("https://t.co/i7Y84EQFKO")</f>
        <v>https://t.co/i7Y84EQFKO</v>
      </c>
      <c r="AQ307" s="82" t="str">
        <f>HYPERLINK("https://pecb.com/")</f>
        <v>https://pecb.com/</v>
      </c>
      <c r="AR307" s="76" t="s">
        <v>2570</v>
      </c>
      <c r="AS307" s="76"/>
      <c r="AT307" s="76"/>
      <c r="AU307" s="76"/>
      <c r="AV307" s="76">
        <v>1.65055838111808E+18</v>
      </c>
      <c r="AW307" s="82" t="str">
        <f>HYPERLINK("https://t.co/i7Y84EQFKO")</f>
        <v>https://t.co/i7Y84EQFKO</v>
      </c>
      <c r="AX307" s="76" t="b">
        <v>0</v>
      </c>
      <c r="AY307" s="76"/>
      <c r="AZ307" s="76"/>
      <c r="BA307" s="76" t="b">
        <v>0</v>
      </c>
      <c r="BB307" s="76" t="b">
        <v>1</v>
      </c>
      <c r="BC307" s="76" t="b">
        <v>0</v>
      </c>
      <c r="BD307" s="76" t="b">
        <v>0</v>
      </c>
      <c r="BE307" s="76" t="b">
        <v>0</v>
      </c>
      <c r="BF307" s="76" t="b">
        <v>0</v>
      </c>
      <c r="BG307" s="76" t="b">
        <v>0</v>
      </c>
      <c r="BH307" s="82" t="str">
        <f>HYPERLINK("https://pbs.twimg.com/profile_banners/141797099/1682435087")</f>
        <v>https://pbs.twimg.com/profile_banners/141797099/1682435087</v>
      </c>
      <c r="BI307" s="76"/>
      <c r="BJ307" s="76" t="s">
        <v>2656</v>
      </c>
      <c r="BK307" s="76" t="b">
        <v>0</v>
      </c>
      <c r="BL307" s="76"/>
      <c r="BM307" s="76" t="s">
        <v>65</v>
      </c>
      <c r="BN307" s="76" t="s">
        <v>2657</v>
      </c>
      <c r="BO307" s="82" t="str">
        <f>HYPERLINK("https://twitter.com/pecb")</f>
        <v>https://twitter.com/pecb</v>
      </c>
      <c r="BP307" s="76" t="str">
        <f>REPLACE(INDEX(GroupVertices[Group],MATCH(Vertices[[#This Row],[Vertex]],GroupVertices[Vertex],0)),1,1,"")</f>
        <v>7</v>
      </c>
      <c r="BQ307" s="45"/>
      <c r="BR307" s="46"/>
      <c r="BS307" s="45"/>
      <c r="BT307" s="46"/>
      <c r="BU307" s="45"/>
      <c r="BV307" s="46"/>
      <c r="BW307" s="45"/>
      <c r="BX307" s="46"/>
      <c r="BY307" s="45"/>
      <c r="BZ307" s="45"/>
      <c r="CA307" s="45"/>
      <c r="CB307" s="45"/>
      <c r="CC307" s="45"/>
      <c r="CD307" s="45"/>
      <c r="CE307" s="45"/>
      <c r="CF307" s="45"/>
      <c r="CG307" s="45"/>
      <c r="CH307" s="45"/>
      <c r="CI307" s="45"/>
      <c r="CJ307" s="2"/>
    </row>
    <row r="308" spans="1:88" ht="15">
      <c r="A308" s="61" t="s">
        <v>529</v>
      </c>
      <c r="B308" s="62"/>
      <c r="C308" s="62"/>
      <c r="D308" s="63">
        <v>1000</v>
      </c>
      <c r="E308" s="65"/>
      <c r="F308" s="100" t="str">
        <f>HYPERLINK("https://pbs.twimg.com/profile_images/1187005078860898304/FeUzTUmE_normal.jpg")</f>
        <v>https://pbs.twimg.com/profile_images/1187005078860898304/FeUzTUmE_normal.jpg</v>
      </c>
      <c r="G308" s="62"/>
      <c r="H308" s="66" t="s">
        <v>529</v>
      </c>
      <c r="I308" s="67"/>
      <c r="J308" s="67" t="s">
        <v>159</v>
      </c>
      <c r="K308" s="66" t="s">
        <v>2962</v>
      </c>
      <c r="L308" s="70">
        <v>953.1904761904761</v>
      </c>
      <c r="M308" s="71">
        <v>8506.1767578125</v>
      </c>
      <c r="N308" s="71">
        <v>3998.027587890625</v>
      </c>
      <c r="O308" s="72"/>
      <c r="P308" s="73"/>
      <c r="Q308" s="73"/>
      <c r="R308" s="86"/>
      <c r="S308" s="45">
        <v>2</v>
      </c>
      <c r="T308" s="45">
        <v>0</v>
      </c>
      <c r="U308" s="46">
        <v>0</v>
      </c>
      <c r="V308" s="46">
        <v>0.241495</v>
      </c>
      <c r="W308" s="46">
        <v>0.006472</v>
      </c>
      <c r="X308" s="46">
        <v>0.0028</v>
      </c>
      <c r="Y308" s="46">
        <v>0.5</v>
      </c>
      <c r="Z308" s="46">
        <v>0</v>
      </c>
      <c r="AA308" s="68">
        <v>308</v>
      </c>
      <c r="AB308" s="68"/>
      <c r="AC308" s="69"/>
      <c r="AD308" s="76" t="s">
        <v>1553</v>
      </c>
      <c r="AE308" s="80" t="s">
        <v>1837</v>
      </c>
      <c r="AF308" s="76">
        <v>3486</v>
      </c>
      <c r="AG308" s="76">
        <v>1893</v>
      </c>
      <c r="AH308" s="76">
        <v>521</v>
      </c>
      <c r="AI308" s="76">
        <v>95</v>
      </c>
      <c r="AJ308" s="76">
        <v>597</v>
      </c>
      <c r="AK308" s="76">
        <v>80</v>
      </c>
      <c r="AL308" s="76" t="b">
        <v>0</v>
      </c>
      <c r="AM308" s="78">
        <v>42450.862905092596</v>
      </c>
      <c r="AN308" s="76" t="s">
        <v>2036</v>
      </c>
      <c r="AO308" s="76" t="s">
        <v>2334</v>
      </c>
      <c r="AP308" s="82" t="str">
        <f>HYPERLINK("https://t.co/gUXwskDdVP")</f>
        <v>https://t.co/gUXwskDdVP</v>
      </c>
      <c r="AQ308" s="82" t="str">
        <f>HYPERLINK("https://kcore-analytics.com")</f>
        <v>https://kcore-analytics.com</v>
      </c>
      <c r="AR308" s="76" t="s">
        <v>2571</v>
      </c>
      <c r="AS308" s="82" t="str">
        <f>HYPERLINK("https://t.co/wj2M92uYpn")</f>
        <v>https://t.co/wj2M92uYpn</v>
      </c>
      <c r="AT308" s="82" t="str">
        <f>HYPERLINK("http://kcore-analytics.com")</f>
        <v>http://kcore-analytics.com</v>
      </c>
      <c r="AU308" s="76" t="s">
        <v>2571</v>
      </c>
      <c r="AV308" s="76"/>
      <c r="AW308" s="82" t="str">
        <f>HYPERLINK("https://t.co/gUXwskDdVP")</f>
        <v>https://t.co/gUXwskDdVP</v>
      </c>
      <c r="AX308" s="76" t="b">
        <v>0</v>
      </c>
      <c r="AY308" s="76"/>
      <c r="AZ308" s="76"/>
      <c r="BA308" s="76" t="b">
        <v>1</v>
      </c>
      <c r="BB308" s="76" t="b">
        <v>1</v>
      </c>
      <c r="BC308" s="76" t="b">
        <v>0</v>
      </c>
      <c r="BD308" s="76" t="b">
        <v>0</v>
      </c>
      <c r="BE308" s="76" t="b">
        <v>0</v>
      </c>
      <c r="BF308" s="76" t="b">
        <v>0</v>
      </c>
      <c r="BG308" s="76" t="b">
        <v>0</v>
      </c>
      <c r="BH308" s="82" t="str">
        <f>HYPERLINK("https://pbs.twimg.com/profile_banners/712016577567264769/1581968204")</f>
        <v>https://pbs.twimg.com/profile_banners/712016577567264769/1581968204</v>
      </c>
      <c r="BI308" s="76"/>
      <c r="BJ308" s="76" t="s">
        <v>2656</v>
      </c>
      <c r="BK308" s="76" t="b">
        <v>0</v>
      </c>
      <c r="BL308" s="76"/>
      <c r="BM308" s="76" t="s">
        <v>65</v>
      </c>
      <c r="BN308" s="76" t="s">
        <v>2657</v>
      </c>
      <c r="BO308" s="82" t="str">
        <f>HYPERLINK("https://twitter.com/kcore_analytics")</f>
        <v>https://twitter.com/kcore_analytics</v>
      </c>
      <c r="BP308" s="76" t="str">
        <f>REPLACE(INDEX(GroupVertices[Group],MATCH(Vertices[[#This Row],[Vertex]],GroupVertices[Vertex],0)),1,1,"")</f>
        <v>7</v>
      </c>
      <c r="BQ308" s="45"/>
      <c r="BR308" s="46"/>
      <c r="BS308" s="45"/>
      <c r="BT308" s="46"/>
      <c r="BU308" s="45"/>
      <c r="BV308" s="46"/>
      <c r="BW308" s="45"/>
      <c r="BX308" s="46"/>
      <c r="BY308" s="45"/>
      <c r="BZ308" s="45"/>
      <c r="CA308" s="45"/>
      <c r="CB308" s="45"/>
      <c r="CC308" s="45"/>
      <c r="CD308" s="45"/>
      <c r="CE308" s="45"/>
      <c r="CF308" s="45"/>
      <c r="CG308" s="45"/>
      <c r="CH308" s="45"/>
      <c r="CI308" s="45"/>
      <c r="CJ308" s="2"/>
    </row>
    <row r="309" spans="1:88" ht="15">
      <c r="A309" s="61" t="s">
        <v>530</v>
      </c>
      <c r="B309" s="62"/>
      <c r="C309" s="62"/>
      <c r="D309" s="63">
        <v>1000</v>
      </c>
      <c r="E309" s="65"/>
      <c r="F309" s="100" t="str">
        <f>HYPERLINK("https://pbs.twimg.com/profile_images/1613296397343948811/BB9Y33Hs_normal.jpg")</f>
        <v>https://pbs.twimg.com/profile_images/1613296397343948811/BB9Y33Hs_normal.jpg</v>
      </c>
      <c r="G309" s="62"/>
      <c r="H309" s="66" t="s">
        <v>530</v>
      </c>
      <c r="I309" s="67"/>
      <c r="J309" s="67" t="s">
        <v>159</v>
      </c>
      <c r="K309" s="66" t="s">
        <v>2963</v>
      </c>
      <c r="L309" s="70">
        <v>953.1904761904761</v>
      </c>
      <c r="M309" s="71">
        <v>9356.1552734375</v>
      </c>
      <c r="N309" s="71">
        <v>3907.719970703125</v>
      </c>
      <c r="O309" s="72"/>
      <c r="P309" s="73"/>
      <c r="Q309" s="73"/>
      <c r="R309" s="86"/>
      <c r="S309" s="45">
        <v>2</v>
      </c>
      <c r="T309" s="45">
        <v>0</v>
      </c>
      <c r="U309" s="46">
        <v>0</v>
      </c>
      <c r="V309" s="46">
        <v>0.241495</v>
      </c>
      <c r="W309" s="46">
        <v>0.006472</v>
      </c>
      <c r="X309" s="46">
        <v>0.0028</v>
      </c>
      <c r="Y309" s="46">
        <v>0.5</v>
      </c>
      <c r="Z309" s="46">
        <v>0</v>
      </c>
      <c r="AA309" s="68">
        <v>309</v>
      </c>
      <c r="AB309" s="68"/>
      <c r="AC309" s="69"/>
      <c r="AD309" s="76" t="s">
        <v>1554</v>
      </c>
      <c r="AE309" s="80" t="s">
        <v>1838</v>
      </c>
      <c r="AF309" s="76">
        <v>501</v>
      </c>
      <c r="AG309" s="76">
        <v>659</v>
      </c>
      <c r="AH309" s="76">
        <v>548</v>
      </c>
      <c r="AI309" s="76">
        <v>7</v>
      </c>
      <c r="AJ309" s="76">
        <v>307</v>
      </c>
      <c r="AK309" s="76">
        <v>226</v>
      </c>
      <c r="AL309" s="76" t="b">
        <v>0</v>
      </c>
      <c r="AM309" s="78">
        <v>43880.01106481482</v>
      </c>
      <c r="AN309" s="76" t="s">
        <v>2037</v>
      </c>
      <c r="AO309" s="76" t="s">
        <v>2335</v>
      </c>
      <c r="AP309" s="82" t="str">
        <f>HYPERLINK("https://t.co/hkiE8ClN2h")</f>
        <v>https://t.co/hkiE8ClN2h</v>
      </c>
      <c r="AQ309" s="82" t="str">
        <f>HYPERLINK("https://sociatap.com/mkai_org/")</f>
        <v>https://sociatap.com/mkai_org/</v>
      </c>
      <c r="AR309" s="76" t="s">
        <v>2572</v>
      </c>
      <c r="AS309" s="76"/>
      <c r="AT309" s="76"/>
      <c r="AU309" s="76"/>
      <c r="AV309" s="76"/>
      <c r="AW309" s="82" t="str">
        <f>HYPERLINK("https://t.co/hkiE8ClN2h")</f>
        <v>https://t.co/hkiE8ClN2h</v>
      </c>
      <c r="AX309" s="76" t="b">
        <v>0</v>
      </c>
      <c r="AY309" s="76"/>
      <c r="AZ309" s="76"/>
      <c r="BA309" s="76" t="b">
        <v>0</v>
      </c>
      <c r="BB309" s="76" t="b">
        <v>1</v>
      </c>
      <c r="BC309" s="76" t="b">
        <v>1</v>
      </c>
      <c r="BD309" s="76" t="b">
        <v>0</v>
      </c>
      <c r="BE309" s="76" t="b">
        <v>1</v>
      </c>
      <c r="BF309" s="76" t="b">
        <v>0</v>
      </c>
      <c r="BG309" s="76" t="b">
        <v>0</v>
      </c>
      <c r="BH309" s="82" t="str">
        <f>HYPERLINK("https://pbs.twimg.com/profile_banners/1229921740735832065/1617873036")</f>
        <v>https://pbs.twimg.com/profile_banners/1229921740735832065/1617873036</v>
      </c>
      <c r="BI309" s="76"/>
      <c r="BJ309" s="76" t="s">
        <v>2656</v>
      </c>
      <c r="BK309" s="76" t="b">
        <v>0</v>
      </c>
      <c r="BL309" s="76"/>
      <c r="BM309" s="76" t="s">
        <v>65</v>
      </c>
      <c r="BN309" s="76" t="s">
        <v>2657</v>
      </c>
      <c r="BO309" s="82" t="str">
        <f>HYPERLINK("https://twitter.com/mkai_org")</f>
        <v>https://twitter.com/mkai_org</v>
      </c>
      <c r="BP309" s="76" t="str">
        <f>REPLACE(INDEX(GroupVertices[Group],MATCH(Vertices[[#This Row],[Vertex]],GroupVertices[Vertex],0)),1,1,"")</f>
        <v>7</v>
      </c>
      <c r="BQ309" s="45"/>
      <c r="BR309" s="46"/>
      <c r="BS309" s="45"/>
      <c r="BT309" s="46"/>
      <c r="BU309" s="45"/>
      <c r="BV309" s="46"/>
      <c r="BW309" s="45"/>
      <c r="BX309" s="46"/>
      <c r="BY309" s="45"/>
      <c r="BZ309" s="45"/>
      <c r="CA309" s="45"/>
      <c r="CB309" s="45"/>
      <c r="CC309" s="45"/>
      <c r="CD309" s="45"/>
      <c r="CE309" s="45"/>
      <c r="CF309" s="45"/>
      <c r="CG309" s="45"/>
      <c r="CH309" s="45"/>
      <c r="CI309" s="45"/>
      <c r="CJ309" s="2"/>
    </row>
    <row r="310" spans="1:88" ht="15">
      <c r="A310" s="61" t="s">
        <v>531</v>
      </c>
      <c r="B310" s="62"/>
      <c r="C310" s="62"/>
      <c r="D310" s="63">
        <v>1000</v>
      </c>
      <c r="E310" s="65"/>
      <c r="F310" s="100" t="str">
        <f>HYPERLINK("https://pbs.twimg.com/profile_images/1096116643405750274/P-i2d3Ar_normal.png")</f>
        <v>https://pbs.twimg.com/profile_images/1096116643405750274/P-i2d3Ar_normal.png</v>
      </c>
      <c r="G310" s="62"/>
      <c r="H310" s="66" t="s">
        <v>531</v>
      </c>
      <c r="I310" s="67"/>
      <c r="J310" s="67" t="s">
        <v>159</v>
      </c>
      <c r="K310" s="66" t="s">
        <v>2964</v>
      </c>
      <c r="L310" s="70">
        <v>953.1904761904761</v>
      </c>
      <c r="M310" s="71">
        <v>9661.7109375</v>
      </c>
      <c r="N310" s="71">
        <v>5745.4111328125</v>
      </c>
      <c r="O310" s="72"/>
      <c r="P310" s="73"/>
      <c r="Q310" s="73"/>
      <c r="R310" s="86"/>
      <c r="S310" s="45">
        <v>2</v>
      </c>
      <c r="T310" s="45">
        <v>0</v>
      </c>
      <c r="U310" s="46">
        <v>0</v>
      </c>
      <c r="V310" s="46">
        <v>0.241495</v>
      </c>
      <c r="W310" s="46">
        <v>0.006472</v>
      </c>
      <c r="X310" s="46">
        <v>0.0028</v>
      </c>
      <c r="Y310" s="46">
        <v>0.5</v>
      </c>
      <c r="Z310" s="46">
        <v>0</v>
      </c>
      <c r="AA310" s="68">
        <v>310</v>
      </c>
      <c r="AB310" s="68"/>
      <c r="AC310" s="69"/>
      <c r="AD310" s="76" t="s">
        <v>1555</v>
      </c>
      <c r="AE310" s="80" t="s">
        <v>1839</v>
      </c>
      <c r="AF310" s="76">
        <v>235845</v>
      </c>
      <c r="AG310" s="76">
        <v>2530</v>
      </c>
      <c r="AH310" s="76">
        <v>89803</v>
      </c>
      <c r="AI310" s="76">
        <v>2781</v>
      </c>
      <c r="AJ310" s="76">
        <v>1567</v>
      </c>
      <c r="AK310" s="76">
        <v>35455</v>
      </c>
      <c r="AL310" s="76" t="b">
        <v>0</v>
      </c>
      <c r="AM310" s="78">
        <v>39570.752291666664</v>
      </c>
      <c r="AN310" s="76" t="s">
        <v>2038</v>
      </c>
      <c r="AO310" s="76" t="s">
        <v>2336</v>
      </c>
      <c r="AP310" s="82" t="str">
        <f>HYPERLINK("https://t.co/d8giwojLew")</f>
        <v>https://t.co/d8giwojLew</v>
      </c>
      <c r="AQ310" s="82" t="str">
        <f>HYPERLINK("https://www.autonews.com/")</f>
        <v>https://www.autonews.com/</v>
      </c>
      <c r="AR310" s="76" t="s">
        <v>2573</v>
      </c>
      <c r="AS310" s="76"/>
      <c r="AT310" s="76"/>
      <c r="AU310" s="76"/>
      <c r="AV310" s="76">
        <v>1.68351239374004E+18</v>
      </c>
      <c r="AW310" s="82" t="str">
        <f>HYPERLINK("https://t.co/d8giwojLew")</f>
        <v>https://t.co/d8giwojLew</v>
      </c>
      <c r="AX310" s="76" t="b">
        <v>1</v>
      </c>
      <c r="AY310" s="76"/>
      <c r="AZ310" s="76"/>
      <c r="BA310" s="76" t="b">
        <v>0</v>
      </c>
      <c r="BB310" s="76" t="b">
        <v>1</v>
      </c>
      <c r="BC310" s="76" t="b">
        <v>0</v>
      </c>
      <c r="BD310" s="76" t="b">
        <v>0</v>
      </c>
      <c r="BE310" s="76" t="b">
        <v>1</v>
      </c>
      <c r="BF310" s="76" t="b">
        <v>0</v>
      </c>
      <c r="BG310" s="76" t="b">
        <v>0</v>
      </c>
      <c r="BH310" s="82" t="str">
        <f>HYPERLINK("https://pbs.twimg.com/profile_banners/14628959/1582561639")</f>
        <v>https://pbs.twimg.com/profile_banners/14628959/1582561639</v>
      </c>
      <c r="BI310" s="76"/>
      <c r="BJ310" s="76" t="s">
        <v>2656</v>
      </c>
      <c r="BK310" s="76" t="b">
        <v>0</v>
      </c>
      <c r="BL310" s="76"/>
      <c r="BM310" s="76" t="s">
        <v>65</v>
      </c>
      <c r="BN310" s="76" t="s">
        <v>2657</v>
      </c>
      <c r="BO310" s="82" t="str">
        <f>HYPERLINK("https://twitter.com/automotive_news")</f>
        <v>https://twitter.com/automotive_news</v>
      </c>
      <c r="BP310" s="76" t="str">
        <f>REPLACE(INDEX(GroupVertices[Group],MATCH(Vertices[[#This Row],[Vertex]],GroupVertices[Vertex],0)),1,1,"")</f>
        <v>7</v>
      </c>
      <c r="BQ310" s="45"/>
      <c r="BR310" s="46"/>
      <c r="BS310" s="45"/>
      <c r="BT310" s="46"/>
      <c r="BU310" s="45"/>
      <c r="BV310" s="46"/>
      <c r="BW310" s="45"/>
      <c r="BX310" s="46"/>
      <c r="BY310" s="45"/>
      <c r="BZ310" s="45"/>
      <c r="CA310" s="45"/>
      <c r="CB310" s="45"/>
      <c r="CC310" s="45"/>
      <c r="CD310" s="45"/>
      <c r="CE310" s="45"/>
      <c r="CF310" s="45"/>
      <c r="CG310" s="45"/>
      <c r="CH310" s="45"/>
      <c r="CI310" s="45"/>
      <c r="CJ310" s="2"/>
    </row>
    <row r="311" spans="1:88" ht="15">
      <c r="A311" s="61" t="s">
        <v>532</v>
      </c>
      <c r="B311" s="62"/>
      <c r="C311" s="62"/>
      <c r="D311" s="63">
        <v>1000</v>
      </c>
      <c r="E311" s="65"/>
      <c r="F311" s="100" t="str">
        <f>HYPERLINK("https://pbs.twimg.com/profile_images/1440806876132696067/zfD0D0iH_normal.jpg")</f>
        <v>https://pbs.twimg.com/profile_images/1440806876132696067/zfD0D0iH_normal.jpg</v>
      </c>
      <c r="G311" s="62"/>
      <c r="H311" s="66" t="s">
        <v>532</v>
      </c>
      <c r="I311" s="67"/>
      <c r="J311" s="67" t="s">
        <v>159</v>
      </c>
      <c r="K311" s="66" t="s">
        <v>2965</v>
      </c>
      <c r="L311" s="70">
        <v>953.1904761904761</v>
      </c>
      <c r="M311" s="71">
        <v>9704.12109375</v>
      </c>
      <c r="N311" s="71">
        <v>4238.8310546875</v>
      </c>
      <c r="O311" s="72"/>
      <c r="P311" s="73"/>
      <c r="Q311" s="73"/>
      <c r="R311" s="86"/>
      <c r="S311" s="45">
        <v>2</v>
      </c>
      <c r="T311" s="45">
        <v>0</v>
      </c>
      <c r="U311" s="46">
        <v>0</v>
      </c>
      <c r="V311" s="46">
        <v>0.241495</v>
      </c>
      <c r="W311" s="46">
        <v>0.006472</v>
      </c>
      <c r="X311" s="46">
        <v>0.0028</v>
      </c>
      <c r="Y311" s="46">
        <v>0.5</v>
      </c>
      <c r="Z311" s="46">
        <v>0</v>
      </c>
      <c r="AA311" s="68">
        <v>311</v>
      </c>
      <c r="AB311" s="68"/>
      <c r="AC311" s="69"/>
      <c r="AD311" s="76" t="s">
        <v>1556</v>
      </c>
      <c r="AE311" s="80" t="s">
        <v>1840</v>
      </c>
      <c r="AF311" s="76">
        <v>42765</v>
      </c>
      <c r="AG311" s="76">
        <v>1871</v>
      </c>
      <c r="AH311" s="76">
        <v>19544</v>
      </c>
      <c r="AI311" s="76">
        <v>232</v>
      </c>
      <c r="AJ311" s="76">
        <v>1192</v>
      </c>
      <c r="AK311" s="76">
        <v>575</v>
      </c>
      <c r="AL311" s="76" t="b">
        <v>0</v>
      </c>
      <c r="AM311" s="78">
        <v>43565.60613425926</v>
      </c>
      <c r="AN311" s="76" t="s">
        <v>996</v>
      </c>
      <c r="AO311" s="76" t="s">
        <v>2337</v>
      </c>
      <c r="AP311" s="82" t="str">
        <f>HYPERLINK("https://t.co/psjI72pGmS")</f>
        <v>https://t.co/psjI72pGmS</v>
      </c>
      <c r="AQ311" s="82" t="str">
        <f>HYPERLINK("https://towardsai.net/")</f>
        <v>https://towardsai.net/</v>
      </c>
      <c r="AR311" s="76" t="s">
        <v>2574</v>
      </c>
      <c r="AS311" s="76" t="s">
        <v>2595</v>
      </c>
      <c r="AT311" s="76" t="s">
        <v>2607</v>
      </c>
      <c r="AU311" s="76" t="s">
        <v>2653</v>
      </c>
      <c r="AV311" s="76">
        <v>1.671177222714E+18</v>
      </c>
      <c r="AW311" s="82" t="str">
        <f>HYPERLINK("https://t.co/psjI72pGmS")</f>
        <v>https://t.co/psjI72pGmS</v>
      </c>
      <c r="AX311" s="76" t="b">
        <v>1</v>
      </c>
      <c r="AY311" s="76"/>
      <c r="AZ311" s="76"/>
      <c r="BA311" s="76" t="b">
        <v>0</v>
      </c>
      <c r="BB311" s="76" t="b">
        <v>1</v>
      </c>
      <c r="BC311" s="76" t="b">
        <v>0</v>
      </c>
      <c r="BD311" s="76" t="b">
        <v>0</v>
      </c>
      <c r="BE311" s="76" t="b">
        <v>0</v>
      </c>
      <c r="BF311" s="76" t="b">
        <v>0</v>
      </c>
      <c r="BG311" s="76" t="b">
        <v>0</v>
      </c>
      <c r="BH311" s="82" t="str">
        <f>HYPERLINK("https://pbs.twimg.com/profile_banners/1115985999178420224/1578937709")</f>
        <v>https://pbs.twimg.com/profile_banners/1115985999178420224/1578937709</v>
      </c>
      <c r="BI311" s="76"/>
      <c r="BJ311" s="76" t="s">
        <v>2656</v>
      </c>
      <c r="BK311" s="76" t="b">
        <v>0</v>
      </c>
      <c r="BL311" s="76"/>
      <c r="BM311" s="76" t="s">
        <v>65</v>
      </c>
      <c r="BN311" s="76" t="s">
        <v>2657</v>
      </c>
      <c r="BO311" s="82" t="str">
        <f>HYPERLINK("https://twitter.com/towards_ai")</f>
        <v>https://twitter.com/towards_ai</v>
      </c>
      <c r="BP311" s="76" t="str">
        <f>REPLACE(INDEX(GroupVertices[Group],MATCH(Vertices[[#This Row],[Vertex]],GroupVertices[Vertex],0)),1,1,"")</f>
        <v>7</v>
      </c>
      <c r="BQ311" s="45"/>
      <c r="BR311" s="46"/>
      <c r="BS311" s="45"/>
      <c r="BT311" s="46"/>
      <c r="BU311" s="45"/>
      <c r="BV311" s="46"/>
      <c r="BW311" s="45"/>
      <c r="BX311" s="46"/>
      <c r="BY311" s="45"/>
      <c r="BZ311" s="45"/>
      <c r="CA311" s="45"/>
      <c r="CB311" s="45"/>
      <c r="CC311" s="45"/>
      <c r="CD311" s="45"/>
      <c r="CE311" s="45"/>
      <c r="CF311" s="45"/>
      <c r="CG311" s="45"/>
      <c r="CH311" s="45"/>
      <c r="CI311" s="45"/>
      <c r="CJ311" s="2"/>
    </row>
    <row r="312" spans="1:88" ht="15">
      <c r="A312" s="61" t="s">
        <v>533</v>
      </c>
      <c r="B312" s="62"/>
      <c r="C312" s="62"/>
      <c r="D312" s="63">
        <v>1000</v>
      </c>
      <c r="E312" s="65"/>
      <c r="F312" s="100" t="str">
        <f>HYPERLINK("https://pbs.twimg.com/profile_images/1630148428368945152/RSUXTv3C_normal.jpg")</f>
        <v>https://pbs.twimg.com/profile_images/1630148428368945152/RSUXTv3C_normal.jpg</v>
      </c>
      <c r="G312" s="62"/>
      <c r="H312" s="66" t="s">
        <v>533</v>
      </c>
      <c r="I312" s="67"/>
      <c r="J312" s="67" t="s">
        <v>159</v>
      </c>
      <c r="K312" s="66" t="s">
        <v>2966</v>
      </c>
      <c r="L312" s="70">
        <v>953.1904761904761</v>
      </c>
      <c r="M312" s="71">
        <v>8173.7646484375</v>
      </c>
      <c r="N312" s="71">
        <v>5449.1875</v>
      </c>
      <c r="O312" s="72"/>
      <c r="P312" s="73"/>
      <c r="Q312" s="73"/>
      <c r="R312" s="86"/>
      <c r="S312" s="45">
        <v>2</v>
      </c>
      <c r="T312" s="45">
        <v>0</v>
      </c>
      <c r="U312" s="46">
        <v>0</v>
      </c>
      <c r="V312" s="46">
        <v>0.241495</v>
      </c>
      <c r="W312" s="46">
        <v>0.006472</v>
      </c>
      <c r="X312" s="46">
        <v>0.0028</v>
      </c>
      <c r="Y312" s="46">
        <v>0.5</v>
      </c>
      <c r="Z312" s="46">
        <v>0</v>
      </c>
      <c r="AA312" s="68">
        <v>312</v>
      </c>
      <c r="AB312" s="68"/>
      <c r="AC312" s="69"/>
      <c r="AD312" s="76" t="s">
        <v>533</v>
      </c>
      <c r="AE312" s="80" t="s">
        <v>1841</v>
      </c>
      <c r="AF312" s="76">
        <v>13347</v>
      </c>
      <c r="AG312" s="76">
        <v>2018</v>
      </c>
      <c r="AH312" s="76">
        <v>48981</v>
      </c>
      <c r="AI312" s="76">
        <v>1037</v>
      </c>
      <c r="AJ312" s="76">
        <v>18706</v>
      </c>
      <c r="AK312" s="76">
        <v>7776</v>
      </c>
      <c r="AL312" s="76" t="b">
        <v>0</v>
      </c>
      <c r="AM312" s="78">
        <v>39897.66892361111</v>
      </c>
      <c r="AN312" s="76" t="s">
        <v>1922</v>
      </c>
      <c r="AO312" s="76" t="s">
        <v>2338</v>
      </c>
      <c r="AP312" s="82" t="str">
        <f>HYPERLINK("https://t.co/5L0oy4RemF")</f>
        <v>https://t.co/5L0oy4RemF</v>
      </c>
      <c r="AQ312" s="82" t="str">
        <f>HYPERLINK("http://www.onalytica.com")</f>
        <v>http://www.onalytica.com</v>
      </c>
      <c r="AR312" s="76" t="s">
        <v>2575</v>
      </c>
      <c r="AS312" s="76"/>
      <c r="AT312" s="76"/>
      <c r="AU312" s="76"/>
      <c r="AV312" s="76">
        <v>1.40769816291205E+18</v>
      </c>
      <c r="AW312" s="82" t="str">
        <f>HYPERLINK("https://t.co/5L0oy4RemF")</f>
        <v>https://t.co/5L0oy4RemF</v>
      </c>
      <c r="AX312" s="76" t="b">
        <v>0</v>
      </c>
      <c r="AY312" s="76"/>
      <c r="AZ312" s="76"/>
      <c r="BA312" s="76" t="b">
        <v>1</v>
      </c>
      <c r="BB312" s="76" t="b">
        <v>1</v>
      </c>
      <c r="BC312" s="76" t="b">
        <v>0</v>
      </c>
      <c r="BD312" s="76" t="b">
        <v>0</v>
      </c>
      <c r="BE312" s="76" t="b">
        <v>1</v>
      </c>
      <c r="BF312" s="76" t="b">
        <v>0</v>
      </c>
      <c r="BG312" s="76" t="b">
        <v>0</v>
      </c>
      <c r="BH312" s="82" t="str">
        <f>HYPERLINK("https://pbs.twimg.com/profile_banners/26525599/1677497237")</f>
        <v>https://pbs.twimg.com/profile_banners/26525599/1677497237</v>
      </c>
      <c r="BI312" s="76"/>
      <c r="BJ312" s="76" t="s">
        <v>2656</v>
      </c>
      <c r="BK312" s="76" t="b">
        <v>0</v>
      </c>
      <c r="BL312" s="76"/>
      <c r="BM312" s="76" t="s">
        <v>65</v>
      </c>
      <c r="BN312" s="76" t="s">
        <v>2657</v>
      </c>
      <c r="BO312" s="82" t="str">
        <f>HYPERLINK("https://twitter.com/onalytica")</f>
        <v>https://twitter.com/onalytica</v>
      </c>
      <c r="BP312" s="76" t="str">
        <f>REPLACE(INDEX(GroupVertices[Group],MATCH(Vertices[[#This Row],[Vertex]],GroupVertices[Vertex],0)),1,1,"")</f>
        <v>7</v>
      </c>
      <c r="BQ312" s="45"/>
      <c r="BR312" s="46"/>
      <c r="BS312" s="45"/>
      <c r="BT312" s="46"/>
      <c r="BU312" s="45"/>
      <c r="BV312" s="46"/>
      <c r="BW312" s="45"/>
      <c r="BX312" s="46"/>
      <c r="BY312" s="45"/>
      <c r="BZ312" s="45"/>
      <c r="CA312" s="45"/>
      <c r="CB312" s="45"/>
      <c r="CC312" s="45"/>
      <c r="CD312" s="45"/>
      <c r="CE312" s="45"/>
      <c r="CF312" s="45"/>
      <c r="CG312" s="45"/>
      <c r="CH312" s="45"/>
      <c r="CI312" s="45"/>
      <c r="CJ312" s="2"/>
    </row>
    <row r="313" spans="1:88" ht="15">
      <c r="A313" s="61" t="s">
        <v>534</v>
      </c>
      <c r="B313" s="62"/>
      <c r="C313" s="62"/>
      <c r="D313" s="63">
        <v>1000</v>
      </c>
      <c r="E313" s="65"/>
      <c r="F313" s="100" t="str">
        <f>HYPERLINK("https://pbs.twimg.com/profile_images/1673640764042035212/PDE8tDBU_normal.jpg")</f>
        <v>https://pbs.twimg.com/profile_images/1673640764042035212/PDE8tDBU_normal.jpg</v>
      </c>
      <c r="G313" s="62"/>
      <c r="H313" s="66" t="s">
        <v>534</v>
      </c>
      <c r="I313" s="67"/>
      <c r="J313" s="67" t="s">
        <v>159</v>
      </c>
      <c r="K313" s="66" t="s">
        <v>2967</v>
      </c>
      <c r="L313" s="70">
        <v>953.1904761904761</v>
      </c>
      <c r="M313" s="71">
        <v>9862.0712890625</v>
      </c>
      <c r="N313" s="71">
        <v>4728.61083984375</v>
      </c>
      <c r="O313" s="72"/>
      <c r="P313" s="73"/>
      <c r="Q313" s="73"/>
      <c r="R313" s="86"/>
      <c r="S313" s="45">
        <v>2</v>
      </c>
      <c r="T313" s="45">
        <v>0</v>
      </c>
      <c r="U313" s="46">
        <v>0</v>
      </c>
      <c r="V313" s="46">
        <v>0.241495</v>
      </c>
      <c r="W313" s="46">
        <v>0.006472</v>
      </c>
      <c r="X313" s="46">
        <v>0.0028</v>
      </c>
      <c r="Y313" s="46">
        <v>0.5</v>
      </c>
      <c r="Z313" s="46">
        <v>0</v>
      </c>
      <c r="AA313" s="68">
        <v>313</v>
      </c>
      <c r="AB313" s="68"/>
      <c r="AC313" s="69"/>
      <c r="AD313" s="76" t="s">
        <v>1557</v>
      </c>
      <c r="AE313" s="80" t="s">
        <v>1842</v>
      </c>
      <c r="AF313" s="76">
        <v>16264</v>
      </c>
      <c r="AG313" s="76">
        <v>214</v>
      </c>
      <c r="AH313" s="76">
        <v>5778</v>
      </c>
      <c r="AI313" s="76">
        <v>67</v>
      </c>
      <c r="AJ313" s="76">
        <v>4928</v>
      </c>
      <c r="AK313" s="76">
        <v>1906</v>
      </c>
      <c r="AL313" s="76" t="b">
        <v>0</v>
      </c>
      <c r="AM313" s="78">
        <v>43643.360925925925</v>
      </c>
      <c r="AN313" s="76" t="s">
        <v>1882</v>
      </c>
      <c r="AO313" s="76" t="s">
        <v>2339</v>
      </c>
      <c r="AP313" s="82" t="str">
        <f>HYPERLINK("https://t.co/iOUek39uJO")</f>
        <v>https://t.co/iOUek39uJO</v>
      </c>
      <c r="AQ313" s="82" t="str">
        <f>HYPERLINK("https://indiaai.gov.in/")</f>
        <v>https://indiaai.gov.in/</v>
      </c>
      <c r="AR313" s="76" t="s">
        <v>2576</v>
      </c>
      <c r="AS313" s="76"/>
      <c r="AT313" s="76"/>
      <c r="AU313" s="76"/>
      <c r="AV313" s="76"/>
      <c r="AW313" s="82" t="str">
        <f>HYPERLINK("https://t.co/iOUek39uJO")</f>
        <v>https://t.co/iOUek39uJO</v>
      </c>
      <c r="AX313" s="76" t="b">
        <v>0</v>
      </c>
      <c r="AY313" s="76"/>
      <c r="AZ313" s="76"/>
      <c r="BA313" s="76" t="b">
        <v>0</v>
      </c>
      <c r="BB313" s="76" t="b">
        <v>1</v>
      </c>
      <c r="BC313" s="76" t="b">
        <v>1</v>
      </c>
      <c r="BD313" s="76" t="b">
        <v>0</v>
      </c>
      <c r="BE313" s="76" t="b">
        <v>1</v>
      </c>
      <c r="BF313" s="76" t="b">
        <v>0</v>
      </c>
      <c r="BG313" s="76" t="b">
        <v>0</v>
      </c>
      <c r="BH313" s="82" t="str">
        <f>HYPERLINK("https://pbs.twimg.com/profile_banners/1144163391772119040/1669882464")</f>
        <v>https://pbs.twimg.com/profile_banners/1144163391772119040/1669882464</v>
      </c>
      <c r="BI313" s="76"/>
      <c r="BJ313" s="76" t="s">
        <v>2656</v>
      </c>
      <c r="BK313" s="76" t="b">
        <v>0</v>
      </c>
      <c r="BL313" s="76"/>
      <c r="BM313" s="76" t="s">
        <v>65</v>
      </c>
      <c r="BN313" s="76" t="s">
        <v>2657</v>
      </c>
      <c r="BO313" s="82" t="str">
        <f>HYPERLINK("https://twitter.com/officialindiaai")</f>
        <v>https://twitter.com/officialindiaai</v>
      </c>
      <c r="BP313" s="76" t="str">
        <f>REPLACE(INDEX(GroupVertices[Group],MATCH(Vertices[[#This Row],[Vertex]],GroupVertices[Vertex],0)),1,1,"")</f>
        <v>7</v>
      </c>
      <c r="BQ313" s="45"/>
      <c r="BR313" s="46"/>
      <c r="BS313" s="45"/>
      <c r="BT313" s="46"/>
      <c r="BU313" s="45"/>
      <c r="BV313" s="46"/>
      <c r="BW313" s="45"/>
      <c r="BX313" s="46"/>
      <c r="BY313" s="45"/>
      <c r="BZ313" s="45"/>
      <c r="CA313" s="45"/>
      <c r="CB313" s="45"/>
      <c r="CC313" s="45"/>
      <c r="CD313" s="45"/>
      <c r="CE313" s="45"/>
      <c r="CF313" s="45"/>
      <c r="CG313" s="45"/>
      <c r="CH313" s="45"/>
      <c r="CI313" s="45"/>
      <c r="CJ313" s="2"/>
    </row>
    <row r="314" spans="1:88" ht="15">
      <c r="A314" s="61" t="s">
        <v>535</v>
      </c>
      <c r="B314" s="62"/>
      <c r="C314" s="62"/>
      <c r="D314" s="63">
        <v>1000</v>
      </c>
      <c r="E314" s="65"/>
      <c r="F314" s="100" t="str">
        <f>HYPERLINK("https://pbs.twimg.com/profile_images/922251110466719744/COPjEj8z_normal.jpg")</f>
        <v>https://pbs.twimg.com/profile_images/922251110466719744/COPjEj8z_normal.jpg</v>
      </c>
      <c r="G314" s="62"/>
      <c r="H314" s="66" t="s">
        <v>535</v>
      </c>
      <c r="I314" s="67"/>
      <c r="J314" s="67" t="s">
        <v>159</v>
      </c>
      <c r="K314" s="66" t="s">
        <v>2968</v>
      </c>
      <c r="L314" s="70">
        <v>953.1904761904761</v>
      </c>
      <c r="M314" s="71">
        <v>8853.748046875</v>
      </c>
      <c r="N314" s="71">
        <v>6087.62646484375</v>
      </c>
      <c r="O314" s="72"/>
      <c r="P314" s="73"/>
      <c r="Q314" s="73"/>
      <c r="R314" s="86"/>
      <c r="S314" s="45">
        <v>2</v>
      </c>
      <c r="T314" s="45">
        <v>0</v>
      </c>
      <c r="U314" s="46">
        <v>0</v>
      </c>
      <c r="V314" s="46">
        <v>0.241495</v>
      </c>
      <c r="W314" s="46">
        <v>0.006472</v>
      </c>
      <c r="X314" s="46">
        <v>0.0028</v>
      </c>
      <c r="Y314" s="46">
        <v>0.5</v>
      </c>
      <c r="Z314" s="46">
        <v>0</v>
      </c>
      <c r="AA314" s="68">
        <v>314</v>
      </c>
      <c r="AB314" s="68"/>
      <c r="AC314" s="69"/>
      <c r="AD314" s="76" t="s">
        <v>1558</v>
      </c>
      <c r="AE314" s="80" t="s">
        <v>1843</v>
      </c>
      <c r="AF314" s="76">
        <v>9061</v>
      </c>
      <c r="AG314" s="76">
        <v>6686</v>
      </c>
      <c r="AH314" s="76">
        <v>36873</v>
      </c>
      <c r="AI314" s="76">
        <v>150</v>
      </c>
      <c r="AJ314" s="76">
        <v>12601</v>
      </c>
      <c r="AK314" s="76">
        <v>24992</v>
      </c>
      <c r="AL314" s="76" t="b">
        <v>0</v>
      </c>
      <c r="AM314" s="78">
        <v>43021.891689814816</v>
      </c>
      <c r="AN314" s="76" t="s">
        <v>996</v>
      </c>
      <c r="AO314" s="76" t="s">
        <v>2340</v>
      </c>
      <c r="AP314" s="82" t="str">
        <f>HYPERLINK("https://t.co/KruPoBuJRm")</f>
        <v>https://t.co/KruPoBuJRm</v>
      </c>
      <c r="AQ314" s="82" t="str">
        <f>HYPERLINK("http://www.thinkers360.com")</f>
        <v>http://www.thinkers360.com</v>
      </c>
      <c r="AR314" s="76" t="s">
        <v>2577</v>
      </c>
      <c r="AS314" s="76"/>
      <c r="AT314" s="76"/>
      <c r="AU314" s="76"/>
      <c r="AV314" s="76">
        <v>1.69007159231379E+18</v>
      </c>
      <c r="AW314" s="82" t="str">
        <f>HYPERLINK("https://t.co/KruPoBuJRm")</f>
        <v>https://t.co/KruPoBuJRm</v>
      </c>
      <c r="AX314" s="76" t="b">
        <v>0</v>
      </c>
      <c r="AY314" s="76"/>
      <c r="AZ314" s="76"/>
      <c r="BA314" s="76" t="b">
        <v>0</v>
      </c>
      <c r="BB314" s="76" t="b">
        <v>1</v>
      </c>
      <c r="BC314" s="76" t="b">
        <v>1</v>
      </c>
      <c r="BD314" s="76" t="b">
        <v>0</v>
      </c>
      <c r="BE314" s="76" t="b">
        <v>1</v>
      </c>
      <c r="BF314" s="76" t="b">
        <v>0</v>
      </c>
      <c r="BG314" s="76" t="b">
        <v>0</v>
      </c>
      <c r="BH314" s="82" t="str">
        <f>HYPERLINK("https://pbs.twimg.com/profile_banners/918950480000233473/1647471313")</f>
        <v>https://pbs.twimg.com/profile_banners/918950480000233473/1647471313</v>
      </c>
      <c r="BI314" s="76"/>
      <c r="BJ314" s="76" t="s">
        <v>2656</v>
      </c>
      <c r="BK314" s="76" t="b">
        <v>0</v>
      </c>
      <c r="BL314" s="76"/>
      <c r="BM314" s="76" t="s">
        <v>65</v>
      </c>
      <c r="BN314" s="76" t="s">
        <v>2657</v>
      </c>
      <c r="BO314" s="82" t="str">
        <f>HYPERLINK("https://twitter.com/thinkers360")</f>
        <v>https://twitter.com/thinkers360</v>
      </c>
      <c r="BP314" s="76" t="str">
        <f>REPLACE(INDEX(GroupVertices[Group],MATCH(Vertices[[#This Row],[Vertex]],GroupVertices[Vertex],0)),1,1,"")</f>
        <v>7</v>
      </c>
      <c r="BQ314" s="45"/>
      <c r="BR314" s="46"/>
      <c r="BS314" s="45"/>
      <c r="BT314" s="46"/>
      <c r="BU314" s="45"/>
      <c r="BV314" s="46"/>
      <c r="BW314" s="45"/>
      <c r="BX314" s="46"/>
      <c r="BY314" s="45"/>
      <c r="BZ314" s="45"/>
      <c r="CA314" s="45"/>
      <c r="CB314" s="45"/>
      <c r="CC314" s="45"/>
      <c r="CD314" s="45"/>
      <c r="CE314" s="45"/>
      <c r="CF314" s="45"/>
      <c r="CG314" s="45"/>
      <c r="CH314" s="45"/>
      <c r="CI314" s="45"/>
      <c r="CJ314" s="2"/>
    </row>
    <row r="315" spans="1:88" ht="15">
      <c r="A315" s="61" t="s">
        <v>536</v>
      </c>
      <c r="B315" s="62"/>
      <c r="C315" s="62"/>
      <c r="D315" s="63">
        <v>1000</v>
      </c>
      <c r="E315" s="65"/>
      <c r="F315" s="100" t="str">
        <f>HYPERLINK("https://pbs.twimg.com/profile_images/869159936089092096/gdVg6hil_normal.jpg")</f>
        <v>https://pbs.twimg.com/profile_images/869159936089092096/gdVg6hil_normal.jpg</v>
      </c>
      <c r="G315" s="62"/>
      <c r="H315" s="66" t="s">
        <v>536</v>
      </c>
      <c r="I315" s="67"/>
      <c r="J315" s="67" t="s">
        <v>159</v>
      </c>
      <c r="K315" s="66" t="s">
        <v>2969</v>
      </c>
      <c r="L315" s="70">
        <v>953.1904761904761</v>
      </c>
      <c r="M315" s="71">
        <v>8088.36328125</v>
      </c>
      <c r="N315" s="71">
        <v>4916.90966796875</v>
      </c>
      <c r="O315" s="72"/>
      <c r="P315" s="73"/>
      <c r="Q315" s="73"/>
      <c r="R315" s="86"/>
      <c r="S315" s="45">
        <v>2</v>
      </c>
      <c r="T315" s="45">
        <v>0</v>
      </c>
      <c r="U315" s="46">
        <v>0</v>
      </c>
      <c r="V315" s="46">
        <v>0.241495</v>
      </c>
      <c r="W315" s="46">
        <v>0.006472</v>
      </c>
      <c r="X315" s="46">
        <v>0.0028</v>
      </c>
      <c r="Y315" s="46">
        <v>0.5</v>
      </c>
      <c r="Z315" s="46">
        <v>0</v>
      </c>
      <c r="AA315" s="68">
        <v>315</v>
      </c>
      <c r="AB315" s="68"/>
      <c r="AC315" s="69"/>
      <c r="AD315" s="76" t="s">
        <v>1559</v>
      </c>
      <c r="AE315" s="80" t="s">
        <v>1844</v>
      </c>
      <c r="AF315" s="76">
        <v>81245</v>
      </c>
      <c r="AG315" s="76">
        <v>2627</v>
      </c>
      <c r="AH315" s="76">
        <v>12814</v>
      </c>
      <c r="AI315" s="76">
        <v>954</v>
      </c>
      <c r="AJ315" s="76">
        <v>21301</v>
      </c>
      <c r="AK315" s="76">
        <v>5517</v>
      </c>
      <c r="AL315" s="76" t="b">
        <v>0</v>
      </c>
      <c r="AM315" s="78">
        <v>42354.518159722225</v>
      </c>
      <c r="AN315" s="76" t="s">
        <v>2039</v>
      </c>
      <c r="AO315" s="76" t="s">
        <v>2341</v>
      </c>
      <c r="AP315" s="82" t="str">
        <f>HYPERLINK("https://t.co/wgbgEXkbRo")</f>
        <v>https://t.co/wgbgEXkbRo</v>
      </c>
      <c r="AQ315" s="82" t="str">
        <f>HYPERLINK("https://vivatechnology.com/?utm_campaign=social_media&amp;utm_source=twitter&amp;utm_medium=social_media")</f>
        <v>https://vivatechnology.com/?utm_campaign=social_media&amp;utm_source=twitter&amp;utm_medium=social_media</v>
      </c>
      <c r="AR315" s="76" t="s">
        <v>2578</v>
      </c>
      <c r="AS315" s="76"/>
      <c r="AT315" s="76"/>
      <c r="AU315" s="76"/>
      <c r="AV315" s="76">
        <v>1.66958200376566E+18</v>
      </c>
      <c r="AW315" s="82" t="str">
        <f>HYPERLINK("https://t.co/wgbgEXkbRo")</f>
        <v>https://t.co/wgbgEXkbRo</v>
      </c>
      <c r="AX315" s="76" t="b">
        <v>0</v>
      </c>
      <c r="AY315" s="76"/>
      <c r="AZ315" s="76"/>
      <c r="BA315" s="76" t="b">
        <v>0</v>
      </c>
      <c r="BB315" s="76" t="b">
        <v>1</v>
      </c>
      <c r="BC315" s="76" t="b">
        <v>1</v>
      </c>
      <c r="BD315" s="76" t="b">
        <v>0</v>
      </c>
      <c r="BE315" s="76" t="b">
        <v>1</v>
      </c>
      <c r="BF315" s="76" t="b">
        <v>0</v>
      </c>
      <c r="BG315" s="76" t="b">
        <v>0</v>
      </c>
      <c r="BH315" s="82" t="str">
        <f>HYPERLINK("https://pbs.twimg.com/profile_banners/4502885068/1693385216")</f>
        <v>https://pbs.twimg.com/profile_banners/4502885068/1693385216</v>
      </c>
      <c r="BI315" s="76"/>
      <c r="BJ315" s="76" t="s">
        <v>2656</v>
      </c>
      <c r="BK315" s="76" t="b">
        <v>0</v>
      </c>
      <c r="BL315" s="76"/>
      <c r="BM315" s="76" t="s">
        <v>65</v>
      </c>
      <c r="BN315" s="76" t="s">
        <v>2657</v>
      </c>
      <c r="BO315" s="82" t="str">
        <f>HYPERLINK("https://twitter.com/vivatech")</f>
        <v>https://twitter.com/vivatech</v>
      </c>
      <c r="BP315" s="76" t="str">
        <f>REPLACE(INDEX(GroupVertices[Group],MATCH(Vertices[[#This Row],[Vertex]],GroupVertices[Vertex],0)),1,1,"")</f>
        <v>7</v>
      </c>
      <c r="BQ315" s="45"/>
      <c r="BR315" s="46"/>
      <c r="BS315" s="45"/>
      <c r="BT315" s="46"/>
      <c r="BU315" s="45"/>
      <c r="BV315" s="46"/>
      <c r="BW315" s="45"/>
      <c r="BX315" s="46"/>
      <c r="BY315" s="45"/>
      <c r="BZ315" s="45"/>
      <c r="CA315" s="45"/>
      <c r="CB315" s="45"/>
      <c r="CC315" s="45"/>
      <c r="CD315" s="45"/>
      <c r="CE315" s="45"/>
      <c r="CF315" s="45"/>
      <c r="CG315" s="45"/>
      <c r="CH315" s="45"/>
      <c r="CI315" s="45"/>
      <c r="CJ315" s="2"/>
    </row>
    <row r="316" spans="1:88" ht="15">
      <c r="A316" s="61" t="s">
        <v>537</v>
      </c>
      <c r="B316" s="62"/>
      <c r="C316" s="62"/>
      <c r="D316" s="63">
        <v>1000</v>
      </c>
      <c r="E316" s="65"/>
      <c r="F316" s="100" t="str">
        <f>HYPERLINK("https://pbs.twimg.com/profile_images/1111181503201988612/Qst7fSdW_normal.png")</f>
        <v>https://pbs.twimg.com/profile_images/1111181503201988612/Qst7fSdW_normal.png</v>
      </c>
      <c r="G316" s="62"/>
      <c r="H316" s="66" t="s">
        <v>537</v>
      </c>
      <c r="I316" s="67"/>
      <c r="J316" s="67" t="s">
        <v>159</v>
      </c>
      <c r="K316" s="66" t="s">
        <v>2970</v>
      </c>
      <c r="L316" s="70">
        <v>953.1904761904761</v>
      </c>
      <c r="M316" s="71">
        <v>9862.0712890625</v>
      </c>
      <c r="N316" s="71">
        <v>5270.57958984375</v>
      </c>
      <c r="O316" s="72"/>
      <c r="P316" s="73"/>
      <c r="Q316" s="73"/>
      <c r="R316" s="86"/>
      <c r="S316" s="45">
        <v>2</v>
      </c>
      <c r="T316" s="45">
        <v>0</v>
      </c>
      <c r="U316" s="46">
        <v>0</v>
      </c>
      <c r="V316" s="46">
        <v>0.241495</v>
      </c>
      <c r="W316" s="46">
        <v>0.006472</v>
      </c>
      <c r="X316" s="46">
        <v>0.0028</v>
      </c>
      <c r="Y316" s="46">
        <v>0.5</v>
      </c>
      <c r="Z316" s="46">
        <v>0</v>
      </c>
      <c r="AA316" s="68">
        <v>316</v>
      </c>
      <c r="AB316" s="68"/>
      <c r="AC316" s="69"/>
      <c r="AD316" s="76" t="s">
        <v>1560</v>
      </c>
      <c r="AE316" s="80" t="s">
        <v>1845</v>
      </c>
      <c r="AF316" s="76">
        <v>3252</v>
      </c>
      <c r="AG316" s="76">
        <v>188</v>
      </c>
      <c r="AH316" s="76">
        <v>4016</v>
      </c>
      <c r="AI316" s="76">
        <v>43</v>
      </c>
      <c r="AJ316" s="76">
        <v>4607</v>
      </c>
      <c r="AK316" s="76">
        <v>502</v>
      </c>
      <c r="AL316" s="76" t="b">
        <v>0</v>
      </c>
      <c r="AM316" s="78">
        <v>42993.64538194444</v>
      </c>
      <c r="AN316" s="76" t="s">
        <v>2040</v>
      </c>
      <c r="AO316" s="76" t="s">
        <v>2342</v>
      </c>
      <c r="AP316" s="82" t="str">
        <f>HYPERLINK("https://t.co/IW4VtyENgZ")</f>
        <v>https://t.co/IW4VtyENgZ</v>
      </c>
      <c r="AQ316" s="82" t="str">
        <f>HYPERLINK("http://www.iotcommunity.net")</f>
        <v>http://www.iotcommunity.net</v>
      </c>
      <c r="AR316" s="76" t="s">
        <v>2579</v>
      </c>
      <c r="AS316" s="82" t="str">
        <f>HYPERLINK("https://t.co/EZOqxrIndj")</f>
        <v>https://t.co/EZOqxrIndj</v>
      </c>
      <c r="AT316" s="82" t="str">
        <f>HYPERLINK("http://iotcommunity.net")</f>
        <v>http://iotcommunity.net</v>
      </c>
      <c r="AU316" s="76" t="s">
        <v>2579</v>
      </c>
      <c r="AV316" s="76"/>
      <c r="AW316" s="82" t="str">
        <f>HYPERLINK("https://t.co/IW4VtyENgZ")</f>
        <v>https://t.co/IW4VtyENgZ</v>
      </c>
      <c r="AX316" s="76" t="b">
        <v>1</v>
      </c>
      <c r="AY316" s="76"/>
      <c r="AZ316" s="76"/>
      <c r="BA316" s="76" t="b">
        <v>1</v>
      </c>
      <c r="BB316" s="76" t="b">
        <v>1</v>
      </c>
      <c r="BC316" s="76" t="b">
        <v>1</v>
      </c>
      <c r="BD316" s="76" t="b">
        <v>0</v>
      </c>
      <c r="BE316" s="76" t="b">
        <v>1</v>
      </c>
      <c r="BF316" s="76" t="b">
        <v>0</v>
      </c>
      <c r="BG316" s="76" t="b">
        <v>0</v>
      </c>
      <c r="BH316" s="82" t="str">
        <f>HYPERLINK("https://pbs.twimg.com/profile_banners/908714359135854592/1679688621")</f>
        <v>https://pbs.twimg.com/profile_banners/908714359135854592/1679688621</v>
      </c>
      <c r="BI316" s="76"/>
      <c r="BJ316" s="76" t="s">
        <v>2656</v>
      </c>
      <c r="BK316" s="76" t="b">
        <v>0</v>
      </c>
      <c r="BL316" s="76"/>
      <c r="BM316" s="76" t="s">
        <v>65</v>
      </c>
      <c r="BN316" s="76" t="s">
        <v>2657</v>
      </c>
      <c r="BO316" s="82" t="str">
        <f>HYPERLINK("https://twitter.com/iotcommunity")</f>
        <v>https://twitter.com/iotcommunity</v>
      </c>
      <c r="BP316" s="76" t="str">
        <f>REPLACE(INDEX(GroupVertices[Group],MATCH(Vertices[[#This Row],[Vertex]],GroupVertices[Vertex],0)),1,1,"")</f>
        <v>7</v>
      </c>
      <c r="BQ316" s="45"/>
      <c r="BR316" s="46"/>
      <c r="BS316" s="45"/>
      <c r="BT316" s="46"/>
      <c r="BU316" s="45"/>
      <c r="BV316" s="46"/>
      <c r="BW316" s="45"/>
      <c r="BX316" s="46"/>
      <c r="BY316" s="45"/>
      <c r="BZ316" s="45"/>
      <c r="CA316" s="45"/>
      <c r="CB316" s="45"/>
      <c r="CC316" s="45"/>
      <c r="CD316" s="45"/>
      <c r="CE316" s="45"/>
      <c r="CF316" s="45"/>
      <c r="CG316" s="45"/>
      <c r="CH316" s="45"/>
      <c r="CI316" s="45"/>
      <c r="CJ316" s="2"/>
    </row>
    <row r="317" spans="1:88" ht="15">
      <c r="A317" s="61" t="s">
        <v>538</v>
      </c>
      <c r="B317" s="62"/>
      <c r="C317" s="62"/>
      <c r="D317" s="63">
        <v>1000</v>
      </c>
      <c r="E317" s="65"/>
      <c r="F317" s="100" t="str">
        <f>HYPERLINK("https://pbs.twimg.com/profile_images/1612214024036392961/th8bC3a__normal.jpg")</f>
        <v>https://pbs.twimg.com/profile_images/1612214024036392961/th8bC3a__normal.jpg</v>
      </c>
      <c r="G317" s="62"/>
      <c r="H317" s="66" t="s">
        <v>538</v>
      </c>
      <c r="I317" s="67"/>
      <c r="J317" s="67" t="s">
        <v>159</v>
      </c>
      <c r="K317" s="66" t="s">
        <v>2971</v>
      </c>
      <c r="L317" s="70">
        <v>953.1904761904761</v>
      </c>
      <c r="M317" s="71">
        <v>9291.41015625</v>
      </c>
      <c r="N317" s="71">
        <v>6037.89892578125</v>
      </c>
      <c r="O317" s="72"/>
      <c r="P317" s="73"/>
      <c r="Q317" s="73"/>
      <c r="R317" s="86"/>
      <c r="S317" s="45">
        <v>2</v>
      </c>
      <c r="T317" s="45">
        <v>0</v>
      </c>
      <c r="U317" s="46">
        <v>0</v>
      </c>
      <c r="V317" s="46">
        <v>0.241495</v>
      </c>
      <c r="W317" s="46">
        <v>0.006472</v>
      </c>
      <c r="X317" s="46">
        <v>0.0028</v>
      </c>
      <c r="Y317" s="46">
        <v>0.5</v>
      </c>
      <c r="Z317" s="46">
        <v>0</v>
      </c>
      <c r="AA317" s="68">
        <v>317</v>
      </c>
      <c r="AB317" s="68"/>
      <c r="AC317" s="69"/>
      <c r="AD317" s="76" t="s">
        <v>538</v>
      </c>
      <c r="AE317" s="80" t="s">
        <v>1846</v>
      </c>
      <c r="AF317" s="76">
        <v>8434</v>
      </c>
      <c r="AG317" s="76">
        <v>7713</v>
      </c>
      <c r="AH317" s="76">
        <v>33300</v>
      </c>
      <c r="AI317" s="76">
        <v>412</v>
      </c>
      <c r="AJ317" s="76">
        <v>6850</v>
      </c>
      <c r="AK317" s="76">
        <v>23529</v>
      </c>
      <c r="AL317" s="76" t="b">
        <v>0</v>
      </c>
      <c r="AM317" s="78">
        <v>42496.1875</v>
      </c>
      <c r="AN317" s="76" t="s">
        <v>2041</v>
      </c>
      <c r="AO317" s="76" t="s">
        <v>2343</v>
      </c>
      <c r="AP317" s="82" t="str">
        <f>HYPERLINK("https://t.co/4trtdmORRX")</f>
        <v>https://t.co/4trtdmORRX</v>
      </c>
      <c r="AQ317" s="82" t="str">
        <f>HYPERLINK("https://medium.com/@guidaautonoma")</f>
        <v>https://medium.com/@guidaautonoma</v>
      </c>
      <c r="AR317" s="76" t="s">
        <v>2580</v>
      </c>
      <c r="AS317" s="76"/>
      <c r="AT317" s="76"/>
      <c r="AU317" s="76"/>
      <c r="AV317" s="76">
        <v>1.42185772536612E+18</v>
      </c>
      <c r="AW317" s="82" t="str">
        <f>HYPERLINK("https://t.co/4trtdmORRX")</f>
        <v>https://t.co/4trtdmORRX</v>
      </c>
      <c r="AX317" s="76" t="b">
        <v>0</v>
      </c>
      <c r="AY317" s="76"/>
      <c r="AZ317" s="76"/>
      <c r="BA317" s="76" t="b">
        <v>0</v>
      </c>
      <c r="BB317" s="76" t="b">
        <v>1</v>
      </c>
      <c r="BC317" s="76" t="b">
        <v>1</v>
      </c>
      <c r="BD317" s="76" t="b">
        <v>0</v>
      </c>
      <c r="BE317" s="76" t="b">
        <v>0</v>
      </c>
      <c r="BF317" s="76" t="b">
        <v>0</v>
      </c>
      <c r="BG317" s="76" t="b">
        <v>0</v>
      </c>
      <c r="BH317" s="82" t="str">
        <f>HYPERLINK("https://pbs.twimg.com/profile_banners/728441661429141505/1690218684")</f>
        <v>https://pbs.twimg.com/profile_banners/728441661429141505/1690218684</v>
      </c>
      <c r="BI317" s="76"/>
      <c r="BJ317" s="76" t="s">
        <v>2656</v>
      </c>
      <c r="BK317" s="76" t="b">
        <v>0</v>
      </c>
      <c r="BL317" s="76"/>
      <c r="BM317" s="76" t="s">
        <v>65</v>
      </c>
      <c r="BN317" s="76" t="s">
        <v>2657</v>
      </c>
      <c r="BO317" s="82" t="str">
        <f>HYPERLINK("https://twitter.com/guidaautonoma")</f>
        <v>https://twitter.com/guidaautonoma</v>
      </c>
      <c r="BP317" s="76" t="str">
        <f>REPLACE(INDEX(GroupVertices[Group],MATCH(Vertices[[#This Row],[Vertex]],GroupVertices[Vertex],0)),1,1,"")</f>
        <v>7</v>
      </c>
      <c r="BQ317" s="45"/>
      <c r="BR317" s="46"/>
      <c r="BS317" s="45"/>
      <c r="BT317" s="46"/>
      <c r="BU317" s="45"/>
      <c r="BV317" s="46"/>
      <c r="BW317" s="45"/>
      <c r="BX317" s="46"/>
      <c r="BY317" s="45"/>
      <c r="BZ317" s="45"/>
      <c r="CA317" s="45"/>
      <c r="CB317" s="45"/>
      <c r="CC317" s="45"/>
      <c r="CD317" s="45"/>
      <c r="CE317" s="45"/>
      <c r="CF317" s="45"/>
      <c r="CG317" s="45"/>
      <c r="CH317" s="45"/>
      <c r="CI317" s="45"/>
      <c r="CJ317" s="2"/>
    </row>
    <row r="318" spans="1:88" ht="15">
      <c r="A318" s="87" t="s">
        <v>258</v>
      </c>
      <c r="B318" s="88"/>
      <c r="C318" s="88"/>
      <c r="D318" s="89">
        <v>535</v>
      </c>
      <c r="E318" s="90"/>
      <c r="F318" s="101" t="str">
        <f>HYPERLINK("https://pbs.twimg.com/profile_images/1206092231800549376/XVZ2BlIM_normal.jpg")</f>
        <v>https://pbs.twimg.com/profile_images/1206092231800549376/XVZ2BlIM_normal.jpg</v>
      </c>
      <c r="G318" s="88"/>
      <c r="H318" s="91" t="s">
        <v>258</v>
      </c>
      <c r="I318" s="92"/>
      <c r="J318" s="92" t="s">
        <v>159</v>
      </c>
      <c r="K318" s="91" t="s">
        <v>2972</v>
      </c>
      <c r="L318" s="93">
        <v>477.0952380952381</v>
      </c>
      <c r="M318" s="94">
        <v>8999.1552734375</v>
      </c>
      <c r="N318" s="94">
        <v>5057.853515625</v>
      </c>
      <c r="O318" s="95"/>
      <c r="P318" s="96"/>
      <c r="Q318" s="96"/>
      <c r="R318" s="97"/>
      <c r="S318" s="45">
        <v>1</v>
      </c>
      <c r="T318" s="45">
        <v>14</v>
      </c>
      <c r="U318" s="46">
        <v>3731</v>
      </c>
      <c r="V318" s="46">
        <v>0.324641</v>
      </c>
      <c r="W318" s="46">
        <v>0.036019</v>
      </c>
      <c r="X318" s="46">
        <v>0.005518</v>
      </c>
      <c r="Y318" s="46">
        <v>0.06666666666666667</v>
      </c>
      <c r="Z318" s="46">
        <v>0</v>
      </c>
      <c r="AA318" s="98">
        <v>318</v>
      </c>
      <c r="AB318" s="98"/>
      <c r="AC318" s="99"/>
      <c r="AD318" s="76" t="s">
        <v>1561</v>
      </c>
      <c r="AE318" s="80" t="s">
        <v>1847</v>
      </c>
      <c r="AF318" s="76">
        <v>2400</v>
      </c>
      <c r="AG318" s="76">
        <v>1458</v>
      </c>
      <c r="AH318" s="76">
        <v>15874</v>
      </c>
      <c r="AI318" s="76">
        <v>59</v>
      </c>
      <c r="AJ318" s="76">
        <v>16858</v>
      </c>
      <c r="AK318" s="76">
        <v>2803</v>
      </c>
      <c r="AL318" s="76" t="b">
        <v>0</v>
      </c>
      <c r="AM318" s="78">
        <v>40722.36085648148</v>
      </c>
      <c r="AN318" s="76" t="s">
        <v>1880</v>
      </c>
      <c r="AO318" s="76" t="s">
        <v>2344</v>
      </c>
      <c r="AP318" s="82" t="str">
        <f>HYPERLINK("https://t.co/ClzI7BJxUh")</f>
        <v>https://t.co/ClzI7BJxUh</v>
      </c>
      <c r="AQ318" s="82" t="str">
        <f>HYPERLINK("http://www.fisheyebox.com")</f>
        <v>http://www.fisheyebox.com</v>
      </c>
      <c r="AR318" s="76" t="s">
        <v>2581</v>
      </c>
      <c r="AS318" s="76"/>
      <c r="AT318" s="76"/>
      <c r="AU318" s="76"/>
      <c r="AV318" s="76"/>
      <c r="AW318" s="82" t="str">
        <f>HYPERLINK("https://t.co/ClzI7BJxUh")</f>
        <v>https://t.co/ClzI7BJxUh</v>
      </c>
      <c r="AX318" s="76" t="b">
        <v>0</v>
      </c>
      <c r="AY318" s="76"/>
      <c r="AZ318" s="76"/>
      <c r="BA318" s="76" t="b">
        <v>0</v>
      </c>
      <c r="BB318" s="76" t="b">
        <v>0</v>
      </c>
      <c r="BC318" s="76" t="b">
        <v>0</v>
      </c>
      <c r="BD318" s="76" t="b">
        <v>0</v>
      </c>
      <c r="BE318" s="76" t="b">
        <v>1</v>
      </c>
      <c r="BF318" s="76" t="b">
        <v>0</v>
      </c>
      <c r="BG318" s="76" t="b">
        <v>0</v>
      </c>
      <c r="BH318" s="82" t="str">
        <f>HYPERLINK("https://pbs.twimg.com/profile_banners/325430154/1532790272")</f>
        <v>https://pbs.twimg.com/profile_banners/325430154/1532790272</v>
      </c>
      <c r="BI318" s="76"/>
      <c r="BJ318" s="76" t="s">
        <v>2656</v>
      </c>
      <c r="BK318" s="76" t="b">
        <v>0</v>
      </c>
      <c r="BL318" s="76"/>
      <c r="BM318" s="76" t="s">
        <v>66</v>
      </c>
      <c r="BN318" s="76" t="s">
        <v>2657</v>
      </c>
      <c r="BO318" s="82" t="str">
        <f>HYPERLINK("https://twitter.com/fisheyebox")</f>
        <v>https://twitter.com/fisheyebox</v>
      </c>
      <c r="BP318" s="76" t="str">
        <f>REPLACE(INDEX(GroupVertices[Group],MATCH(Vertices[[#This Row],[Vertex]],GroupVertices[Vertex],0)),1,1,"")</f>
        <v>7</v>
      </c>
      <c r="BQ318" s="45">
        <v>1</v>
      </c>
      <c r="BR318" s="46">
        <v>2.1739130434782608</v>
      </c>
      <c r="BS318" s="45">
        <v>1</v>
      </c>
      <c r="BT318" s="46">
        <v>2.1739130434782608</v>
      </c>
      <c r="BU318" s="45">
        <v>0</v>
      </c>
      <c r="BV318" s="46">
        <v>0</v>
      </c>
      <c r="BW318" s="45">
        <v>39</v>
      </c>
      <c r="BX318" s="46">
        <v>84.78260869565217</v>
      </c>
      <c r="BY318" s="45">
        <v>46</v>
      </c>
      <c r="BZ318" s="45" t="s">
        <v>11242</v>
      </c>
      <c r="CA318" s="45" t="s">
        <v>11242</v>
      </c>
      <c r="CB318" s="45" t="s">
        <v>749</v>
      </c>
      <c r="CC318" s="45" t="s">
        <v>749</v>
      </c>
      <c r="CD318" s="45" t="s">
        <v>11569</v>
      </c>
      <c r="CE318" s="45" t="s">
        <v>11583</v>
      </c>
      <c r="CF318" s="112" t="s">
        <v>11625</v>
      </c>
      <c r="CG318" s="112" t="s">
        <v>11639</v>
      </c>
      <c r="CH318" s="112" t="s">
        <v>11680</v>
      </c>
      <c r="CI318" s="112" t="s">
        <v>11691</v>
      </c>
      <c r="CJ318" s="2"/>
    </row>
    <row r="319" spans="1:88" ht="15">
      <c r="A319" s="61" t="s">
        <v>796</v>
      </c>
      <c r="B319" s="62"/>
      <c r="C319" s="62"/>
      <c r="D319" s="63">
        <v>70</v>
      </c>
      <c r="E319" s="65"/>
      <c r="F319" s="100" t="str">
        <f>HYPERLINK("https://pbs.twimg.com/profile_images/1351938473142448133/JQT93Cjo_normal.jpg")</f>
        <v>https://pbs.twimg.com/profile_images/1351938473142448133/JQT93Cjo_normal.jpg</v>
      </c>
      <c r="G319" s="62" t="s">
        <v>51</v>
      </c>
      <c r="H319" s="66" t="s">
        <v>796</v>
      </c>
      <c r="I319" s="67"/>
      <c r="J319" s="67" t="s">
        <v>159</v>
      </c>
      <c r="K319" s="66" t="s">
        <v>2973</v>
      </c>
      <c r="L319" s="70">
        <v>1</v>
      </c>
      <c r="M319" s="71">
        <v>6854.40966796875</v>
      </c>
      <c r="N319" s="71">
        <v>1494.9488525390625</v>
      </c>
      <c r="O319" s="72"/>
      <c r="P319" s="73"/>
      <c r="Q319" s="73"/>
      <c r="R319" s="86"/>
      <c r="S319" s="45">
        <v>0</v>
      </c>
      <c r="T319" s="45">
        <v>0</v>
      </c>
      <c r="U319" s="46">
        <v>0</v>
      </c>
      <c r="V319" s="46">
        <v>0</v>
      </c>
      <c r="W319" s="46">
        <v>0</v>
      </c>
      <c r="X319" s="46">
        <v>0</v>
      </c>
      <c r="Y319" s="46">
        <v>0</v>
      </c>
      <c r="Z319" s="46">
        <v>0</v>
      </c>
      <c r="AA319" s="68">
        <v>319</v>
      </c>
      <c r="AB319" s="68"/>
      <c r="AC319" s="69"/>
      <c r="AD319" s="76" t="s">
        <v>1562</v>
      </c>
      <c r="AE319" s="80" t="s">
        <v>1848</v>
      </c>
      <c r="AF319" s="76">
        <v>8710227</v>
      </c>
      <c r="AG319" s="76">
        <v>6</v>
      </c>
      <c r="AH319" s="76">
        <v>7759</v>
      </c>
      <c r="AI319" s="76">
        <v>13430</v>
      </c>
      <c r="AJ319" s="76">
        <v>40</v>
      </c>
      <c r="AK319" s="76">
        <v>2993</v>
      </c>
      <c r="AL319" s="76" t="b">
        <v>0</v>
      </c>
      <c r="AM319" s="78">
        <v>44138.872199074074</v>
      </c>
      <c r="AN319" s="76" t="s">
        <v>2042</v>
      </c>
      <c r="AO319" s="76" t="s">
        <v>2345</v>
      </c>
      <c r="AP319" s="82" t="str">
        <f>HYPERLINK("https://t.co/2UJSiJ3BR5")</f>
        <v>https://t.co/2UJSiJ3BR5</v>
      </c>
      <c r="AQ319" s="82" t="str">
        <f>HYPERLINK("http://wh.gov/resources")</f>
        <v>http://wh.gov/resources</v>
      </c>
      <c r="AR319" s="76" t="s">
        <v>2582</v>
      </c>
      <c r="AS319" s="82" t="str">
        <f>HYPERLINK("https://t.co/UbZQo0sWVf")</f>
        <v>https://t.co/UbZQo0sWVf</v>
      </c>
      <c r="AT319" s="82" t="str">
        <f>HYPERLINK("http://whitehouse.gov/privacy")</f>
        <v>http://whitehouse.gov/privacy</v>
      </c>
      <c r="AU319" s="76" t="s">
        <v>2654</v>
      </c>
      <c r="AV319" s="76"/>
      <c r="AW319" s="82" t="str">
        <f>HYPERLINK("https://t.co/2UJSiJ3BR5")</f>
        <v>https://t.co/2UJSiJ3BR5</v>
      </c>
      <c r="AX319" s="76" t="b">
        <v>1</v>
      </c>
      <c r="AY319" s="76"/>
      <c r="AZ319" s="76"/>
      <c r="BA319" s="76" t="b">
        <v>0</v>
      </c>
      <c r="BB319" s="76" t="b">
        <v>0</v>
      </c>
      <c r="BC319" s="76" t="b">
        <v>1</v>
      </c>
      <c r="BD319" s="76" t="b">
        <v>0</v>
      </c>
      <c r="BE319" s="76" t="b">
        <v>1</v>
      </c>
      <c r="BF319" s="76" t="b">
        <v>0</v>
      </c>
      <c r="BG319" s="76" t="b">
        <v>0</v>
      </c>
      <c r="BH319" s="82" t="str">
        <f>HYPERLINK("https://pbs.twimg.com/profile_banners/1323730225067339784/1688749382")</f>
        <v>https://pbs.twimg.com/profile_banners/1323730225067339784/1688749382</v>
      </c>
      <c r="BI319" s="76"/>
      <c r="BJ319" s="76" t="s">
        <v>2656</v>
      </c>
      <c r="BK319" s="76" t="b">
        <v>0</v>
      </c>
      <c r="BL319" s="76"/>
      <c r="BM319" s="76" t="s">
        <v>65</v>
      </c>
      <c r="BN319" s="76" t="s">
        <v>2657</v>
      </c>
      <c r="BO319" s="82" t="str">
        <f>HYPERLINK("https://twitter.com/whitehouse")</f>
        <v>https://twitter.com/whitehouse</v>
      </c>
      <c r="BP319" s="76" t="str">
        <f>REPLACE(INDEX(GroupVertices[Group],MATCH(Vertices[[#This Row],[Vertex]],GroupVertices[Vertex],0)),1,1,"")</f>
        <v>11</v>
      </c>
      <c r="BQ319" s="45"/>
      <c r="BR319" s="46"/>
      <c r="BS319" s="45"/>
      <c r="BT319" s="46"/>
      <c r="BU319" s="45"/>
      <c r="BV319" s="46"/>
      <c r="BW319" s="45"/>
      <c r="BX319" s="46"/>
      <c r="BY319" s="45"/>
      <c r="BZ319" s="45"/>
      <c r="CA319" s="45"/>
      <c r="CB319" s="45"/>
      <c r="CC319" s="45"/>
      <c r="CD319" s="45"/>
      <c r="CE319" s="45"/>
      <c r="CF319" s="45"/>
      <c r="CG319" s="45"/>
      <c r="CH319" s="45"/>
      <c r="CI319" s="45"/>
      <c r="CJ319" s="2"/>
    </row>
    <row r="320" spans="1:88" ht="15">
      <c r="A320" s="61" t="s">
        <v>1214</v>
      </c>
      <c r="B320" s="62"/>
      <c r="C320" s="62"/>
      <c r="D320" s="63">
        <v>70</v>
      </c>
      <c r="E320" s="65"/>
      <c r="F320" s="100" t="str">
        <f>HYPERLINK("https://pbs.twimg.com/profile_images/1216714949965123584/wGxibbY-_normal.jpg")</f>
        <v>https://pbs.twimg.com/profile_images/1216714949965123584/wGxibbY-_normal.jpg</v>
      </c>
      <c r="G320" s="62" t="s">
        <v>51</v>
      </c>
      <c r="H320" s="66" t="s">
        <v>1214</v>
      </c>
      <c r="I320" s="67"/>
      <c r="J320" s="67" t="s">
        <v>159</v>
      </c>
      <c r="K320" s="66" t="s">
        <v>2974</v>
      </c>
      <c r="L320" s="70">
        <v>1</v>
      </c>
      <c r="M320" s="71">
        <v>6403.28759765625</v>
      </c>
      <c r="N320" s="71">
        <v>1494.9488525390625</v>
      </c>
      <c r="O320" s="72"/>
      <c r="P320" s="73"/>
      <c r="Q320" s="73"/>
      <c r="R320" s="86"/>
      <c r="S320" s="45">
        <v>0</v>
      </c>
      <c r="T320" s="45">
        <v>0</v>
      </c>
      <c r="U320" s="46">
        <v>0</v>
      </c>
      <c r="V320" s="46">
        <v>0</v>
      </c>
      <c r="W320" s="46">
        <v>0</v>
      </c>
      <c r="X320" s="46">
        <v>0</v>
      </c>
      <c r="Y320" s="46">
        <v>0</v>
      </c>
      <c r="Z320" s="46">
        <v>0</v>
      </c>
      <c r="AA320" s="68">
        <v>320</v>
      </c>
      <c r="AB320" s="68"/>
      <c r="AC320" s="69"/>
      <c r="AD320" s="76" t="s">
        <v>1563</v>
      </c>
      <c r="AE320" s="80" t="s">
        <v>1849</v>
      </c>
      <c r="AF320" s="76">
        <v>51144</v>
      </c>
      <c r="AG320" s="76">
        <v>5597</v>
      </c>
      <c r="AH320" s="76">
        <v>192716</v>
      </c>
      <c r="AI320" s="76">
        <v>183</v>
      </c>
      <c r="AJ320" s="76">
        <v>492773</v>
      </c>
      <c r="AK320" s="76">
        <v>4284</v>
      </c>
      <c r="AL320" s="76" t="b">
        <v>0</v>
      </c>
      <c r="AM320" s="78">
        <v>39952.233090277776</v>
      </c>
      <c r="AN320" s="76" t="s">
        <v>2043</v>
      </c>
      <c r="AO320" s="76" t="s">
        <v>2346</v>
      </c>
      <c r="AP320" s="82" t="str">
        <f>HYPERLINK("https://t.co/edTapigGIB")</f>
        <v>https://t.co/edTapigGIB</v>
      </c>
      <c r="AQ320" s="82" t="str">
        <f>HYPERLINK("https://www.1apraetorian.com/")</f>
        <v>https://www.1apraetorian.com/</v>
      </c>
      <c r="AR320" s="76" t="s">
        <v>2583</v>
      </c>
      <c r="AS320" s="76"/>
      <c r="AT320" s="76"/>
      <c r="AU320" s="76"/>
      <c r="AV320" s="76">
        <v>1.28790867430916E+18</v>
      </c>
      <c r="AW320" s="82" t="str">
        <f>HYPERLINK("https://t.co/edTapigGIB")</f>
        <v>https://t.co/edTapigGIB</v>
      </c>
      <c r="AX320" s="76" t="b">
        <v>0</v>
      </c>
      <c r="AY320" s="76"/>
      <c r="AZ320" s="76"/>
      <c r="BA320" s="76" t="b">
        <v>1</v>
      </c>
      <c r="BB320" s="76" t="b">
        <v>1</v>
      </c>
      <c r="BC320" s="76" t="b">
        <v>0</v>
      </c>
      <c r="BD320" s="76" t="b">
        <v>0</v>
      </c>
      <c r="BE320" s="76" t="b">
        <v>1</v>
      </c>
      <c r="BF320" s="76" t="b">
        <v>0</v>
      </c>
      <c r="BG320" s="76" t="b">
        <v>0</v>
      </c>
      <c r="BH320" s="82" t="str">
        <f>HYPERLINK("https://pbs.twimg.com/profile_banners/41063062/1419452147")</f>
        <v>https://pbs.twimg.com/profile_banners/41063062/1419452147</v>
      </c>
      <c r="BI320" s="76"/>
      <c r="BJ320" s="76" t="s">
        <v>2656</v>
      </c>
      <c r="BK320" s="76" t="b">
        <v>0</v>
      </c>
      <c r="BL320" s="76"/>
      <c r="BM320" s="76" t="s">
        <v>65</v>
      </c>
      <c r="BN320" s="76" t="s">
        <v>2657</v>
      </c>
      <c r="BO320" s="82" t="str">
        <f>HYPERLINK("https://twitter.com/robertplewis")</f>
        <v>https://twitter.com/robertplewis</v>
      </c>
      <c r="BP320" s="76" t="str">
        <f>REPLACE(INDEX(GroupVertices[Group],MATCH(Vertices[[#This Row],[Vertex]],GroupVertices[Vertex],0)),1,1,"")</f>
        <v>11</v>
      </c>
      <c r="BQ320" s="45"/>
      <c r="BR320" s="46"/>
      <c r="BS320" s="45"/>
      <c r="BT320" s="46"/>
      <c r="BU320" s="45"/>
      <c r="BV320" s="46"/>
      <c r="BW320" s="45"/>
      <c r="BX320" s="46"/>
      <c r="BY320" s="45"/>
      <c r="BZ320" s="45"/>
      <c r="CA320" s="45"/>
      <c r="CB320" s="45"/>
      <c r="CC320" s="45"/>
      <c r="CD320" s="45"/>
      <c r="CE320" s="45"/>
      <c r="CF320" s="45"/>
      <c r="CG320" s="45"/>
      <c r="CH320" s="45"/>
      <c r="CI320" s="45"/>
      <c r="CJ320" s="2"/>
    </row>
    <row r="321" spans="1:88" ht="15">
      <c r="A321" s="87" t="s">
        <v>806</v>
      </c>
      <c r="B321" s="88"/>
      <c r="C321" s="88"/>
      <c r="D321" s="89">
        <v>70</v>
      </c>
      <c r="E321" s="90"/>
      <c r="F321" s="101" t="str">
        <f>HYPERLINK("https://pbs.twimg.com/profile_images/1503219117028888577/wwuBmMM9_normal.jpg")</f>
        <v>https://pbs.twimg.com/profile_images/1503219117028888577/wwuBmMM9_normal.jpg</v>
      </c>
      <c r="G321" s="88" t="s">
        <v>51</v>
      </c>
      <c r="H321" s="91" t="s">
        <v>806</v>
      </c>
      <c r="I321" s="92"/>
      <c r="J321" s="92" t="s">
        <v>159</v>
      </c>
      <c r="K321" s="91" t="s">
        <v>2975</v>
      </c>
      <c r="L321" s="93">
        <v>1</v>
      </c>
      <c r="M321" s="94">
        <v>7305.53271484375</v>
      </c>
      <c r="N321" s="94">
        <v>1494.9488525390625</v>
      </c>
      <c r="O321" s="95"/>
      <c r="P321" s="96"/>
      <c r="Q321" s="96"/>
      <c r="R321" s="97"/>
      <c r="S321" s="45">
        <v>0</v>
      </c>
      <c r="T321" s="45">
        <v>0</v>
      </c>
      <c r="U321" s="46">
        <v>0</v>
      </c>
      <c r="V321" s="46">
        <v>0</v>
      </c>
      <c r="W321" s="46">
        <v>0</v>
      </c>
      <c r="X321" s="46">
        <v>0</v>
      </c>
      <c r="Y321" s="46">
        <v>0</v>
      </c>
      <c r="Z321" s="46">
        <v>0</v>
      </c>
      <c r="AA321" s="98">
        <v>321</v>
      </c>
      <c r="AB321" s="98"/>
      <c r="AC321" s="99"/>
      <c r="AD321" s="76" t="s">
        <v>1564</v>
      </c>
      <c r="AE321" s="80" t="s">
        <v>1850</v>
      </c>
      <c r="AF321" s="76">
        <v>4332</v>
      </c>
      <c r="AG321" s="76">
        <v>338</v>
      </c>
      <c r="AH321" s="76">
        <v>258</v>
      </c>
      <c r="AI321" s="76">
        <v>84</v>
      </c>
      <c r="AJ321" s="76">
        <v>939</v>
      </c>
      <c r="AK321" s="76">
        <v>31</v>
      </c>
      <c r="AL321" s="76" t="b">
        <v>0</v>
      </c>
      <c r="AM321" s="78">
        <v>42289.125127314815</v>
      </c>
      <c r="AN321" s="76" t="s">
        <v>2044</v>
      </c>
      <c r="AO321" s="76" t="s">
        <v>2347</v>
      </c>
      <c r="AP321" s="76"/>
      <c r="AQ321" s="76"/>
      <c r="AR321" s="76"/>
      <c r="AS321" s="76"/>
      <c r="AT321" s="76"/>
      <c r="AU321" s="76"/>
      <c r="AV321" s="76"/>
      <c r="AW321" s="76"/>
      <c r="AX321" s="76" t="b">
        <v>1</v>
      </c>
      <c r="AY321" s="76"/>
      <c r="AZ321" s="76"/>
      <c r="BA321" s="76" t="b">
        <v>1</v>
      </c>
      <c r="BB321" s="76" t="b">
        <v>0</v>
      </c>
      <c r="BC321" s="76" t="b">
        <v>0</v>
      </c>
      <c r="BD321" s="76" t="b">
        <v>0</v>
      </c>
      <c r="BE321" s="76" t="b">
        <v>1</v>
      </c>
      <c r="BF321" s="76" t="b">
        <v>0</v>
      </c>
      <c r="BG321" s="76" t="b">
        <v>0</v>
      </c>
      <c r="BH321" s="82" t="str">
        <f>HYPERLINK("https://pbs.twimg.com/profile_banners/3865119080/1618187761")</f>
        <v>https://pbs.twimg.com/profile_banners/3865119080/1618187761</v>
      </c>
      <c r="BI321" s="76"/>
      <c r="BJ321" s="76" t="s">
        <v>2656</v>
      </c>
      <c r="BK321" s="76" t="b">
        <v>0</v>
      </c>
      <c r="BL321" s="76"/>
      <c r="BM321" s="76" t="s">
        <v>65</v>
      </c>
      <c r="BN321" s="76" t="s">
        <v>2657</v>
      </c>
      <c r="BO321" s="82" t="str">
        <f>HYPERLINK("https://twitter.com/liuyuxxd")</f>
        <v>https://twitter.com/liuyuxxd</v>
      </c>
      <c r="BP321" s="76" t="str">
        <f>REPLACE(INDEX(GroupVertices[Group],MATCH(Vertices[[#This Row],[Vertex]],GroupVertices[Vertex],0)),1,1,"")</f>
        <v>11</v>
      </c>
      <c r="BQ321" s="45"/>
      <c r="BR321" s="46"/>
      <c r="BS321" s="45"/>
      <c r="BT321" s="46"/>
      <c r="BU321" s="45"/>
      <c r="BV321" s="46"/>
      <c r="BW321" s="45"/>
      <c r="BX321" s="46"/>
      <c r="BY321" s="45"/>
      <c r="BZ321" s="45"/>
      <c r="CA321" s="45"/>
      <c r="CB321" s="45"/>
      <c r="CC321" s="45"/>
      <c r="CD321" s="45"/>
      <c r="CE321" s="45"/>
      <c r="CF321" s="45"/>
      <c r="CG321" s="45"/>
      <c r="CH321" s="45"/>
      <c r="CI321" s="45"/>
      <c r="CJ32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1"/>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1"/>
    <dataValidation allowBlank="1" showInputMessage="1" promptTitle="Vertex Tooltip" prompt="Enter optional text that will pop up when the mouse is hovered over the vertex." errorTitle="Invalid Vertex Image Key" sqref="K3:K3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1"/>
    <dataValidation allowBlank="1" showInputMessage="1" promptTitle="Vertex Label Fill Color" prompt="To select an optional fill color for the Label shape, right-click and select Select Color on the right-click menu." sqref="I3:I321"/>
    <dataValidation allowBlank="1" showInputMessage="1" promptTitle="Vertex Image File" prompt="Enter the path to an image file.  Hover over the column header for examples." errorTitle="Invalid Vertex Image Key" sqref="F3:F321"/>
    <dataValidation allowBlank="1" showInputMessage="1" promptTitle="Vertex Color" prompt="To select an optional vertex color, right-click and select Select Color on the right-click menu." sqref="B3:B321"/>
    <dataValidation allowBlank="1" showInputMessage="1" promptTitle="Vertex Opacity" prompt="Enter an optional vertex opacity between 0 (transparent) and 100 (opaque)." errorTitle="Invalid Vertex Opacity" error="The optional vertex opacity must be a whole number between 0 and 10." sqref="E3:E321"/>
    <dataValidation type="list" allowBlank="1" showInputMessage="1" showErrorMessage="1" promptTitle="Vertex Shape" prompt="Select an optional vertex shape." errorTitle="Invalid Vertex Shape" error="You have entered an invalid vertex shape.  Try selecting from the drop-down list instead." sqref="C3:C3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1">
      <formula1>ValidVertexLabelPositions</formula1>
    </dataValidation>
    <dataValidation allowBlank="1" showInputMessage="1" showErrorMessage="1" promptTitle="Vertex Name" prompt="Enter the name of the vertex." sqref="A3:A3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3242</v>
      </c>
      <c r="Z2" s="50" t="s">
        <v>3243</v>
      </c>
      <c r="AA2" s="50" t="s">
        <v>3244</v>
      </c>
      <c r="AB2" s="50" t="s">
        <v>3245</v>
      </c>
      <c r="AC2" s="50" t="s">
        <v>3246</v>
      </c>
      <c r="AD2" s="50" t="s">
        <v>3247</v>
      </c>
      <c r="AE2" s="50" t="s">
        <v>3248</v>
      </c>
      <c r="AF2" s="50" t="s">
        <v>3249</v>
      </c>
      <c r="AG2" s="50" t="s">
        <v>3252</v>
      </c>
      <c r="AH2" s="7" t="s">
        <v>11306</v>
      </c>
      <c r="AI2" s="7" t="s">
        <v>11328</v>
      </c>
      <c r="AJ2" s="7" t="s">
        <v>11346</v>
      </c>
      <c r="AK2" s="7" t="s">
        <v>11367</v>
      </c>
      <c r="AL2" s="7" t="s">
        <v>11457</v>
      </c>
      <c r="AM2" s="7" t="s">
        <v>11490</v>
      </c>
      <c r="AN2" s="7" t="s">
        <v>11496</v>
      </c>
      <c r="AO2" s="7" t="s">
        <v>11519</v>
      </c>
    </row>
    <row r="3" spans="1:41" ht="15">
      <c r="A3" s="61" t="s">
        <v>3013</v>
      </c>
      <c r="B3" s="62" t="s">
        <v>3027</v>
      </c>
      <c r="C3" s="62" t="s">
        <v>56</v>
      </c>
      <c r="D3" s="103"/>
      <c r="E3" s="11"/>
      <c r="F3" s="12" t="s">
        <v>11698</v>
      </c>
      <c r="G3" s="60"/>
      <c r="H3" s="60"/>
      <c r="I3" s="104">
        <v>3</v>
      </c>
      <c r="J3" s="47"/>
      <c r="K3" s="45">
        <v>97</v>
      </c>
      <c r="L3" s="45">
        <v>76</v>
      </c>
      <c r="M3" s="45">
        <v>70</v>
      </c>
      <c r="N3" s="45">
        <v>146</v>
      </c>
      <c r="O3" s="45">
        <v>5</v>
      </c>
      <c r="P3" s="46">
        <v>0.009708737864077669</v>
      </c>
      <c r="Q3" s="46">
        <v>0.019230769230769232</v>
      </c>
      <c r="R3" s="45">
        <v>1</v>
      </c>
      <c r="S3" s="45">
        <v>0</v>
      </c>
      <c r="T3" s="45">
        <v>97</v>
      </c>
      <c r="U3" s="45">
        <v>146</v>
      </c>
      <c r="V3" s="45">
        <v>2</v>
      </c>
      <c r="W3" s="46">
        <v>1.957488</v>
      </c>
      <c r="X3" s="46">
        <v>0.011168384879725086</v>
      </c>
      <c r="Y3" s="45">
        <v>15</v>
      </c>
      <c r="Z3" s="46">
        <v>2.8517110266159698</v>
      </c>
      <c r="AA3" s="45">
        <v>1</v>
      </c>
      <c r="AB3" s="46">
        <v>0.19011406844106463</v>
      </c>
      <c r="AC3" s="45">
        <v>0</v>
      </c>
      <c r="AD3" s="46">
        <v>0</v>
      </c>
      <c r="AE3" s="45">
        <v>466</v>
      </c>
      <c r="AF3" s="46">
        <v>88.59315589353612</v>
      </c>
      <c r="AG3" s="45">
        <v>526</v>
      </c>
      <c r="AH3" s="76" t="s">
        <v>11307</v>
      </c>
      <c r="AI3" s="76" t="s">
        <v>11329</v>
      </c>
      <c r="AJ3" s="76" t="s">
        <v>11347</v>
      </c>
      <c r="AK3" s="80" t="s">
        <v>11368</v>
      </c>
      <c r="AL3" s="80" t="s">
        <v>11458</v>
      </c>
      <c r="AM3" s="80" t="s">
        <v>11491</v>
      </c>
      <c r="AN3" s="80" t="s">
        <v>11497</v>
      </c>
      <c r="AO3" s="80" t="s">
        <v>11520</v>
      </c>
    </row>
    <row r="4" spans="1:41" ht="15">
      <c r="A4" s="61" t="s">
        <v>1457</v>
      </c>
      <c r="B4" s="62" t="s">
        <v>3028</v>
      </c>
      <c r="C4" s="62" t="s">
        <v>56</v>
      </c>
      <c r="D4" s="103"/>
      <c r="E4" s="11"/>
      <c r="F4" s="12" t="s">
        <v>11699</v>
      </c>
      <c r="G4" s="60"/>
      <c r="H4" s="60"/>
      <c r="I4" s="104">
        <v>4</v>
      </c>
      <c r="J4" s="74"/>
      <c r="K4" s="45">
        <v>39</v>
      </c>
      <c r="L4" s="45">
        <v>48</v>
      </c>
      <c r="M4" s="45">
        <v>27</v>
      </c>
      <c r="N4" s="45">
        <v>75</v>
      </c>
      <c r="O4" s="45">
        <v>5</v>
      </c>
      <c r="P4" s="46">
        <v>0.07547169811320754</v>
      </c>
      <c r="Q4" s="46">
        <v>0.14035087719298245</v>
      </c>
      <c r="R4" s="45">
        <v>1</v>
      </c>
      <c r="S4" s="45">
        <v>0</v>
      </c>
      <c r="T4" s="45">
        <v>39</v>
      </c>
      <c r="U4" s="45">
        <v>75</v>
      </c>
      <c r="V4" s="45">
        <v>3</v>
      </c>
      <c r="W4" s="46">
        <v>2.00526</v>
      </c>
      <c r="X4" s="46">
        <v>0.038461538461538464</v>
      </c>
      <c r="Y4" s="45">
        <v>14</v>
      </c>
      <c r="Z4" s="46">
        <v>4.682274247491639</v>
      </c>
      <c r="AA4" s="45">
        <v>0</v>
      </c>
      <c r="AB4" s="46">
        <v>0</v>
      </c>
      <c r="AC4" s="45">
        <v>0</v>
      </c>
      <c r="AD4" s="46">
        <v>0</v>
      </c>
      <c r="AE4" s="45">
        <v>222</v>
      </c>
      <c r="AF4" s="46">
        <v>74.24749163879599</v>
      </c>
      <c r="AG4" s="45">
        <v>299</v>
      </c>
      <c r="AH4" s="76" t="s">
        <v>11308</v>
      </c>
      <c r="AI4" s="76" t="s">
        <v>11330</v>
      </c>
      <c r="AJ4" s="76" t="s">
        <v>11348</v>
      </c>
      <c r="AK4" s="80" t="s">
        <v>11369</v>
      </c>
      <c r="AL4" s="80" t="s">
        <v>11459</v>
      </c>
      <c r="AM4" s="80" t="s">
        <v>11492</v>
      </c>
      <c r="AN4" s="80" t="s">
        <v>11498</v>
      </c>
      <c r="AO4" s="80" t="s">
        <v>11521</v>
      </c>
    </row>
    <row r="5" spans="1:41" ht="15">
      <c r="A5" s="61" t="s">
        <v>3014</v>
      </c>
      <c r="B5" s="62" t="s">
        <v>3029</v>
      </c>
      <c r="C5" s="62" t="s">
        <v>56</v>
      </c>
      <c r="D5" s="103"/>
      <c r="E5" s="11"/>
      <c r="F5" s="12" t="s">
        <v>11700</v>
      </c>
      <c r="G5" s="60"/>
      <c r="H5" s="60"/>
      <c r="I5" s="104">
        <v>5</v>
      </c>
      <c r="J5" s="74"/>
      <c r="K5" s="45">
        <v>39</v>
      </c>
      <c r="L5" s="45">
        <v>30</v>
      </c>
      <c r="M5" s="45">
        <v>18</v>
      </c>
      <c r="N5" s="45">
        <v>48</v>
      </c>
      <c r="O5" s="45">
        <v>2</v>
      </c>
      <c r="P5" s="46">
        <v>0</v>
      </c>
      <c r="Q5" s="46">
        <v>0</v>
      </c>
      <c r="R5" s="45">
        <v>1</v>
      </c>
      <c r="S5" s="45">
        <v>0</v>
      </c>
      <c r="T5" s="45">
        <v>39</v>
      </c>
      <c r="U5" s="45">
        <v>48</v>
      </c>
      <c r="V5" s="45">
        <v>2</v>
      </c>
      <c r="W5" s="46">
        <v>1.898751</v>
      </c>
      <c r="X5" s="46">
        <v>0.02564102564102564</v>
      </c>
      <c r="Y5" s="45">
        <v>4</v>
      </c>
      <c r="Z5" s="46">
        <v>3.669724770642202</v>
      </c>
      <c r="AA5" s="45">
        <v>0</v>
      </c>
      <c r="AB5" s="46">
        <v>0</v>
      </c>
      <c r="AC5" s="45">
        <v>0</v>
      </c>
      <c r="AD5" s="46">
        <v>0</v>
      </c>
      <c r="AE5" s="45">
        <v>99</v>
      </c>
      <c r="AF5" s="46">
        <v>90.8256880733945</v>
      </c>
      <c r="AG5" s="45">
        <v>109</v>
      </c>
      <c r="AH5" s="76" t="s">
        <v>11309</v>
      </c>
      <c r="AI5" s="76" t="s">
        <v>11331</v>
      </c>
      <c r="AJ5" s="76" t="s">
        <v>11349</v>
      </c>
      <c r="AK5" s="80" t="s">
        <v>11370</v>
      </c>
      <c r="AL5" s="80" t="s">
        <v>11460</v>
      </c>
      <c r="AM5" s="80" t="s">
        <v>235</v>
      </c>
      <c r="AN5" s="80" t="s">
        <v>11499</v>
      </c>
      <c r="AO5" s="80" t="s">
        <v>11522</v>
      </c>
    </row>
    <row r="6" spans="1:41" ht="15">
      <c r="A6" s="61" t="s">
        <v>3015</v>
      </c>
      <c r="B6" s="62" t="s">
        <v>3030</v>
      </c>
      <c r="C6" s="62" t="s">
        <v>56</v>
      </c>
      <c r="D6" s="103"/>
      <c r="E6" s="11"/>
      <c r="F6" s="12" t="s">
        <v>11701</v>
      </c>
      <c r="G6" s="60"/>
      <c r="H6" s="60"/>
      <c r="I6" s="104">
        <v>6</v>
      </c>
      <c r="J6" s="74"/>
      <c r="K6" s="45">
        <v>31</v>
      </c>
      <c r="L6" s="45">
        <v>8</v>
      </c>
      <c r="M6" s="45">
        <v>114</v>
      </c>
      <c r="N6" s="45">
        <v>122</v>
      </c>
      <c r="O6" s="45">
        <v>12</v>
      </c>
      <c r="P6" s="46">
        <v>0</v>
      </c>
      <c r="Q6" s="46">
        <v>0</v>
      </c>
      <c r="R6" s="45">
        <v>1</v>
      </c>
      <c r="S6" s="45">
        <v>0</v>
      </c>
      <c r="T6" s="45">
        <v>31</v>
      </c>
      <c r="U6" s="45">
        <v>122</v>
      </c>
      <c r="V6" s="45">
        <v>2</v>
      </c>
      <c r="W6" s="46">
        <v>1.873049</v>
      </c>
      <c r="X6" s="46">
        <v>0.03225806451612903</v>
      </c>
      <c r="Y6" s="45">
        <v>1</v>
      </c>
      <c r="Z6" s="46">
        <v>0.3831417624521073</v>
      </c>
      <c r="AA6" s="45">
        <v>4</v>
      </c>
      <c r="AB6" s="46">
        <v>1.5325670498084292</v>
      </c>
      <c r="AC6" s="45">
        <v>0</v>
      </c>
      <c r="AD6" s="46">
        <v>0</v>
      </c>
      <c r="AE6" s="45">
        <v>212</v>
      </c>
      <c r="AF6" s="46">
        <v>81.22605363984674</v>
      </c>
      <c r="AG6" s="45">
        <v>261</v>
      </c>
      <c r="AH6" s="76" t="s">
        <v>11310</v>
      </c>
      <c r="AI6" s="76" t="s">
        <v>11332</v>
      </c>
      <c r="AJ6" s="76" t="s">
        <v>11350</v>
      </c>
      <c r="AK6" s="80" t="s">
        <v>11371</v>
      </c>
      <c r="AL6" s="80" t="s">
        <v>11461</v>
      </c>
      <c r="AM6" s="80" t="s">
        <v>11493</v>
      </c>
      <c r="AN6" s="80" t="s">
        <v>11500</v>
      </c>
      <c r="AO6" s="80" t="s">
        <v>11523</v>
      </c>
    </row>
    <row r="7" spans="1:41" ht="15">
      <c r="A7" s="61" t="s">
        <v>3016</v>
      </c>
      <c r="B7" s="62" t="s">
        <v>3031</v>
      </c>
      <c r="C7" s="62" t="s">
        <v>56</v>
      </c>
      <c r="D7" s="103"/>
      <c r="E7" s="11"/>
      <c r="F7" s="12" t="s">
        <v>11702</v>
      </c>
      <c r="G7" s="60"/>
      <c r="H7" s="60"/>
      <c r="I7" s="104">
        <v>7</v>
      </c>
      <c r="J7" s="74"/>
      <c r="K7" s="45">
        <v>21</v>
      </c>
      <c r="L7" s="45">
        <v>21</v>
      </c>
      <c r="M7" s="45">
        <v>0</v>
      </c>
      <c r="N7" s="45">
        <v>21</v>
      </c>
      <c r="O7" s="45">
        <v>1</v>
      </c>
      <c r="P7" s="46">
        <v>0</v>
      </c>
      <c r="Q7" s="46">
        <v>0</v>
      </c>
      <c r="R7" s="45">
        <v>1</v>
      </c>
      <c r="S7" s="45">
        <v>0</v>
      </c>
      <c r="T7" s="45">
        <v>21</v>
      </c>
      <c r="U7" s="45">
        <v>21</v>
      </c>
      <c r="V7" s="45">
        <v>2</v>
      </c>
      <c r="W7" s="46">
        <v>1.814059</v>
      </c>
      <c r="X7" s="46">
        <v>0.047619047619047616</v>
      </c>
      <c r="Y7" s="45">
        <v>2</v>
      </c>
      <c r="Z7" s="46">
        <v>2.6666666666666665</v>
      </c>
      <c r="AA7" s="45">
        <v>0</v>
      </c>
      <c r="AB7" s="46">
        <v>0</v>
      </c>
      <c r="AC7" s="45">
        <v>0</v>
      </c>
      <c r="AD7" s="46">
        <v>0</v>
      </c>
      <c r="AE7" s="45">
        <v>55</v>
      </c>
      <c r="AF7" s="46">
        <v>73.33333333333333</v>
      </c>
      <c r="AG7" s="45">
        <v>75</v>
      </c>
      <c r="AH7" s="76" t="s">
        <v>11311</v>
      </c>
      <c r="AI7" s="76" t="s">
        <v>740</v>
      </c>
      <c r="AJ7" s="76" t="s">
        <v>11351</v>
      </c>
      <c r="AK7" s="80" t="s">
        <v>11372</v>
      </c>
      <c r="AL7" s="80" t="s">
        <v>11462</v>
      </c>
      <c r="AM7" s="80" t="s">
        <v>806</v>
      </c>
      <c r="AN7" s="80" t="s">
        <v>11501</v>
      </c>
      <c r="AO7" s="80" t="s">
        <v>11524</v>
      </c>
    </row>
    <row r="8" spans="1:41" ht="15">
      <c r="A8" s="61" t="s">
        <v>3017</v>
      </c>
      <c r="B8" s="62" t="s">
        <v>3032</v>
      </c>
      <c r="C8" s="62" t="s">
        <v>56</v>
      </c>
      <c r="D8" s="103"/>
      <c r="E8" s="11"/>
      <c r="F8" s="12" t="s">
        <v>11703</v>
      </c>
      <c r="G8" s="60"/>
      <c r="H8" s="60"/>
      <c r="I8" s="104">
        <v>8</v>
      </c>
      <c r="J8" s="74"/>
      <c r="K8" s="45">
        <v>16</v>
      </c>
      <c r="L8" s="45">
        <v>20</v>
      </c>
      <c r="M8" s="45">
        <v>0</v>
      </c>
      <c r="N8" s="45">
        <v>20</v>
      </c>
      <c r="O8" s="45">
        <v>0</v>
      </c>
      <c r="P8" s="46">
        <v>0.05263157894736842</v>
      </c>
      <c r="Q8" s="46">
        <v>0.1</v>
      </c>
      <c r="R8" s="45">
        <v>1</v>
      </c>
      <c r="S8" s="45">
        <v>0</v>
      </c>
      <c r="T8" s="45">
        <v>16</v>
      </c>
      <c r="U8" s="45">
        <v>20</v>
      </c>
      <c r="V8" s="45">
        <v>3</v>
      </c>
      <c r="W8" s="46">
        <v>1.960938</v>
      </c>
      <c r="X8" s="46">
        <v>0.08333333333333333</v>
      </c>
      <c r="Y8" s="45">
        <v>1</v>
      </c>
      <c r="Z8" s="46">
        <v>1.7543859649122806</v>
      </c>
      <c r="AA8" s="45">
        <v>0</v>
      </c>
      <c r="AB8" s="46">
        <v>0</v>
      </c>
      <c r="AC8" s="45">
        <v>0</v>
      </c>
      <c r="AD8" s="46">
        <v>0</v>
      </c>
      <c r="AE8" s="45">
        <v>44</v>
      </c>
      <c r="AF8" s="46">
        <v>77.19298245614036</v>
      </c>
      <c r="AG8" s="45">
        <v>57</v>
      </c>
      <c r="AH8" s="76" t="s">
        <v>11291</v>
      </c>
      <c r="AI8" s="76" t="s">
        <v>740</v>
      </c>
      <c r="AJ8" s="76" t="s">
        <v>11352</v>
      </c>
      <c r="AK8" s="80" t="s">
        <v>11373</v>
      </c>
      <c r="AL8" s="80" t="s">
        <v>11463</v>
      </c>
      <c r="AM8" s="80" t="s">
        <v>11494</v>
      </c>
      <c r="AN8" s="80" t="s">
        <v>11502</v>
      </c>
      <c r="AO8" s="80" t="s">
        <v>11525</v>
      </c>
    </row>
    <row r="9" spans="1:41" ht="15">
      <c r="A9" s="61" t="s">
        <v>3018</v>
      </c>
      <c r="B9" s="62" t="s">
        <v>3033</v>
      </c>
      <c r="C9" s="62" t="s">
        <v>56</v>
      </c>
      <c r="D9" s="103"/>
      <c r="E9" s="11"/>
      <c r="F9" s="12" t="s">
        <v>11704</v>
      </c>
      <c r="G9" s="60"/>
      <c r="H9" s="60"/>
      <c r="I9" s="104">
        <v>9</v>
      </c>
      <c r="J9" s="74"/>
      <c r="K9" s="45">
        <v>15</v>
      </c>
      <c r="L9" s="45">
        <v>1</v>
      </c>
      <c r="M9" s="45">
        <v>153</v>
      </c>
      <c r="N9" s="45">
        <v>154</v>
      </c>
      <c r="O9" s="45">
        <v>0</v>
      </c>
      <c r="P9" s="46">
        <v>0</v>
      </c>
      <c r="Q9" s="46">
        <v>0</v>
      </c>
      <c r="R9" s="45">
        <v>1</v>
      </c>
      <c r="S9" s="45">
        <v>0</v>
      </c>
      <c r="T9" s="45">
        <v>15</v>
      </c>
      <c r="U9" s="45">
        <v>154</v>
      </c>
      <c r="V9" s="45">
        <v>2</v>
      </c>
      <c r="W9" s="46">
        <v>1.626667</v>
      </c>
      <c r="X9" s="46">
        <v>0.12857142857142856</v>
      </c>
      <c r="Y9" s="45">
        <v>6</v>
      </c>
      <c r="Z9" s="46">
        <v>1.639344262295082</v>
      </c>
      <c r="AA9" s="45">
        <v>6</v>
      </c>
      <c r="AB9" s="46">
        <v>1.639344262295082</v>
      </c>
      <c r="AC9" s="45">
        <v>0</v>
      </c>
      <c r="AD9" s="46">
        <v>0</v>
      </c>
      <c r="AE9" s="45">
        <v>300</v>
      </c>
      <c r="AF9" s="46">
        <v>81.9672131147541</v>
      </c>
      <c r="AG9" s="45">
        <v>366</v>
      </c>
      <c r="AH9" s="76" t="s">
        <v>11312</v>
      </c>
      <c r="AI9" s="76" t="s">
        <v>749</v>
      </c>
      <c r="AJ9" s="76" t="s">
        <v>11353</v>
      </c>
      <c r="AK9" s="80" t="s">
        <v>11374</v>
      </c>
      <c r="AL9" s="80" t="s">
        <v>11464</v>
      </c>
      <c r="AM9" s="80"/>
      <c r="AN9" s="80" t="s">
        <v>11503</v>
      </c>
      <c r="AO9" s="80" t="s">
        <v>11526</v>
      </c>
    </row>
    <row r="10" spans="1:41" ht="14.25" customHeight="1">
      <c r="A10" s="61" t="s">
        <v>3019</v>
      </c>
      <c r="B10" s="62" t="s">
        <v>3034</v>
      </c>
      <c r="C10" s="62" t="s">
        <v>56</v>
      </c>
      <c r="D10" s="103"/>
      <c r="E10" s="11"/>
      <c r="F10" s="12" t="s">
        <v>11705</v>
      </c>
      <c r="G10" s="60"/>
      <c r="H10" s="60"/>
      <c r="I10" s="104">
        <v>10</v>
      </c>
      <c r="J10" s="74"/>
      <c r="K10" s="45">
        <v>15</v>
      </c>
      <c r="L10" s="45">
        <v>65</v>
      </c>
      <c r="M10" s="45">
        <v>2</v>
      </c>
      <c r="N10" s="45">
        <v>67</v>
      </c>
      <c r="O10" s="45">
        <v>0</v>
      </c>
      <c r="P10" s="46">
        <v>0.1</v>
      </c>
      <c r="Q10" s="46">
        <v>0.18181818181818182</v>
      </c>
      <c r="R10" s="45">
        <v>1</v>
      </c>
      <c r="S10" s="45">
        <v>0</v>
      </c>
      <c r="T10" s="45">
        <v>15</v>
      </c>
      <c r="U10" s="45">
        <v>67</v>
      </c>
      <c r="V10" s="45">
        <v>2</v>
      </c>
      <c r="W10" s="46">
        <v>1.333333</v>
      </c>
      <c r="X10" s="46">
        <v>0.3142857142857143</v>
      </c>
      <c r="Y10" s="45">
        <v>4</v>
      </c>
      <c r="Z10" s="46">
        <v>4.444444444444445</v>
      </c>
      <c r="AA10" s="45">
        <v>0</v>
      </c>
      <c r="AB10" s="46">
        <v>0</v>
      </c>
      <c r="AC10" s="45">
        <v>0</v>
      </c>
      <c r="AD10" s="46">
        <v>0</v>
      </c>
      <c r="AE10" s="45">
        <v>82</v>
      </c>
      <c r="AF10" s="46">
        <v>91.11111111111111</v>
      </c>
      <c r="AG10" s="45">
        <v>90</v>
      </c>
      <c r="AH10" s="76"/>
      <c r="AI10" s="76"/>
      <c r="AJ10" s="76" t="s">
        <v>727</v>
      </c>
      <c r="AK10" s="80" t="s">
        <v>11375</v>
      </c>
      <c r="AL10" s="80" t="s">
        <v>11465</v>
      </c>
      <c r="AM10" s="80" t="s">
        <v>11495</v>
      </c>
      <c r="AN10" s="80" t="s">
        <v>11504</v>
      </c>
      <c r="AO10" s="80" t="s">
        <v>11527</v>
      </c>
    </row>
    <row r="11" spans="1:41" ht="15">
      <c r="A11" s="61" t="s">
        <v>3020</v>
      </c>
      <c r="B11" s="62" t="s">
        <v>3035</v>
      </c>
      <c r="C11" s="62" t="s">
        <v>56</v>
      </c>
      <c r="D11" s="103"/>
      <c r="E11" s="11"/>
      <c r="F11" s="12" t="s">
        <v>11706</v>
      </c>
      <c r="G11" s="60"/>
      <c r="H11" s="60"/>
      <c r="I11" s="104">
        <v>11</v>
      </c>
      <c r="J11" s="74"/>
      <c r="K11" s="45">
        <v>12</v>
      </c>
      <c r="L11" s="45">
        <v>13</v>
      </c>
      <c r="M11" s="45">
        <v>14</v>
      </c>
      <c r="N11" s="45">
        <v>27</v>
      </c>
      <c r="O11" s="45">
        <v>10</v>
      </c>
      <c r="P11" s="46">
        <v>0.08333333333333333</v>
      </c>
      <c r="Q11" s="46">
        <v>0.15384615384615385</v>
      </c>
      <c r="R11" s="45">
        <v>1</v>
      </c>
      <c r="S11" s="45">
        <v>0</v>
      </c>
      <c r="T11" s="45">
        <v>12</v>
      </c>
      <c r="U11" s="45">
        <v>27</v>
      </c>
      <c r="V11" s="45">
        <v>2</v>
      </c>
      <c r="W11" s="46">
        <v>1.666667</v>
      </c>
      <c r="X11" s="46">
        <v>0.09848484848484848</v>
      </c>
      <c r="Y11" s="45">
        <v>9</v>
      </c>
      <c r="Z11" s="46">
        <v>2.127659574468085</v>
      </c>
      <c r="AA11" s="45">
        <v>17</v>
      </c>
      <c r="AB11" s="46">
        <v>4.0189125295508275</v>
      </c>
      <c r="AC11" s="45">
        <v>0</v>
      </c>
      <c r="AD11" s="46">
        <v>0</v>
      </c>
      <c r="AE11" s="45">
        <v>239</v>
      </c>
      <c r="AF11" s="46">
        <v>56.501182033096924</v>
      </c>
      <c r="AG11" s="45">
        <v>423</v>
      </c>
      <c r="AH11" s="76" t="s">
        <v>11313</v>
      </c>
      <c r="AI11" s="76" t="s">
        <v>11333</v>
      </c>
      <c r="AJ11" s="76" t="s">
        <v>707</v>
      </c>
      <c r="AK11" s="80" t="s">
        <v>11376</v>
      </c>
      <c r="AL11" s="80" t="s">
        <v>11466</v>
      </c>
      <c r="AM11" s="80" t="s">
        <v>3482</v>
      </c>
      <c r="AN11" s="80" t="s">
        <v>11505</v>
      </c>
      <c r="AO11" s="80" t="s">
        <v>11528</v>
      </c>
    </row>
    <row r="12" spans="1:41" ht="15">
      <c r="A12" s="61" t="s">
        <v>3021</v>
      </c>
      <c r="B12" s="62" t="s">
        <v>3036</v>
      </c>
      <c r="C12" s="62" t="s">
        <v>56</v>
      </c>
      <c r="D12" s="103"/>
      <c r="E12" s="11"/>
      <c r="F12" s="12" t="s">
        <v>3021</v>
      </c>
      <c r="G12" s="60"/>
      <c r="H12" s="60"/>
      <c r="I12" s="104">
        <v>12</v>
      </c>
      <c r="J12" s="74"/>
      <c r="K12" s="45">
        <v>11</v>
      </c>
      <c r="L12" s="45">
        <v>10</v>
      </c>
      <c r="M12" s="45">
        <v>0</v>
      </c>
      <c r="N12" s="45">
        <v>10</v>
      </c>
      <c r="O12" s="45">
        <v>0</v>
      </c>
      <c r="P12" s="46">
        <v>0</v>
      </c>
      <c r="Q12" s="46">
        <v>0</v>
      </c>
      <c r="R12" s="45">
        <v>1</v>
      </c>
      <c r="S12" s="45">
        <v>0</v>
      </c>
      <c r="T12" s="45">
        <v>11</v>
      </c>
      <c r="U12" s="45">
        <v>10</v>
      </c>
      <c r="V12" s="45">
        <v>2</v>
      </c>
      <c r="W12" s="46">
        <v>1.652893</v>
      </c>
      <c r="X12" s="46">
        <v>0.09090909090909091</v>
      </c>
      <c r="Y12" s="45">
        <v>1</v>
      </c>
      <c r="Z12" s="46">
        <v>6.666666666666667</v>
      </c>
      <c r="AA12" s="45">
        <v>0</v>
      </c>
      <c r="AB12" s="46">
        <v>0</v>
      </c>
      <c r="AC12" s="45">
        <v>0</v>
      </c>
      <c r="AD12" s="46">
        <v>0</v>
      </c>
      <c r="AE12" s="45">
        <v>13</v>
      </c>
      <c r="AF12" s="46">
        <v>86.66666666666667</v>
      </c>
      <c r="AG12" s="45">
        <v>15</v>
      </c>
      <c r="AH12" s="76"/>
      <c r="AI12" s="76"/>
      <c r="AJ12" s="76"/>
      <c r="AK12" s="80" t="s">
        <v>1190</v>
      </c>
      <c r="AL12" s="80" t="s">
        <v>1190</v>
      </c>
      <c r="AM12" s="80" t="s">
        <v>432</v>
      </c>
      <c r="AN12" s="80" t="s">
        <v>11506</v>
      </c>
      <c r="AO12" s="80" t="s">
        <v>11529</v>
      </c>
    </row>
    <row r="13" spans="1:41" ht="15">
      <c r="A13" s="61" t="s">
        <v>3022</v>
      </c>
      <c r="B13" s="62" t="s">
        <v>3037</v>
      </c>
      <c r="C13" s="62" t="s">
        <v>56</v>
      </c>
      <c r="D13" s="103"/>
      <c r="E13" s="11"/>
      <c r="F13" s="12" t="s">
        <v>11707</v>
      </c>
      <c r="G13" s="60"/>
      <c r="H13" s="60"/>
      <c r="I13" s="104">
        <v>13</v>
      </c>
      <c r="J13" s="74"/>
      <c r="K13" s="45">
        <v>11</v>
      </c>
      <c r="L13" s="45">
        <v>6</v>
      </c>
      <c r="M13" s="45">
        <v>4</v>
      </c>
      <c r="N13" s="45">
        <v>10</v>
      </c>
      <c r="O13" s="45">
        <v>10</v>
      </c>
      <c r="P13" s="46" t="s">
        <v>3042</v>
      </c>
      <c r="Q13" s="46" t="s">
        <v>3042</v>
      </c>
      <c r="R13" s="45">
        <v>11</v>
      </c>
      <c r="S13" s="45">
        <v>11</v>
      </c>
      <c r="T13" s="45">
        <v>1</v>
      </c>
      <c r="U13" s="45">
        <v>2</v>
      </c>
      <c r="V13" s="45">
        <v>0</v>
      </c>
      <c r="W13" s="46">
        <v>0</v>
      </c>
      <c r="X13" s="46">
        <v>0</v>
      </c>
      <c r="Y13" s="45">
        <v>6</v>
      </c>
      <c r="Z13" s="46">
        <v>2.6785714285714284</v>
      </c>
      <c r="AA13" s="45">
        <v>1</v>
      </c>
      <c r="AB13" s="46">
        <v>0.44642857142857145</v>
      </c>
      <c r="AC13" s="45">
        <v>0</v>
      </c>
      <c r="AD13" s="46">
        <v>0</v>
      </c>
      <c r="AE13" s="45">
        <v>138</v>
      </c>
      <c r="AF13" s="46">
        <v>61.607142857142854</v>
      </c>
      <c r="AG13" s="45">
        <v>224</v>
      </c>
      <c r="AH13" s="76" t="s">
        <v>11314</v>
      </c>
      <c r="AI13" s="76" t="s">
        <v>11334</v>
      </c>
      <c r="AJ13" s="76" t="s">
        <v>11354</v>
      </c>
      <c r="AK13" s="80" t="s">
        <v>11377</v>
      </c>
      <c r="AL13" s="80" t="s">
        <v>11467</v>
      </c>
      <c r="AM13" s="80" t="s">
        <v>263</v>
      </c>
      <c r="AN13" s="80"/>
      <c r="AO13" s="80" t="s">
        <v>11530</v>
      </c>
    </row>
    <row r="14" spans="1:41" ht="15">
      <c r="A14" s="61" t="s">
        <v>3023</v>
      </c>
      <c r="B14" s="62" t="s">
        <v>3038</v>
      </c>
      <c r="C14" s="62" t="s">
        <v>56</v>
      </c>
      <c r="D14" s="103"/>
      <c r="E14" s="11"/>
      <c r="F14" s="12" t="s">
        <v>11708</v>
      </c>
      <c r="G14" s="60"/>
      <c r="H14" s="60"/>
      <c r="I14" s="104">
        <v>14</v>
      </c>
      <c r="J14" s="74"/>
      <c r="K14" s="45">
        <v>5</v>
      </c>
      <c r="L14" s="45">
        <v>5</v>
      </c>
      <c r="M14" s="45">
        <v>0</v>
      </c>
      <c r="N14" s="45">
        <v>5</v>
      </c>
      <c r="O14" s="45">
        <v>1</v>
      </c>
      <c r="P14" s="46">
        <v>0</v>
      </c>
      <c r="Q14" s="46">
        <v>0</v>
      </c>
      <c r="R14" s="45">
        <v>1</v>
      </c>
      <c r="S14" s="45">
        <v>0</v>
      </c>
      <c r="T14" s="45">
        <v>5</v>
      </c>
      <c r="U14" s="45">
        <v>5</v>
      </c>
      <c r="V14" s="45">
        <v>2</v>
      </c>
      <c r="W14" s="46">
        <v>1.28</v>
      </c>
      <c r="X14" s="46">
        <v>0.2</v>
      </c>
      <c r="Y14" s="45">
        <v>1</v>
      </c>
      <c r="Z14" s="46">
        <v>1.6666666666666667</v>
      </c>
      <c r="AA14" s="45">
        <v>0</v>
      </c>
      <c r="AB14" s="46">
        <v>0</v>
      </c>
      <c r="AC14" s="45">
        <v>0</v>
      </c>
      <c r="AD14" s="46">
        <v>0</v>
      </c>
      <c r="AE14" s="45">
        <v>43</v>
      </c>
      <c r="AF14" s="46">
        <v>71.66666666666667</v>
      </c>
      <c r="AG14" s="45">
        <v>60</v>
      </c>
      <c r="AH14" s="76"/>
      <c r="AI14" s="76"/>
      <c r="AJ14" s="76"/>
      <c r="AK14" s="80" t="s">
        <v>11378</v>
      </c>
      <c r="AL14" s="80" t="s">
        <v>1190</v>
      </c>
      <c r="AM14" s="80" t="s">
        <v>525</v>
      </c>
      <c r="AN14" s="80" t="s">
        <v>11507</v>
      </c>
      <c r="AO14" s="80" t="s">
        <v>11531</v>
      </c>
    </row>
    <row r="15" spans="1:41" ht="15">
      <c r="A15" s="61" t="s">
        <v>3024</v>
      </c>
      <c r="B15" s="62" t="s">
        <v>3027</v>
      </c>
      <c r="C15" s="62" t="s">
        <v>59</v>
      </c>
      <c r="D15" s="103"/>
      <c r="E15" s="11"/>
      <c r="F15" s="12" t="s">
        <v>3024</v>
      </c>
      <c r="G15" s="60"/>
      <c r="H15" s="60"/>
      <c r="I15" s="104">
        <v>15</v>
      </c>
      <c r="J15" s="74"/>
      <c r="K15" s="45">
        <v>3</v>
      </c>
      <c r="L15" s="45">
        <v>2</v>
      </c>
      <c r="M15" s="45">
        <v>0</v>
      </c>
      <c r="N15" s="45">
        <v>2</v>
      </c>
      <c r="O15" s="45">
        <v>0</v>
      </c>
      <c r="P15" s="46">
        <v>0</v>
      </c>
      <c r="Q15" s="46">
        <v>0</v>
      </c>
      <c r="R15" s="45">
        <v>1</v>
      </c>
      <c r="S15" s="45">
        <v>0</v>
      </c>
      <c r="T15" s="45">
        <v>3</v>
      </c>
      <c r="U15" s="45">
        <v>2</v>
      </c>
      <c r="V15" s="45">
        <v>2</v>
      </c>
      <c r="W15" s="46">
        <v>0.888889</v>
      </c>
      <c r="X15" s="46">
        <v>0.3333333333333333</v>
      </c>
      <c r="Y15" s="45">
        <v>0</v>
      </c>
      <c r="Z15" s="46">
        <v>0</v>
      </c>
      <c r="AA15" s="45">
        <v>0</v>
      </c>
      <c r="AB15" s="46">
        <v>0</v>
      </c>
      <c r="AC15" s="45">
        <v>0</v>
      </c>
      <c r="AD15" s="46">
        <v>0</v>
      </c>
      <c r="AE15" s="45">
        <v>14</v>
      </c>
      <c r="AF15" s="46">
        <v>70</v>
      </c>
      <c r="AG15" s="45">
        <v>20</v>
      </c>
      <c r="AH15" s="76"/>
      <c r="AI15" s="76"/>
      <c r="AJ15" s="76" t="s">
        <v>228</v>
      </c>
      <c r="AK15" s="80" t="s">
        <v>1190</v>
      </c>
      <c r="AL15" s="80" t="s">
        <v>1190</v>
      </c>
      <c r="AM15" s="80"/>
      <c r="AN15" s="80" t="s">
        <v>792</v>
      </c>
      <c r="AO15" s="80" t="s">
        <v>11532</v>
      </c>
    </row>
    <row r="16" spans="1:41" ht="15">
      <c r="A16" s="61" t="s">
        <v>3025</v>
      </c>
      <c r="B16" s="62" t="s">
        <v>3028</v>
      </c>
      <c r="C16" s="62" t="s">
        <v>59</v>
      </c>
      <c r="D16" s="103"/>
      <c r="E16" s="11"/>
      <c r="F16" s="12" t="s">
        <v>11709</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1</v>
      </c>
      <c r="Z16" s="46">
        <v>3.225806451612903</v>
      </c>
      <c r="AA16" s="45">
        <v>1</v>
      </c>
      <c r="AB16" s="46">
        <v>3.225806451612903</v>
      </c>
      <c r="AC16" s="45">
        <v>0</v>
      </c>
      <c r="AD16" s="46">
        <v>0</v>
      </c>
      <c r="AE16" s="45">
        <v>19</v>
      </c>
      <c r="AF16" s="46">
        <v>61.29032258064516</v>
      </c>
      <c r="AG16" s="45">
        <v>31</v>
      </c>
      <c r="AH16" s="76" t="s">
        <v>11315</v>
      </c>
      <c r="AI16" s="76" t="s">
        <v>745</v>
      </c>
      <c r="AJ16" s="76" t="s">
        <v>11355</v>
      </c>
      <c r="AK16" s="80" t="s">
        <v>3221</v>
      </c>
      <c r="AL16" s="80" t="s">
        <v>1190</v>
      </c>
      <c r="AM16" s="80"/>
      <c r="AN16" s="80" t="s">
        <v>491</v>
      </c>
      <c r="AO16" s="80" t="s">
        <v>11533</v>
      </c>
    </row>
    <row r="17" spans="1:41" ht="15">
      <c r="A17" s="61" t="s">
        <v>3026</v>
      </c>
      <c r="B17" s="62" t="s">
        <v>3029</v>
      </c>
      <c r="C17" s="62" t="s">
        <v>59</v>
      </c>
      <c r="D17" s="103"/>
      <c r="E17" s="11"/>
      <c r="F17" s="12" t="s">
        <v>3026</v>
      </c>
      <c r="G17" s="60"/>
      <c r="H17" s="60"/>
      <c r="I17" s="104">
        <v>17</v>
      </c>
      <c r="J17" s="74"/>
      <c r="K17" s="45">
        <v>2</v>
      </c>
      <c r="L17" s="45">
        <v>1</v>
      </c>
      <c r="M17" s="45">
        <v>0</v>
      </c>
      <c r="N17" s="45">
        <v>1</v>
      </c>
      <c r="O17" s="45">
        <v>0</v>
      </c>
      <c r="P17" s="46">
        <v>0</v>
      </c>
      <c r="Q17" s="46">
        <v>0</v>
      </c>
      <c r="R17" s="45">
        <v>1</v>
      </c>
      <c r="S17" s="45">
        <v>0</v>
      </c>
      <c r="T17" s="45">
        <v>2</v>
      </c>
      <c r="U17" s="45">
        <v>1</v>
      </c>
      <c r="V17" s="45">
        <v>1</v>
      </c>
      <c r="W17" s="46">
        <v>0.5</v>
      </c>
      <c r="X17" s="46">
        <v>0.5</v>
      </c>
      <c r="Y17" s="45">
        <v>0</v>
      </c>
      <c r="Z17" s="46">
        <v>0</v>
      </c>
      <c r="AA17" s="45">
        <v>1</v>
      </c>
      <c r="AB17" s="46">
        <v>2.380952380952381</v>
      </c>
      <c r="AC17" s="45">
        <v>0</v>
      </c>
      <c r="AD17" s="46">
        <v>0</v>
      </c>
      <c r="AE17" s="45">
        <v>20</v>
      </c>
      <c r="AF17" s="46">
        <v>47.61904761904762</v>
      </c>
      <c r="AG17" s="45">
        <v>42</v>
      </c>
      <c r="AH17" s="76"/>
      <c r="AI17" s="76"/>
      <c r="AJ17" s="76"/>
      <c r="AK17" s="80" t="s">
        <v>1190</v>
      </c>
      <c r="AL17" s="80" t="s">
        <v>1190</v>
      </c>
      <c r="AM17" s="80" t="s">
        <v>264</v>
      </c>
      <c r="AN17" s="80"/>
      <c r="AO17" s="80" t="s">
        <v>11534</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3013</v>
      </c>
      <c r="B2" s="80" t="s">
        <v>229</v>
      </c>
      <c r="C2" s="76">
        <f>VLOOKUP(GroupVertices[[#This Row],[Vertex]],Vertices[],MATCH("ID",Vertices[[#Headers],[Vertex]:[Top Word Pairs in Tweet by Salience]],0),FALSE)</f>
        <v>8</v>
      </c>
    </row>
    <row r="3" spans="1:3" ht="15">
      <c r="A3" s="77" t="s">
        <v>3013</v>
      </c>
      <c r="B3" s="80" t="s">
        <v>419</v>
      </c>
      <c r="C3" s="76">
        <f>VLOOKUP(GroupVertices[[#This Row],[Vertex]],Vertices[],MATCH("ID",Vertices[[#Headers],[Vertex]:[Top Word Pairs in Tweet by Salience]],0),FALSE)</f>
        <v>169</v>
      </c>
    </row>
    <row r="4" spans="1:3" ht="15">
      <c r="A4" s="77" t="s">
        <v>3013</v>
      </c>
      <c r="B4" s="80" t="s">
        <v>418</v>
      </c>
      <c r="C4" s="76">
        <f>VLOOKUP(GroupVertices[[#This Row],[Vertex]],Vertices[],MATCH("ID",Vertices[[#Headers],[Vertex]:[Top Word Pairs in Tweet by Salience]],0),FALSE)</f>
        <v>168</v>
      </c>
    </row>
    <row r="5" spans="1:3" ht="15">
      <c r="A5" s="77" t="s">
        <v>3013</v>
      </c>
      <c r="B5" s="80" t="s">
        <v>417</v>
      </c>
      <c r="C5" s="76">
        <f>VLOOKUP(GroupVertices[[#This Row],[Vertex]],Vertices[],MATCH("ID",Vertices[[#Headers],[Vertex]:[Top Word Pairs in Tweet by Salience]],0),FALSE)</f>
        <v>167</v>
      </c>
    </row>
    <row r="6" spans="1:3" ht="15">
      <c r="A6" s="77" t="s">
        <v>3013</v>
      </c>
      <c r="B6" s="80" t="s">
        <v>416</v>
      </c>
      <c r="C6" s="76">
        <f>VLOOKUP(GroupVertices[[#This Row],[Vertex]],Vertices[],MATCH("ID",Vertices[[#Headers],[Vertex]:[Top Word Pairs in Tweet by Salience]],0),FALSE)</f>
        <v>166</v>
      </c>
    </row>
    <row r="7" spans="1:3" ht="15">
      <c r="A7" s="77" t="s">
        <v>3013</v>
      </c>
      <c r="B7" s="80" t="s">
        <v>415</v>
      </c>
      <c r="C7" s="76">
        <f>VLOOKUP(GroupVertices[[#This Row],[Vertex]],Vertices[],MATCH("ID",Vertices[[#Headers],[Vertex]:[Top Word Pairs in Tweet by Salience]],0),FALSE)</f>
        <v>165</v>
      </c>
    </row>
    <row r="8" spans="1:3" ht="15">
      <c r="A8" s="77" t="s">
        <v>3013</v>
      </c>
      <c r="B8" s="80" t="s">
        <v>414</v>
      </c>
      <c r="C8" s="76">
        <f>VLOOKUP(GroupVertices[[#This Row],[Vertex]],Vertices[],MATCH("ID",Vertices[[#Headers],[Vertex]:[Top Word Pairs in Tweet by Salience]],0),FALSE)</f>
        <v>164</v>
      </c>
    </row>
    <row r="9" spans="1:3" ht="15">
      <c r="A9" s="77" t="s">
        <v>3013</v>
      </c>
      <c r="B9" s="80" t="s">
        <v>413</v>
      </c>
      <c r="C9" s="76">
        <f>VLOOKUP(GroupVertices[[#This Row],[Vertex]],Vertices[],MATCH("ID",Vertices[[#Headers],[Vertex]:[Top Word Pairs in Tweet by Salience]],0),FALSE)</f>
        <v>163</v>
      </c>
    </row>
    <row r="10" spans="1:3" ht="15">
      <c r="A10" s="77" t="s">
        <v>3013</v>
      </c>
      <c r="B10" s="80" t="s">
        <v>412</v>
      </c>
      <c r="C10" s="76">
        <f>VLOOKUP(GroupVertices[[#This Row],[Vertex]],Vertices[],MATCH("ID",Vertices[[#Headers],[Vertex]:[Top Word Pairs in Tweet by Salience]],0),FALSE)</f>
        <v>162</v>
      </c>
    </row>
    <row r="11" spans="1:3" ht="15">
      <c r="A11" s="77" t="s">
        <v>3013</v>
      </c>
      <c r="B11" s="80" t="s">
        <v>411</v>
      </c>
      <c r="C11" s="76">
        <f>VLOOKUP(GroupVertices[[#This Row],[Vertex]],Vertices[],MATCH("ID",Vertices[[#Headers],[Vertex]:[Top Word Pairs in Tweet by Salience]],0),FALSE)</f>
        <v>161</v>
      </c>
    </row>
    <row r="12" spans="1:3" ht="15">
      <c r="A12" s="77" t="s">
        <v>3013</v>
      </c>
      <c r="B12" s="80" t="s">
        <v>410</v>
      </c>
      <c r="C12" s="76">
        <f>VLOOKUP(GroupVertices[[#This Row],[Vertex]],Vertices[],MATCH("ID",Vertices[[#Headers],[Vertex]:[Top Word Pairs in Tweet by Salience]],0),FALSE)</f>
        <v>160</v>
      </c>
    </row>
    <row r="13" spans="1:3" ht="15">
      <c r="A13" s="77" t="s">
        <v>3013</v>
      </c>
      <c r="B13" s="80" t="s">
        <v>409</v>
      </c>
      <c r="C13" s="76">
        <f>VLOOKUP(GroupVertices[[#This Row],[Vertex]],Vertices[],MATCH("ID",Vertices[[#Headers],[Vertex]:[Top Word Pairs in Tweet by Salience]],0),FALSE)</f>
        <v>159</v>
      </c>
    </row>
    <row r="14" spans="1:3" ht="15">
      <c r="A14" s="77" t="s">
        <v>3013</v>
      </c>
      <c r="B14" s="80" t="s">
        <v>408</v>
      </c>
      <c r="C14" s="76">
        <f>VLOOKUP(GroupVertices[[#This Row],[Vertex]],Vertices[],MATCH("ID",Vertices[[#Headers],[Vertex]:[Top Word Pairs in Tweet by Salience]],0),FALSE)</f>
        <v>158</v>
      </c>
    </row>
    <row r="15" spans="1:3" ht="15">
      <c r="A15" s="77" t="s">
        <v>3013</v>
      </c>
      <c r="B15" s="80" t="s">
        <v>407</v>
      </c>
      <c r="C15" s="76">
        <f>VLOOKUP(GroupVertices[[#This Row],[Vertex]],Vertices[],MATCH("ID",Vertices[[#Headers],[Vertex]:[Top Word Pairs in Tweet by Salience]],0),FALSE)</f>
        <v>157</v>
      </c>
    </row>
    <row r="16" spans="1:3" ht="15">
      <c r="A16" s="77" t="s">
        <v>3013</v>
      </c>
      <c r="B16" s="80" t="s">
        <v>406</v>
      </c>
      <c r="C16" s="76">
        <f>VLOOKUP(GroupVertices[[#This Row],[Vertex]],Vertices[],MATCH("ID",Vertices[[#Headers],[Vertex]:[Top Word Pairs in Tweet by Salience]],0),FALSE)</f>
        <v>156</v>
      </c>
    </row>
    <row r="17" spans="1:3" ht="15">
      <c r="A17" s="77" t="s">
        <v>3013</v>
      </c>
      <c r="B17" s="80" t="s">
        <v>405</v>
      </c>
      <c r="C17" s="76">
        <f>VLOOKUP(GroupVertices[[#This Row],[Vertex]],Vertices[],MATCH("ID",Vertices[[#Headers],[Vertex]:[Top Word Pairs in Tweet by Salience]],0),FALSE)</f>
        <v>155</v>
      </c>
    </row>
    <row r="18" spans="1:3" ht="15">
      <c r="A18" s="77" t="s">
        <v>3013</v>
      </c>
      <c r="B18" s="80" t="s">
        <v>404</v>
      </c>
      <c r="C18" s="76">
        <f>VLOOKUP(GroupVertices[[#This Row],[Vertex]],Vertices[],MATCH("ID",Vertices[[#Headers],[Vertex]:[Top Word Pairs in Tweet by Salience]],0),FALSE)</f>
        <v>154</v>
      </c>
    </row>
    <row r="19" spans="1:3" ht="15">
      <c r="A19" s="77" t="s">
        <v>3013</v>
      </c>
      <c r="B19" s="80" t="s">
        <v>403</v>
      </c>
      <c r="C19" s="76">
        <f>VLOOKUP(GroupVertices[[#This Row],[Vertex]],Vertices[],MATCH("ID",Vertices[[#Headers],[Vertex]:[Top Word Pairs in Tweet by Salience]],0),FALSE)</f>
        <v>153</v>
      </c>
    </row>
    <row r="20" spans="1:3" ht="15">
      <c r="A20" s="77" t="s">
        <v>3013</v>
      </c>
      <c r="B20" s="80" t="s">
        <v>402</v>
      </c>
      <c r="C20" s="76">
        <f>VLOOKUP(GroupVertices[[#This Row],[Vertex]],Vertices[],MATCH("ID",Vertices[[#Headers],[Vertex]:[Top Word Pairs in Tweet by Salience]],0),FALSE)</f>
        <v>152</v>
      </c>
    </row>
    <row r="21" spans="1:3" ht="15">
      <c r="A21" s="77" t="s">
        <v>3013</v>
      </c>
      <c r="B21" s="80" t="s">
        <v>401</v>
      </c>
      <c r="C21" s="76">
        <f>VLOOKUP(GroupVertices[[#This Row],[Vertex]],Vertices[],MATCH("ID",Vertices[[#Headers],[Vertex]:[Top Word Pairs in Tweet by Salience]],0),FALSE)</f>
        <v>151</v>
      </c>
    </row>
    <row r="22" spans="1:3" ht="15">
      <c r="A22" s="77" t="s">
        <v>3013</v>
      </c>
      <c r="B22" s="80" t="s">
        <v>400</v>
      </c>
      <c r="C22" s="76">
        <f>VLOOKUP(GroupVertices[[#This Row],[Vertex]],Vertices[],MATCH("ID",Vertices[[#Headers],[Vertex]:[Top Word Pairs in Tweet by Salience]],0),FALSE)</f>
        <v>150</v>
      </c>
    </row>
    <row r="23" spans="1:3" ht="15">
      <c r="A23" s="77" t="s">
        <v>3013</v>
      </c>
      <c r="B23" s="80" t="s">
        <v>399</v>
      </c>
      <c r="C23" s="76">
        <f>VLOOKUP(GroupVertices[[#This Row],[Vertex]],Vertices[],MATCH("ID",Vertices[[#Headers],[Vertex]:[Top Word Pairs in Tweet by Salience]],0),FALSE)</f>
        <v>149</v>
      </c>
    </row>
    <row r="24" spans="1:3" ht="15">
      <c r="A24" s="77" t="s">
        <v>3013</v>
      </c>
      <c r="B24" s="80" t="s">
        <v>398</v>
      </c>
      <c r="C24" s="76">
        <f>VLOOKUP(GroupVertices[[#This Row],[Vertex]],Vertices[],MATCH("ID",Vertices[[#Headers],[Vertex]:[Top Word Pairs in Tweet by Salience]],0),FALSE)</f>
        <v>148</v>
      </c>
    </row>
    <row r="25" spans="1:3" ht="15">
      <c r="A25" s="77" t="s">
        <v>3013</v>
      </c>
      <c r="B25" s="80" t="s">
        <v>397</v>
      </c>
      <c r="C25" s="76">
        <f>VLOOKUP(GroupVertices[[#This Row],[Vertex]],Vertices[],MATCH("ID",Vertices[[#Headers],[Vertex]:[Top Word Pairs in Tweet by Salience]],0),FALSE)</f>
        <v>147</v>
      </c>
    </row>
    <row r="26" spans="1:3" ht="15">
      <c r="A26" s="77" t="s">
        <v>3013</v>
      </c>
      <c r="B26" s="80" t="s">
        <v>396</v>
      </c>
      <c r="C26" s="76">
        <f>VLOOKUP(GroupVertices[[#This Row],[Vertex]],Vertices[],MATCH("ID",Vertices[[#Headers],[Vertex]:[Top Word Pairs in Tweet by Salience]],0),FALSE)</f>
        <v>146</v>
      </c>
    </row>
    <row r="27" spans="1:3" ht="15">
      <c r="A27" s="77" t="s">
        <v>3013</v>
      </c>
      <c r="B27" s="80" t="s">
        <v>395</v>
      </c>
      <c r="C27" s="76">
        <f>VLOOKUP(GroupVertices[[#This Row],[Vertex]],Vertices[],MATCH("ID",Vertices[[#Headers],[Vertex]:[Top Word Pairs in Tweet by Salience]],0),FALSE)</f>
        <v>145</v>
      </c>
    </row>
    <row r="28" spans="1:3" ht="15">
      <c r="A28" s="77" t="s">
        <v>3013</v>
      </c>
      <c r="B28" s="80" t="s">
        <v>394</v>
      </c>
      <c r="C28" s="76">
        <f>VLOOKUP(GroupVertices[[#This Row],[Vertex]],Vertices[],MATCH("ID",Vertices[[#Headers],[Vertex]:[Top Word Pairs in Tweet by Salience]],0),FALSE)</f>
        <v>144</v>
      </c>
    </row>
    <row r="29" spans="1:3" ht="15">
      <c r="A29" s="77" t="s">
        <v>3013</v>
      </c>
      <c r="B29" s="80" t="s">
        <v>393</v>
      </c>
      <c r="C29" s="76">
        <f>VLOOKUP(GroupVertices[[#This Row],[Vertex]],Vertices[],MATCH("ID",Vertices[[#Headers],[Vertex]:[Top Word Pairs in Tweet by Salience]],0),FALSE)</f>
        <v>143</v>
      </c>
    </row>
    <row r="30" spans="1:3" ht="15">
      <c r="A30" s="77" t="s">
        <v>3013</v>
      </c>
      <c r="B30" s="80" t="s">
        <v>392</v>
      </c>
      <c r="C30" s="76">
        <f>VLOOKUP(GroupVertices[[#This Row],[Vertex]],Vertices[],MATCH("ID",Vertices[[#Headers],[Vertex]:[Top Word Pairs in Tweet by Salience]],0),FALSE)</f>
        <v>142</v>
      </c>
    </row>
    <row r="31" spans="1:3" ht="15">
      <c r="A31" s="77" t="s">
        <v>3013</v>
      </c>
      <c r="B31" s="80" t="s">
        <v>391</v>
      </c>
      <c r="C31" s="76">
        <f>VLOOKUP(GroupVertices[[#This Row],[Vertex]],Vertices[],MATCH("ID",Vertices[[#Headers],[Vertex]:[Top Word Pairs in Tweet by Salience]],0),FALSE)</f>
        <v>141</v>
      </c>
    </row>
    <row r="32" spans="1:3" ht="15">
      <c r="A32" s="77" t="s">
        <v>3013</v>
      </c>
      <c r="B32" s="80" t="s">
        <v>390</v>
      </c>
      <c r="C32" s="76">
        <f>VLOOKUP(GroupVertices[[#This Row],[Vertex]],Vertices[],MATCH("ID",Vertices[[#Headers],[Vertex]:[Top Word Pairs in Tweet by Salience]],0),FALSE)</f>
        <v>140</v>
      </c>
    </row>
    <row r="33" spans="1:3" ht="15">
      <c r="A33" s="77" t="s">
        <v>3013</v>
      </c>
      <c r="B33" s="80" t="s">
        <v>389</v>
      </c>
      <c r="C33" s="76">
        <f>VLOOKUP(GroupVertices[[#This Row],[Vertex]],Vertices[],MATCH("ID",Vertices[[#Headers],[Vertex]:[Top Word Pairs in Tweet by Salience]],0),FALSE)</f>
        <v>139</v>
      </c>
    </row>
    <row r="34" spans="1:3" ht="15">
      <c r="A34" s="77" t="s">
        <v>3013</v>
      </c>
      <c r="B34" s="80" t="s">
        <v>388</v>
      </c>
      <c r="C34" s="76">
        <f>VLOOKUP(GroupVertices[[#This Row],[Vertex]],Vertices[],MATCH("ID",Vertices[[#Headers],[Vertex]:[Top Word Pairs in Tweet by Salience]],0),FALSE)</f>
        <v>138</v>
      </c>
    </row>
    <row r="35" spans="1:3" ht="15">
      <c r="A35" s="77" t="s">
        <v>3013</v>
      </c>
      <c r="B35" s="80" t="s">
        <v>387</v>
      </c>
      <c r="C35" s="76">
        <f>VLOOKUP(GroupVertices[[#This Row],[Vertex]],Vertices[],MATCH("ID",Vertices[[#Headers],[Vertex]:[Top Word Pairs in Tweet by Salience]],0),FALSE)</f>
        <v>137</v>
      </c>
    </row>
    <row r="36" spans="1:3" ht="15">
      <c r="A36" s="77" t="s">
        <v>3013</v>
      </c>
      <c r="B36" s="80" t="s">
        <v>386</v>
      </c>
      <c r="C36" s="76">
        <f>VLOOKUP(GroupVertices[[#This Row],[Vertex]],Vertices[],MATCH("ID",Vertices[[#Headers],[Vertex]:[Top Word Pairs in Tweet by Salience]],0),FALSE)</f>
        <v>136</v>
      </c>
    </row>
    <row r="37" spans="1:3" ht="15">
      <c r="A37" s="77" t="s">
        <v>3013</v>
      </c>
      <c r="B37" s="80" t="s">
        <v>385</v>
      </c>
      <c r="C37" s="76">
        <f>VLOOKUP(GroupVertices[[#This Row],[Vertex]],Vertices[],MATCH("ID",Vertices[[#Headers],[Vertex]:[Top Word Pairs in Tweet by Salience]],0),FALSE)</f>
        <v>135</v>
      </c>
    </row>
    <row r="38" spans="1:3" ht="15">
      <c r="A38" s="77" t="s">
        <v>3013</v>
      </c>
      <c r="B38" s="80" t="s">
        <v>384</v>
      </c>
      <c r="C38" s="76">
        <f>VLOOKUP(GroupVertices[[#This Row],[Vertex]],Vertices[],MATCH("ID",Vertices[[#Headers],[Vertex]:[Top Word Pairs in Tweet by Salience]],0),FALSE)</f>
        <v>134</v>
      </c>
    </row>
    <row r="39" spans="1:3" ht="15">
      <c r="A39" s="77" t="s">
        <v>3013</v>
      </c>
      <c r="B39" s="80" t="s">
        <v>383</v>
      </c>
      <c r="C39" s="76">
        <f>VLOOKUP(GroupVertices[[#This Row],[Vertex]],Vertices[],MATCH("ID",Vertices[[#Headers],[Vertex]:[Top Word Pairs in Tweet by Salience]],0),FALSE)</f>
        <v>133</v>
      </c>
    </row>
    <row r="40" spans="1:3" ht="15">
      <c r="A40" s="77" t="s">
        <v>3013</v>
      </c>
      <c r="B40" s="80" t="s">
        <v>382</v>
      </c>
      <c r="C40" s="76">
        <f>VLOOKUP(GroupVertices[[#This Row],[Vertex]],Vertices[],MATCH("ID",Vertices[[#Headers],[Vertex]:[Top Word Pairs in Tweet by Salience]],0),FALSE)</f>
        <v>132</v>
      </c>
    </row>
    <row r="41" spans="1:3" ht="15">
      <c r="A41" s="77" t="s">
        <v>3013</v>
      </c>
      <c r="B41" s="80" t="s">
        <v>381</v>
      </c>
      <c r="C41" s="76">
        <f>VLOOKUP(GroupVertices[[#This Row],[Vertex]],Vertices[],MATCH("ID",Vertices[[#Headers],[Vertex]:[Top Word Pairs in Tweet by Salience]],0),FALSE)</f>
        <v>131</v>
      </c>
    </row>
    <row r="42" spans="1:3" ht="15">
      <c r="A42" s="77" t="s">
        <v>3013</v>
      </c>
      <c r="B42" s="80" t="s">
        <v>380</v>
      </c>
      <c r="C42" s="76">
        <f>VLOOKUP(GroupVertices[[#This Row],[Vertex]],Vertices[],MATCH("ID",Vertices[[#Headers],[Vertex]:[Top Word Pairs in Tweet by Salience]],0),FALSE)</f>
        <v>130</v>
      </c>
    </row>
    <row r="43" spans="1:3" ht="15">
      <c r="A43" s="77" t="s">
        <v>3013</v>
      </c>
      <c r="B43" s="80" t="s">
        <v>379</v>
      </c>
      <c r="C43" s="76">
        <f>VLOOKUP(GroupVertices[[#This Row],[Vertex]],Vertices[],MATCH("ID",Vertices[[#Headers],[Vertex]:[Top Word Pairs in Tweet by Salience]],0),FALSE)</f>
        <v>129</v>
      </c>
    </row>
    <row r="44" spans="1:3" ht="15">
      <c r="A44" s="77" t="s">
        <v>3013</v>
      </c>
      <c r="B44" s="80" t="s">
        <v>378</v>
      </c>
      <c r="C44" s="76">
        <f>VLOOKUP(GroupVertices[[#This Row],[Vertex]],Vertices[],MATCH("ID",Vertices[[#Headers],[Vertex]:[Top Word Pairs in Tweet by Salience]],0),FALSE)</f>
        <v>128</v>
      </c>
    </row>
    <row r="45" spans="1:3" ht="15">
      <c r="A45" s="77" t="s">
        <v>3013</v>
      </c>
      <c r="B45" s="80" t="s">
        <v>377</v>
      </c>
      <c r="C45" s="76">
        <f>VLOOKUP(GroupVertices[[#This Row],[Vertex]],Vertices[],MATCH("ID",Vertices[[#Headers],[Vertex]:[Top Word Pairs in Tweet by Salience]],0),FALSE)</f>
        <v>127</v>
      </c>
    </row>
    <row r="46" spans="1:3" ht="15">
      <c r="A46" s="77" t="s">
        <v>3013</v>
      </c>
      <c r="B46" s="80" t="s">
        <v>230</v>
      </c>
      <c r="C46" s="76">
        <f>VLOOKUP(GroupVertices[[#This Row],[Vertex]],Vertices[],MATCH("ID",Vertices[[#Headers],[Vertex]:[Top Word Pairs in Tweet by Salience]],0),FALSE)</f>
        <v>118</v>
      </c>
    </row>
    <row r="47" spans="1:3" ht="15">
      <c r="A47" s="77" t="s">
        <v>3013</v>
      </c>
      <c r="B47" s="80" t="s">
        <v>375</v>
      </c>
      <c r="C47" s="76">
        <f>VLOOKUP(GroupVertices[[#This Row],[Vertex]],Vertices[],MATCH("ID",Vertices[[#Headers],[Vertex]:[Top Word Pairs in Tweet by Salience]],0),FALSE)</f>
        <v>125</v>
      </c>
    </row>
    <row r="48" spans="1:3" ht="15">
      <c r="A48" s="77" t="s">
        <v>3013</v>
      </c>
      <c r="B48" s="80" t="s">
        <v>374</v>
      </c>
      <c r="C48" s="76">
        <f>VLOOKUP(GroupVertices[[#This Row],[Vertex]],Vertices[],MATCH("ID",Vertices[[#Headers],[Vertex]:[Top Word Pairs in Tweet by Salience]],0),FALSE)</f>
        <v>124</v>
      </c>
    </row>
    <row r="49" spans="1:3" ht="15">
      <c r="A49" s="77" t="s">
        <v>3013</v>
      </c>
      <c r="B49" s="80" t="s">
        <v>373</v>
      </c>
      <c r="C49" s="76">
        <f>VLOOKUP(GroupVertices[[#This Row],[Vertex]],Vertices[],MATCH("ID",Vertices[[#Headers],[Vertex]:[Top Word Pairs in Tweet by Salience]],0),FALSE)</f>
        <v>123</v>
      </c>
    </row>
    <row r="50" spans="1:3" ht="15">
      <c r="A50" s="77" t="s">
        <v>3013</v>
      </c>
      <c r="B50" s="80" t="s">
        <v>372</v>
      </c>
      <c r="C50" s="76">
        <f>VLOOKUP(GroupVertices[[#This Row],[Vertex]],Vertices[],MATCH("ID",Vertices[[#Headers],[Vertex]:[Top Word Pairs in Tweet by Salience]],0),FALSE)</f>
        <v>122</v>
      </c>
    </row>
    <row r="51" spans="1:3" ht="15">
      <c r="A51" s="77" t="s">
        <v>3013</v>
      </c>
      <c r="B51" s="80" t="s">
        <v>371</v>
      </c>
      <c r="C51" s="76">
        <f>VLOOKUP(GroupVertices[[#This Row],[Vertex]],Vertices[],MATCH("ID",Vertices[[#Headers],[Vertex]:[Top Word Pairs in Tweet by Salience]],0),FALSE)</f>
        <v>121</v>
      </c>
    </row>
    <row r="52" spans="1:3" ht="15">
      <c r="A52" s="77" t="s">
        <v>3013</v>
      </c>
      <c r="B52" s="80" t="s">
        <v>370</v>
      </c>
      <c r="C52" s="76">
        <f>VLOOKUP(GroupVertices[[#This Row],[Vertex]],Vertices[],MATCH("ID",Vertices[[#Headers],[Vertex]:[Top Word Pairs in Tweet by Salience]],0),FALSE)</f>
        <v>120</v>
      </c>
    </row>
    <row r="53" spans="1:3" ht="15">
      <c r="A53" s="77" t="s">
        <v>3013</v>
      </c>
      <c r="B53" s="80" t="s">
        <v>369</v>
      </c>
      <c r="C53" s="76">
        <f>VLOOKUP(GroupVertices[[#This Row],[Vertex]],Vertices[],MATCH("ID",Vertices[[#Headers],[Vertex]:[Top Word Pairs in Tweet by Salience]],0),FALSE)</f>
        <v>119</v>
      </c>
    </row>
    <row r="54" spans="1:3" ht="15">
      <c r="A54" s="77" t="s">
        <v>3013</v>
      </c>
      <c r="B54" s="80" t="s">
        <v>368</v>
      </c>
      <c r="C54" s="76">
        <f>VLOOKUP(GroupVertices[[#This Row],[Vertex]],Vertices[],MATCH("ID",Vertices[[#Headers],[Vertex]:[Top Word Pairs in Tweet by Salience]],0),FALSE)</f>
        <v>117</v>
      </c>
    </row>
    <row r="55" spans="1:3" ht="15">
      <c r="A55" s="77" t="s">
        <v>3013</v>
      </c>
      <c r="B55" s="80" t="s">
        <v>367</v>
      </c>
      <c r="C55" s="76">
        <f>VLOOKUP(GroupVertices[[#This Row],[Vertex]],Vertices[],MATCH("ID",Vertices[[#Headers],[Vertex]:[Top Word Pairs in Tweet by Salience]],0),FALSE)</f>
        <v>116</v>
      </c>
    </row>
    <row r="56" spans="1:3" ht="15">
      <c r="A56" s="77" t="s">
        <v>3013</v>
      </c>
      <c r="B56" s="80" t="s">
        <v>366</v>
      </c>
      <c r="C56" s="76">
        <f>VLOOKUP(GroupVertices[[#This Row],[Vertex]],Vertices[],MATCH("ID",Vertices[[#Headers],[Vertex]:[Top Word Pairs in Tweet by Salience]],0),FALSE)</f>
        <v>115</v>
      </c>
    </row>
    <row r="57" spans="1:3" ht="15">
      <c r="A57" s="77" t="s">
        <v>3013</v>
      </c>
      <c r="B57" s="80" t="s">
        <v>365</v>
      </c>
      <c r="C57" s="76">
        <f>VLOOKUP(GroupVertices[[#This Row],[Vertex]],Vertices[],MATCH("ID",Vertices[[#Headers],[Vertex]:[Top Word Pairs in Tweet by Salience]],0),FALSE)</f>
        <v>114</v>
      </c>
    </row>
    <row r="58" spans="1:3" ht="15">
      <c r="A58" s="77" t="s">
        <v>3013</v>
      </c>
      <c r="B58" s="80" t="s">
        <v>364</v>
      </c>
      <c r="C58" s="76">
        <f>VLOOKUP(GroupVertices[[#This Row],[Vertex]],Vertices[],MATCH("ID",Vertices[[#Headers],[Vertex]:[Top Word Pairs in Tweet by Salience]],0),FALSE)</f>
        <v>113</v>
      </c>
    </row>
    <row r="59" spans="1:3" ht="15">
      <c r="A59" s="77" t="s">
        <v>3013</v>
      </c>
      <c r="B59" s="80" t="s">
        <v>363</v>
      </c>
      <c r="C59" s="76">
        <f>VLOOKUP(GroupVertices[[#This Row],[Vertex]],Vertices[],MATCH("ID",Vertices[[#Headers],[Vertex]:[Top Word Pairs in Tweet by Salience]],0),FALSE)</f>
        <v>112</v>
      </c>
    </row>
    <row r="60" spans="1:3" ht="15">
      <c r="A60" s="77" t="s">
        <v>3013</v>
      </c>
      <c r="B60" s="80" t="s">
        <v>362</v>
      </c>
      <c r="C60" s="76">
        <f>VLOOKUP(GroupVertices[[#This Row],[Vertex]],Vertices[],MATCH("ID",Vertices[[#Headers],[Vertex]:[Top Word Pairs in Tweet by Salience]],0),FALSE)</f>
        <v>111</v>
      </c>
    </row>
    <row r="61" spans="1:3" ht="15">
      <c r="A61" s="77" t="s">
        <v>3013</v>
      </c>
      <c r="B61" s="80" t="s">
        <v>361</v>
      </c>
      <c r="C61" s="76">
        <f>VLOOKUP(GroupVertices[[#This Row],[Vertex]],Vertices[],MATCH("ID",Vertices[[#Headers],[Vertex]:[Top Word Pairs in Tweet by Salience]],0),FALSE)</f>
        <v>110</v>
      </c>
    </row>
    <row r="62" spans="1:3" ht="15">
      <c r="A62" s="77" t="s">
        <v>3013</v>
      </c>
      <c r="B62" s="80" t="s">
        <v>360</v>
      </c>
      <c r="C62" s="76">
        <f>VLOOKUP(GroupVertices[[#This Row],[Vertex]],Vertices[],MATCH("ID",Vertices[[#Headers],[Vertex]:[Top Word Pairs in Tweet by Salience]],0),FALSE)</f>
        <v>109</v>
      </c>
    </row>
    <row r="63" spans="1:3" ht="15">
      <c r="A63" s="77" t="s">
        <v>3013</v>
      </c>
      <c r="B63" s="80" t="s">
        <v>359</v>
      </c>
      <c r="C63" s="76">
        <f>VLOOKUP(GroupVertices[[#This Row],[Vertex]],Vertices[],MATCH("ID",Vertices[[#Headers],[Vertex]:[Top Word Pairs in Tweet by Salience]],0),FALSE)</f>
        <v>108</v>
      </c>
    </row>
    <row r="64" spans="1:3" ht="15">
      <c r="A64" s="77" t="s">
        <v>3013</v>
      </c>
      <c r="B64" s="80" t="s">
        <v>358</v>
      </c>
      <c r="C64" s="76">
        <f>VLOOKUP(GroupVertices[[#This Row],[Vertex]],Vertices[],MATCH("ID",Vertices[[#Headers],[Vertex]:[Top Word Pairs in Tweet by Salience]],0),FALSE)</f>
        <v>107</v>
      </c>
    </row>
    <row r="65" spans="1:3" ht="15">
      <c r="A65" s="77" t="s">
        <v>3013</v>
      </c>
      <c r="B65" s="80" t="s">
        <v>357</v>
      </c>
      <c r="C65" s="76">
        <f>VLOOKUP(GroupVertices[[#This Row],[Vertex]],Vertices[],MATCH("ID",Vertices[[#Headers],[Vertex]:[Top Word Pairs in Tweet by Salience]],0),FALSE)</f>
        <v>106</v>
      </c>
    </row>
    <row r="66" spans="1:3" ht="15">
      <c r="A66" s="77" t="s">
        <v>3013</v>
      </c>
      <c r="B66" s="80" t="s">
        <v>356</v>
      </c>
      <c r="C66" s="76">
        <f>VLOOKUP(GroupVertices[[#This Row],[Vertex]],Vertices[],MATCH("ID",Vertices[[#Headers],[Vertex]:[Top Word Pairs in Tweet by Salience]],0),FALSE)</f>
        <v>105</v>
      </c>
    </row>
    <row r="67" spans="1:3" ht="15">
      <c r="A67" s="77" t="s">
        <v>3013</v>
      </c>
      <c r="B67" s="80" t="s">
        <v>355</v>
      </c>
      <c r="C67" s="76">
        <f>VLOOKUP(GroupVertices[[#This Row],[Vertex]],Vertices[],MATCH("ID",Vertices[[#Headers],[Vertex]:[Top Word Pairs in Tweet by Salience]],0),FALSE)</f>
        <v>104</v>
      </c>
    </row>
    <row r="68" spans="1:3" ht="15">
      <c r="A68" s="77" t="s">
        <v>3013</v>
      </c>
      <c r="B68" s="80" t="s">
        <v>354</v>
      </c>
      <c r="C68" s="76">
        <f>VLOOKUP(GroupVertices[[#This Row],[Vertex]],Vertices[],MATCH("ID",Vertices[[#Headers],[Vertex]:[Top Word Pairs in Tweet by Salience]],0),FALSE)</f>
        <v>103</v>
      </c>
    </row>
    <row r="69" spans="1:3" ht="15">
      <c r="A69" s="77" t="s">
        <v>3013</v>
      </c>
      <c r="B69" s="80" t="s">
        <v>353</v>
      </c>
      <c r="C69" s="76">
        <f>VLOOKUP(GroupVertices[[#This Row],[Vertex]],Vertices[],MATCH("ID",Vertices[[#Headers],[Vertex]:[Top Word Pairs in Tweet by Salience]],0),FALSE)</f>
        <v>102</v>
      </c>
    </row>
    <row r="70" spans="1:3" ht="15">
      <c r="A70" s="77" t="s">
        <v>3013</v>
      </c>
      <c r="B70" s="80" t="s">
        <v>352</v>
      </c>
      <c r="C70" s="76">
        <f>VLOOKUP(GroupVertices[[#This Row],[Vertex]],Vertices[],MATCH("ID",Vertices[[#Headers],[Vertex]:[Top Word Pairs in Tweet by Salience]],0),FALSE)</f>
        <v>101</v>
      </c>
    </row>
    <row r="71" spans="1:3" ht="15">
      <c r="A71" s="77" t="s">
        <v>3013</v>
      </c>
      <c r="B71" s="80" t="s">
        <v>351</v>
      </c>
      <c r="C71" s="76">
        <f>VLOOKUP(GroupVertices[[#This Row],[Vertex]],Vertices[],MATCH("ID",Vertices[[#Headers],[Vertex]:[Top Word Pairs in Tweet by Salience]],0),FALSE)</f>
        <v>100</v>
      </c>
    </row>
    <row r="72" spans="1:3" ht="15">
      <c r="A72" s="77" t="s">
        <v>3013</v>
      </c>
      <c r="B72" s="80" t="s">
        <v>350</v>
      </c>
      <c r="C72" s="76">
        <f>VLOOKUP(GroupVertices[[#This Row],[Vertex]],Vertices[],MATCH("ID",Vertices[[#Headers],[Vertex]:[Top Word Pairs in Tweet by Salience]],0),FALSE)</f>
        <v>99</v>
      </c>
    </row>
    <row r="73" spans="1:3" ht="15">
      <c r="A73" s="77" t="s">
        <v>3013</v>
      </c>
      <c r="B73" s="80" t="s">
        <v>349</v>
      </c>
      <c r="C73" s="76">
        <f>VLOOKUP(GroupVertices[[#This Row],[Vertex]],Vertices[],MATCH("ID",Vertices[[#Headers],[Vertex]:[Top Word Pairs in Tweet by Salience]],0),FALSE)</f>
        <v>98</v>
      </c>
    </row>
    <row r="74" spans="1:3" ht="15">
      <c r="A74" s="77" t="s">
        <v>3013</v>
      </c>
      <c r="B74" s="80" t="s">
        <v>348</v>
      </c>
      <c r="C74" s="76">
        <f>VLOOKUP(GroupVertices[[#This Row],[Vertex]],Vertices[],MATCH("ID",Vertices[[#Headers],[Vertex]:[Top Word Pairs in Tweet by Salience]],0),FALSE)</f>
        <v>97</v>
      </c>
    </row>
    <row r="75" spans="1:3" ht="15">
      <c r="A75" s="77" t="s">
        <v>3013</v>
      </c>
      <c r="B75" s="80" t="s">
        <v>347</v>
      </c>
      <c r="C75" s="76">
        <f>VLOOKUP(GroupVertices[[#This Row],[Vertex]],Vertices[],MATCH("ID",Vertices[[#Headers],[Vertex]:[Top Word Pairs in Tweet by Salience]],0),FALSE)</f>
        <v>96</v>
      </c>
    </row>
    <row r="76" spans="1:3" ht="15">
      <c r="A76" s="77" t="s">
        <v>3013</v>
      </c>
      <c r="B76" s="80" t="s">
        <v>346</v>
      </c>
      <c r="C76" s="76">
        <f>VLOOKUP(GroupVertices[[#This Row],[Vertex]],Vertices[],MATCH("ID",Vertices[[#Headers],[Vertex]:[Top Word Pairs in Tweet by Salience]],0),FALSE)</f>
        <v>95</v>
      </c>
    </row>
    <row r="77" spans="1:3" ht="15">
      <c r="A77" s="77" t="s">
        <v>3013</v>
      </c>
      <c r="B77" s="80" t="s">
        <v>345</v>
      </c>
      <c r="C77" s="76">
        <f>VLOOKUP(GroupVertices[[#This Row],[Vertex]],Vertices[],MATCH("ID",Vertices[[#Headers],[Vertex]:[Top Word Pairs in Tweet by Salience]],0),FALSE)</f>
        <v>94</v>
      </c>
    </row>
    <row r="78" spans="1:3" ht="15">
      <c r="A78" s="77" t="s">
        <v>3013</v>
      </c>
      <c r="B78" s="80" t="s">
        <v>344</v>
      </c>
      <c r="C78" s="76">
        <f>VLOOKUP(GroupVertices[[#This Row],[Vertex]],Vertices[],MATCH("ID",Vertices[[#Headers],[Vertex]:[Top Word Pairs in Tweet by Salience]],0),FALSE)</f>
        <v>93</v>
      </c>
    </row>
    <row r="79" spans="1:3" ht="15">
      <c r="A79" s="77" t="s">
        <v>3013</v>
      </c>
      <c r="B79" s="80" t="s">
        <v>343</v>
      </c>
      <c r="C79" s="76">
        <f>VLOOKUP(GroupVertices[[#This Row],[Vertex]],Vertices[],MATCH("ID",Vertices[[#Headers],[Vertex]:[Top Word Pairs in Tweet by Salience]],0),FALSE)</f>
        <v>92</v>
      </c>
    </row>
    <row r="80" spans="1:3" ht="15">
      <c r="A80" s="77" t="s">
        <v>3013</v>
      </c>
      <c r="B80" s="80" t="s">
        <v>342</v>
      </c>
      <c r="C80" s="76">
        <f>VLOOKUP(GroupVertices[[#This Row],[Vertex]],Vertices[],MATCH("ID",Vertices[[#Headers],[Vertex]:[Top Word Pairs in Tweet by Salience]],0),FALSE)</f>
        <v>91</v>
      </c>
    </row>
    <row r="81" spans="1:3" ht="15">
      <c r="A81" s="77" t="s">
        <v>3013</v>
      </c>
      <c r="B81" s="80" t="s">
        <v>341</v>
      </c>
      <c r="C81" s="76">
        <f>VLOOKUP(GroupVertices[[#This Row],[Vertex]],Vertices[],MATCH("ID",Vertices[[#Headers],[Vertex]:[Top Word Pairs in Tweet by Salience]],0),FALSE)</f>
        <v>90</v>
      </c>
    </row>
    <row r="82" spans="1:3" ht="15">
      <c r="A82" s="77" t="s">
        <v>3013</v>
      </c>
      <c r="B82" s="80" t="s">
        <v>340</v>
      </c>
      <c r="C82" s="76">
        <f>VLOOKUP(GroupVertices[[#This Row],[Vertex]],Vertices[],MATCH("ID",Vertices[[#Headers],[Vertex]:[Top Word Pairs in Tweet by Salience]],0),FALSE)</f>
        <v>89</v>
      </c>
    </row>
    <row r="83" spans="1:3" ht="15">
      <c r="A83" s="77" t="s">
        <v>3013</v>
      </c>
      <c r="B83" s="80" t="s">
        <v>339</v>
      </c>
      <c r="C83" s="76">
        <f>VLOOKUP(GroupVertices[[#This Row],[Vertex]],Vertices[],MATCH("ID",Vertices[[#Headers],[Vertex]:[Top Word Pairs in Tweet by Salience]],0),FALSE)</f>
        <v>88</v>
      </c>
    </row>
    <row r="84" spans="1:3" ht="15">
      <c r="A84" s="77" t="s">
        <v>3013</v>
      </c>
      <c r="B84" s="80" t="s">
        <v>338</v>
      </c>
      <c r="C84" s="76">
        <f>VLOOKUP(GroupVertices[[#This Row],[Vertex]],Vertices[],MATCH("ID",Vertices[[#Headers],[Vertex]:[Top Word Pairs in Tweet by Salience]],0),FALSE)</f>
        <v>87</v>
      </c>
    </row>
    <row r="85" spans="1:3" ht="15">
      <c r="A85" s="77" t="s">
        <v>3013</v>
      </c>
      <c r="B85" s="80" t="s">
        <v>337</v>
      </c>
      <c r="C85" s="76">
        <f>VLOOKUP(GroupVertices[[#This Row],[Vertex]],Vertices[],MATCH("ID",Vertices[[#Headers],[Vertex]:[Top Word Pairs in Tweet by Salience]],0),FALSE)</f>
        <v>86</v>
      </c>
    </row>
    <row r="86" spans="1:3" ht="15">
      <c r="A86" s="77" t="s">
        <v>3013</v>
      </c>
      <c r="B86" s="80" t="s">
        <v>336</v>
      </c>
      <c r="C86" s="76">
        <f>VLOOKUP(GroupVertices[[#This Row],[Vertex]],Vertices[],MATCH("ID",Vertices[[#Headers],[Vertex]:[Top Word Pairs in Tweet by Salience]],0),FALSE)</f>
        <v>85</v>
      </c>
    </row>
    <row r="87" spans="1:3" ht="15">
      <c r="A87" s="77" t="s">
        <v>3013</v>
      </c>
      <c r="B87" s="80" t="s">
        <v>335</v>
      </c>
      <c r="C87" s="76">
        <f>VLOOKUP(GroupVertices[[#This Row],[Vertex]],Vertices[],MATCH("ID",Vertices[[#Headers],[Vertex]:[Top Word Pairs in Tweet by Salience]],0),FALSE)</f>
        <v>84</v>
      </c>
    </row>
    <row r="88" spans="1:3" ht="15">
      <c r="A88" s="77" t="s">
        <v>3013</v>
      </c>
      <c r="B88" s="80" t="s">
        <v>334</v>
      </c>
      <c r="C88" s="76">
        <f>VLOOKUP(GroupVertices[[#This Row],[Vertex]],Vertices[],MATCH("ID",Vertices[[#Headers],[Vertex]:[Top Word Pairs in Tweet by Salience]],0),FALSE)</f>
        <v>83</v>
      </c>
    </row>
    <row r="89" spans="1:3" ht="15">
      <c r="A89" s="77" t="s">
        <v>3013</v>
      </c>
      <c r="B89" s="80" t="s">
        <v>333</v>
      </c>
      <c r="C89" s="76">
        <f>VLOOKUP(GroupVertices[[#This Row],[Vertex]],Vertices[],MATCH("ID",Vertices[[#Headers],[Vertex]:[Top Word Pairs in Tweet by Salience]],0),FALSE)</f>
        <v>82</v>
      </c>
    </row>
    <row r="90" spans="1:3" ht="15">
      <c r="A90" s="77" t="s">
        <v>3013</v>
      </c>
      <c r="B90" s="80" t="s">
        <v>332</v>
      </c>
      <c r="C90" s="76">
        <f>VLOOKUP(GroupVertices[[#This Row],[Vertex]],Vertices[],MATCH("ID",Vertices[[#Headers],[Vertex]:[Top Word Pairs in Tweet by Salience]],0),FALSE)</f>
        <v>81</v>
      </c>
    </row>
    <row r="91" spans="1:3" ht="15">
      <c r="A91" s="77" t="s">
        <v>3013</v>
      </c>
      <c r="B91" s="80" t="s">
        <v>331</v>
      </c>
      <c r="C91" s="76">
        <f>VLOOKUP(GroupVertices[[#This Row],[Vertex]],Vertices[],MATCH("ID",Vertices[[#Headers],[Vertex]:[Top Word Pairs in Tweet by Salience]],0),FALSE)</f>
        <v>80</v>
      </c>
    </row>
    <row r="92" spans="1:3" ht="15">
      <c r="A92" s="77" t="s">
        <v>3013</v>
      </c>
      <c r="B92" s="80" t="s">
        <v>330</v>
      </c>
      <c r="C92" s="76">
        <f>VLOOKUP(GroupVertices[[#This Row],[Vertex]],Vertices[],MATCH("ID",Vertices[[#Headers],[Vertex]:[Top Word Pairs in Tweet by Salience]],0),FALSE)</f>
        <v>79</v>
      </c>
    </row>
    <row r="93" spans="1:3" ht="15">
      <c r="A93" s="77" t="s">
        <v>3013</v>
      </c>
      <c r="B93" s="80" t="s">
        <v>329</v>
      </c>
      <c r="C93" s="76">
        <f>VLOOKUP(GroupVertices[[#This Row],[Vertex]],Vertices[],MATCH("ID",Vertices[[#Headers],[Vertex]:[Top Word Pairs in Tweet by Salience]],0),FALSE)</f>
        <v>78</v>
      </c>
    </row>
    <row r="94" spans="1:3" ht="15">
      <c r="A94" s="77" t="s">
        <v>3013</v>
      </c>
      <c r="B94" s="80" t="s">
        <v>328</v>
      </c>
      <c r="C94" s="76">
        <f>VLOOKUP(GroupVertices[[#This Row],[Vertex]],Vertices[],MATCH("ID",Vertices[[#Headers],[Vertex]:[Top Word Pairs in Tweet by Salience]],0),FALSE)</f>
        <v>77</v>
      </c>
    </row>
    <row r="95" spans="1:3" ht="15">
      <c r="A95" s="77" t="s">
        <v>3013</v>
      </c>
      <c r="B95" s="80" t="s">
        <v>327</v>
      </c>
      <c r="C95" s="76">
        <f>VLOOKUP(GroupVertices[[#This Row],[Vertex]],Vertices[],MATCH("ID",Vertices[[#Headers],[Vertex]:[Top Word Pairs in Tweet by Salience]],0),FALSE)</f>
        <v>76</v>
      </c>
    </row>
    <row r="96" spans="1:3" ht="15">
      <c r="A96" s="77" t="s">
        <v>3013</v>
      </c>
      <c r="B96" s="80" t="s">
        <v>326</v>
      </c>
      <c r="C96" s="76">
        <f>VLOOKUP(GroupVertices[[#This Row],[Vertex]],Vertices[],MATCH("ID",Vertices[[#Headers],[Vertex]:[Top Word Pairs in Tweet by Salience]],0),FALSE)</f>
        <v>75</v>
      </c>
    </row>
    <row r="97" spans="1:3" ht="15">
      <c r="A97" s="77" t="s">
        <v>3013</v>
      </c>
      <c r="B97" s="80" t="s">
        <v>325</v>
      </c>
      <c r="C97" s="76">
        <f>VLOOKUP(GroupVertices[[#This Row],[Vertex]],Vertices[],MATCH("ID",Vertices[[#Headers],[Vertex]:[Top Word Pairs in Tweet by Salience]],0),FALSE)</f>
        <v>74</v>
      </c>
    </row>
    <row r="98" spans="1:3" ht="15">
      <c r="A98" s="77" t="s">
        <v>3013</v>
      </c>
      <c r="B98" s="80" t="s">
        <v>225</v>
      </c>
      <c r="C98" s="76">
        <f>VLOOKUP(GroupVertices[[#This Row],[Vertex]],Vertices[],MATCH("ID",Vertices[[#Headers],[Vertex]:[Top Word Pairs in Tweet by Salience]],0),FALSE)</f>
        <v>7</v>
      </c>
    </row>
    <row r="99" spans="1:3" ht="15">
      <c r="A99" s="77" t="s">
        <v>1457</v>
      </c>
      <c r="B99" s="80" t="s">
        <v>228</v>
      </c>
      <c r="C99" s="76">
        <f>VLOOKUP(GroupVertices[[#This Row],[Vertex]],Vertices[],MATCH("ID",Vertices[[#Headers],[Vertex]:[Top Word Pairs in Tweet by Salience]],0),FALSE)</f>
        <v>20</v>
      </c>
    </row>
    <row r="100" spans="1:3" ht="15">
      <c r="A100" s="77" t="s">
        <v>1457</v>
      </c>
      <c r="B100" s="80" t="s">
        <v>253</v>
      </c>
      <c r="C100" s="76">
        <f>VLOOKUP(GroupVertices[[#This Row],[Vertex]],Vertices[],MATCH("ID",Vertices[[#Headers],[Vertex]:[Top Word Pairs in Tweet by Salience]],0),FALSE)</f>
        <v>301</v>
      </c>
    </row>
    <row r="101" spans="1:3" ht="15">
      <c r="A101" s="77" t="s">
        <v>1457</v>
      </c>
      <c r="B101" s="80" t="s">
        <v>252</v>
      </c>
      <c r="C101" s="76">
        <f>VLOOKUP(GroupVertices[[#This Row],[Vertex]],Vertices[],MATCH("ID",Vertices[[#Headers],[Vertex]:[Top Word Pairs in Tweet by Salience]],0),FALSE)</f>
        <v>300</v>
      </c>
    </row>
    <row r="102" spans="1:3" ht="15">
      <c r="A102" s="77" t="s">
        <v>1457</v>
      </c>
      <c r="B102" s="80" t="s">
        <v>235</v>
      </c>
      <c r="C102" s="76">
        <f>VLOOKUP(GroupVertices[[#This Row],[Vertex]],Vertices[],MATCH("ID",Vertices[[#Headers],[Vertex]:[Top Word Pairs in Tweet by Salience]],0),FALSE)</f>
        <v>174</v>
      </c>
    </row>
    <row r="103" spans="1:3" ht="15">
      <c r="A103" s="77" t="s">
        <v>1457</v>
      </c>
      <c r="B103" s="80" t="s">
        <v>422</v>
      </c>
      <c r="C103" s="76">
        <f>VLOOKUP(GroupVertices[[#This Row],[Vertex]],Vertices[],MATCH("ID",Vertices[[#Headers],[Vertex]:[Top Word Pairs in Tweet by Salience]],0),FALSE)</f>
        <v>176</v>
      </c>
    </row>
    <row r="104" spans="1:3" ht="15">
      <c r="A104" s="77" t="s">
        <v>1457</v>
      </c>
      <c r="B104" s="80" t="s">
        <v>234</v>
      </c>
      <c r="C104" s="76">
        <f>VLOOKUP(GroupVertices[[#This Row],[Vertex]],Vertices[],MATCH("ID",Vertices[[#Headers],[Vertex]:[Top Word Pairs in Tweet by Salience]],0),FALSE)</f>
        <v>19</v>
      </c>
    </row>
    <row r="105" spans="1:3" ht="15">
      <c r="A105" s="77" t="s">
        <v>1457</v>
      </c>
      <c r="B105" s="80" t="s">
        <v>421</v>
      </c>
      <c r="C105" s="76">
        <f>VLOOKUP(GroupVertices[[#This Row],[Vertex]],Vertices[],MATCH("ID",Vertices[[#Headers],[Vertex]:[Top Word Pairs in Tweet by Salience]],0),FALSE)</f>
        <v>175</v>
      </c>
    </row>
    <row r="106" spans="1:3" ht="15">
      <c r="A106" s="77" t="s">
        <v>1457</v>
      </c>
      <c r="B106" s="80" t="s">
        <v>420</v>
      </c>
      <c r="C106" s="76">
        <f>VLOOKUP(GroupVertices[[#This Row],[Vertex]],Vertices[],MATCH("ID",Vertices[[#Headers],[Vertex]:[Top Word Pairs in Tweet by Salience]],0),FALSE)</f>
        <v>173</v>
      </c>
    </row>
    <row r="107" spans="1:3" ht="15">
      <c r="A107" s="77" t="s">
        <v>1457</v>
      </c>
      <c r="B107" s="80" t="s">
        <v>324</v>
      </c>
      <c r="C107" s="76">
        <f>VLOOKUP(GroupVertices[[#This Row],[Vertex]],Vertices[],MATCH("ID",Vertices[[#Headers],[Vertex]:[Top Word Pairs in Tweet by Salience]],0),FALSE)</f>
        <v>73</v>
      </c>
    </row>
    <row r="108" spans="1:3" ht="15">
      <c r="A108" s="77" t="s">
        <v>1457</v>
      </c>
      <c r="B108" s="80" t="s">
        <v>323</v>
      </c>
      <c r="C108" s="76">
        <f>VLOOKUP(GroupVertices[[#This Row],[Vertex]],Vertices[],MATCH("ID",Vertices[[#Headers],[Vertex]:[Top Word Pairs in Tweet by Salience]],0),FALSE)</f>
        <v>72</v>
      </c>
    </row>
    <row r="109" spans="1:3" ht="15">
      <c r="A109" s="77" t="s">
        <v>1457</v>
      </c>
      <c r="B109" s="80" t="s">
        <v>322</v>
      </c>
      <c r="C109" s="76">
        <f>VLOOKUP(GroupVertices[[#This Row],[Vertex]],Vertices[],MATCH("ID",Vertices[[#Headers],[Vertex]:[Top Word Pairs in Tweet by Salience]],0),FALSE)</f>
        <v>71</v>
      </c>
    </row>
    <row r="110" spans="1:3" ht="15">
      <c r="A110" s="77" t="s">
        <v>1457</v>
      </c>
      <c r="B110" s="80" t="s">
        <v>321</v>
      </c>
      <c r="C110" s="76">
        <f>VLOOKUP(GroupVertices[[#This Row],[Vertex]],Vertices[],MATCH("ID",Vertices[[#Headers],[Vertex]:[Top Word Pairs in Tweet by Salience]],0),FALSE)</f>
        <v>70</v>
      </c>
    </row>
    <row r="111" spans="1:3" ht="15">
      <c r="A111" s="77" t="s">
        <v>1457</v>
      </c>
      <c r="B111" s="80" t="s">
        <v>320</v>
      </c>
      <c r="C111" s="76">
        <f>VLOOKUP(GroupVertices[[#This Row],[Vertex]],Vertices[],MATCH("ID",Vertices[[#Headers],[Vertex]:[Top Word Pairs in Tweet by Salience]],0),FALSE)</f>
        <v>69</v>
      </c>
    </row>
    <row r="112" spans="1:3" ht="15">
      <c r="A112" s="77" t="s">
        <v>1457</v>
      </c>
      <c r="B112" s="80" t="s">
        <v>319</v>
      </c>
      <c r="C112" s="76">
        <f>VLOOKUP(GroupVertices[[#This Row],[Vertex]],Vertices[],MATCH("ID",Vertices[[#Headers],[Vertex]:[Top Word Pairs in Tweet by Salience]],0),FALSE)</f>
        <v>68</v>
      </c>
    </row>
    <row r="113" spans="1:3" ht="15">
      <c r="A113" s="77" t="s">
        <v>1457</v>
      </c>
      <c r="B113" s="80" t="s">
        <v>318</v>
      </c>
      <c r="C113" s="76">
        <f>VLOOKUP(GroupVertices[[#This Row],[Vertex]],Vertices[],MATCH("ID",Vertices[[#Headers],[Vertex]:[Top Word Pairs in Tweet by Salience]],0),FALSE)</f>
        <v>67</v>
      </c>
    </row>
    <row r="114" spans="1:3" ht="15">
      <c r="A114" s="77" t="s">
        <v>1457</v>
      </c>
      <c r="B114" s="80" t="s">
        <v>317</v>
      </c>
      <c r="C114" s="76">
        <f>VLOOKUP(GroupVertices[[#This Row],[Vertex]],Vertices[],MATCH("ID",Vertices[[#Headers],[Vertex]:[Top Word Pairs in Tweet by Salience]],0),FALSE)</f>
        <v>66</v>
      </c>
    </row>
    <row r="115" spans="1:3" ht="15">
      <c r="A115" s="77" t="s">
        <v>1457</v>
      </c>
      <c r="B115" s="80" t="s">
        <v>316</v>
      </c>
      <c r="C115" s="76">
        <f>VLOOKUP(GroupVertices[[#This Row],[Vertex]],Vertices[],MATCH("ID",Vertices[[#Headers],[Vertex]:[Top Word Pairs in Tweet by Salience]],0),FALSE)</f>
        <v>65</v>
      </c>
    </row>
    <row r="116" spans="1:3" ht="15">
      <c r="A116" s="77" t="s">
        <v>1457</v>
      </c>
      <c r="B116" s="80" t="s">
        <v>315</v>
      </c>
      <c r="C116" s="76">
        <f>VLOOKUP(GroupVertices[[#This Row],[Vertex]],Vertices[],MATCH("ID",Vertices[[#Headers],[Vertex]:[Top Word Pairs in Tweet by Salience]],0),FALSE)</f>
        <v>64</v>
      </c>
    </row>
    <row r="117" spans="1:3" ht="15">
      <c r="A117" s="77" t="s">
        <v>1457</v>
      </c>
      <c r="B117" s="80" t="s">
        <v>314</v>
      </c>
      <c r="C117" s="76">
        <f>VLOOKUP(GroupVertices[[#This Row],[Vertex]],Vertices[],MATCH("ID",Vertices[[#Headers],[Vertex]:[Top Word Pairs in Tweet by Salience]],0),FALSE)</f>
        <v>63</v>
      </c>
    </row>
    <row r="118" spans="1:3" ht="15">
      <c r="A118" s="77" t="s">
        <v>1457</v>
      </c>
      <c r="B118" s="80" t="s">
        <v>313</v>
      </c>
      <c r="C118" s="76">
        <f>VLOOKUP(GroupVertices[[#This Row],[Vertex]],Vertices[],MATCH("ID",Vertices[[#Headers],[Vertex]:[Top Word Pairs in Tweet by Salience]],0),FALSE)</f>
        <v>62</v>
      </c>
    </row>
    <row r="119" spans="1:3" ht="15">
      <c r="A119" s="77" t="s">
        <v>1457</v>
      </c>
      <c r="B119" s="80" t="s">
        <v>312</v>
      </c>
      <c r="C119" s="76">
        <f>VLOOKUP(GroupVertices[[#This Row],[Vertex]],Vertices[],MATCH("ID",Vertices[[#Headers],[Vertex]:[Top Word Pairs in Tweet by Salience]],0),FALSE)</f>
        <v>61</v>
      </c>
    </row>
    <row r="120" spans="1:3" ht="15">
      <c r="A120" s="77" t="s">
        <v>1457</v>
      </c>
      <c r="B120" s="80" t="s">
        <v>311</v>
      </c>
      <c r="C120" s="76">
        <f>VLOOKUP(GroupVertices[[#This Row],[Vertex]],Vertices[],MATCH("ID",Vertices[[#Headers],[Vertex]:[Top Word Pairs in Tweet by Salience]],0),FALSE)</f>
        <v>60</v>
      </c>
    </row>
    <row r="121" spans="1:3" ht="15">
      <c r="A121" s="77" t="s">
        <v>1457</v>
      </c>
      <c r="B121" s="80" t="s">
        <v>310</v>
      </c>
      <c r="C121" s="76">
        <f>VLOOKUP(GroupVertices[[#This Row],[Vertex]],Vertices[],MATCH("ID",Vertices[[#Headers],[Vertex]:[Top Word Pairs in Tweet by Salience]],0),FALSE)</f>
        <v>59</v>
      </c>
    </row>
    <row r="122" spans="1:3" ht="15">
      <c r="A122" s="77" t="s">
        <v>1457</v>
      </c>
      <c r="B122" s="80" t="s">
        <v>309</v>
      </c>
      <c r="C122" s="76">
        <f>VLOOKUP(GroupVertices[[#This Row],[Vertex]],Vertices[],MATCH("ID",Vertices[[#Headers],[Vertex]:[Top Word Pairs in Tweet by Salience]],0),FALSE)</f>
        <v>58</v>
      </c>
    </row>
    <row r="123" spans="1:3" ht="15">
      <c r="A123" s="77" t="s">
        <v>1457</v>
      </c>
      <c r="B123" s="80" t="s">
        <v>308</v>
      </c>
      <c r="C123" s="76">
        <f>VLOOKUP(GroupVertices[[#This Row],[Vertex]],Vertices[],MATCH("ID",Vertices[[#Headers],[Vertex]:[Top Word Pairs in Tweet by Salience]],0),FALSE)</f>
        <v>57</v>
      </c>
    </row>
    <row r="124" spans="1:3" ht="15">
      <c r="A124" s="77" t="s">
        <v>1457</v>
      </c>
      <c r="B124" s="80" t="s">
        <v>307</v>
      </c>
      <c r="C124" s="76">
        <f>VLOOKUP(GroupVertices[[#This Row],[Vertex]],Vertices[],MATCH("ID",Vertices[[#Headers],[Vertex]:[Top Word Pairs in Tweet by Salience]],0),FALSE)</f>
        <v>56</v>
      </c>
    </row>
    <row r="125" spans="1:3" ht="15">
      <c r="A125" s="77" t="s">
        <v>1457</v>
      </c>
      <c r="B125" s="80" t="s">
        <v>306</v>
      </c>
      <c r="C125" s="76">
        <f>VLOOKUP(GroupVertices[[#This Row],[Vertex]],Vertices[],MATCH("ID",Vertices[[#Headers],[Vertex]:[Top Word Pairs in Tweet by Salience]],0),FALSE)</f>
        <v>55</v>
      </c>
    </row>
    <row r="126" spans="1:3" ht="15">
      <c r="A126" s="77" t="s">
        <v>1457</v>
      </c>
      <c r="B126" s="80" t="s">
        <v>305</v>
      </c>
      <c r="C126" s="76">
        <f>VLOOKUP(GroupVertices[[#This Row],[Vertex]],Vertices[],MATCH("ID",Vertices[[#Headers],[Vertex]:[Top Word Pairs in Tweet by Salience]],0),FALSE)</f>
        <v>54</v>
      </c>
    </row>
    <row r="127" spans="1:3" ht="15">
      <c r="A127" s="77" t="s">
        <v>1457</v>
      </c>
      <c r="B127" s="80" t="s">
        <v>304</v>
      </c>
      <c r="C127" s="76">
        <f>VLOOKUP(GroupVertices[[#This Row],[Vertex]],Vertices[],MATCH("ID",Vertices[[#Headers],[Vertex]:[Top Word Pairs in Tweet by Salience]],0),FALSE)</f>
        <v>53</v>
      </c>
    </row>
    <row r="128" spans="1:3" ht="15">
      <c r="A128" s="77" t="s">
        <v>1457</v>
      </c>
      <c r="B128" s="80" t="s">
        <v>273</v>
      </c>
      <c r="C128" s="76">
        <f>VLOOKUP(GroupVertices[[#This Row],[Vertex]],Vertices[],MATCH("ID",Vertices[[#Headers],[Vertex]:[Top Word Pairs in Tweet by Salience]],0),FALSE)</f>
        <v>18</v>
      </c>
    </row>
    <row r="129" spans="1:3" ht="15">
      <c r="A129" s="77" t="s">
        <v>1457</v>
      </c>
      <c r="B129" s="80" t="s">
        <v>272</v>
      </c>
      <c r="C129" s="76">
        <f>VLOOKUP(GroupVertices[[#This Row],[Vertex]],Vertices[],MATCH("ID",Vertices[[#Headers],[Vertex]:[Top Word Pairs in Tweet by Salience]],0),FALSE)</f>
        <v>17</v>
      </c>
    </row>
    <row r="130" spans="1:3" ht="15">
      <c r="A130" s="77" t="s">
        <v>1457</v>
      </c>
      <c r="B130" s="80" t="s">
        <v>271</v>
      </c>
      <c r="C130" s="76">
        <f>VLOOKUP(GroupVertices[[#This Row],[Vertex]],Vertices[],MATCH("ID",Vertices[[#Headers],[Vertex]:[Top Word Pairs in Tweet by Salience]],0),FALSE)</f>
        <v>16</v>
      </c>
    </row>
    <row r="131" spans="1:3" ht="15">
      <c r="A131" s="77" t="s">
        <v>1457</v>
      </c>
      <c r="B131" s="80" t="s">
        <v>270</v>
      </c>
      <c r="C131" s="76">
        <f>VLOOKUP(GroupVertices[[#This Row],[Vertex]],Vertices[],MATCH("ID",Vertices[[#Headers],[Vertex]:[Top Word Pairs in Tweet by Salience]],0),FALSE)</f>
        <v>15</v>
      </c>
    </row>
    <row r="132" spans="1:3" ht="15">
      <c r="A132" s="77" t="s">
        <v>1457</v>
      </c>
      <c r="B132" s="80" t="s">
        <v>269</v>
      </c>
      <c r="C132" s="76">
        <f>VLOOKUP(GroupVertices[[#This Row],[Vertex]],Vertices[],MATCH("ID",Vertices[[#Headers],[Vertex]:[Top Word Pairs in Tweet by Salience]],0),FALSE)</f>
        <v>14</v>
      </c>
    </row>
    <row r="133" spans="1:3" ht="15">
      <c r="A133" s="77" t="s">
        <v>1457</v>
      </c>
      <c r="B133" s="80" t="s">
        <v>268</v>
      </c>
      <c r="C133" s="76">
        <f>VLOOKUP(GroupVertices[[#This Row],[Vertex]],Vertices[],MATCH("ID",Vertices[[#Headers],[Vertex]:[Top Word Pairs in Tweet by Salience]],0),FALSE)</f>
        <v>13</v>
      </c>
    </row>
    <row r="134" spans="1:3" ht="15">
      <c r="A134" s="77" t="s">
        <v>1457</v>
      </c>
      <c r="B134" s="80" t="s">
        <v>267</v>
      </c>
      <c r="C134" s="76">
        <f>VLOOKUP(GroupVertices[[#This Row],[Vertex]],Vertices[],MATCH("ID",Vertices[[#Headers],[Vertex]:[Top Word Pairs in Tweet by Salience]],0),FALSE)</f>
        <v>12</v>
      </c>
    </row>
    <row r="135" spans="1:3" ht="15">
      <c r="A135" s="77" t="s">
        <v>1457</v>
      </c>
      <c r="B135" s="80" t="s">
        <v>266</v>
      </c>
      <c r="C135" s="76">
        <f>VLOOKUP(GroupVertices[[#This Row],[Vertex]],Vertices[],MATCH("ID",Vertices[[#Headers],[Vertex]:[Top Word Pairs in Tweet by Salience]],0),FALSE)</f>
        <v>11</v>
      </c>
    </row>
    <row r="136" spans="1:3" ht="15">
      <c r="A136" s="77" t="s">
        <v>1457</v>
      </c>
      <c r="B136" s="80" t="s">
        <v>265</v>
      </c>
      <c r="C136" s="76">
        <f>VLOOKUP(GroupVertices[[#This Row],[Vertex]],Vertices[],MATCH("ID",Vertices[[#Headers],[Vertex]:[Top Word Pairs in Tweet by Salience]],0),FALSE)</f>
        <v>10</v>
      </c>
    </row>
    <row r="137" spans="1:3" ht="15">
      <c r="A137" s="77" t="s">
        <v>1457</v>
      </c>
      <c r="B137" s="80" t="s">
        <v>226</v>
      </c>
      <c r="C137" s="76">
        <f>VLOOKUP(GroupVertices[[#This Row],[Vertex]],Vertices[],MATCH("ID",Vertices[[#Headers],[Vertex]:[Top Word Pairs in Tweet by Salience]],0),FALSE)</f>
        <v>9</v>
      </c>
    </row>
    <row r="138" spans="1:3" ht="15">
      <c r="A138" s="77" t="s">
        <v>3014</v>
      </c>
      <c r="B138" s="80" t="s">
        <v>238</v>
      </c>
      <c r="C138" s="76">
        <f>VLOOKUP(GroupVertices[[#This Row],[Vertex]],Vertices[],MATCH("ID",Vertices[[#Headers],[Vertex]:[Top Word Pairs in Tweet by Salience]],0),FALSE)</f>
        <v>189</v>
      </c>
    </row>
    <row r="139" spans="1:3" ht="15">
      <c r="A139" s="77" t="s">
        <v>3014</v>
      </c>
      <c r="B139" s="80" t="s">
        <v>470</v>
      </c>
      <c r="C139" s="76">
        <f>VLOOKUP(GroupVertices[[#This Row],[Vertex]],Vertices[],MATCH("ID",Vertices[[#Headers],[Vertex]:[Top Word Pairs in Tweet by Salience]],0),FALSE)</f>
        <v>227</v>
      </c>
    </row>
    <row r="140" spans="1:3" ht="15">
      <c r="A140" s="77" t="s">
        <v>3014</v>
      </c>
      <c r="B140" s="80" t="s">
        <v>469</v>
      </c>
      <c r="C140" s="76">
        <f>VLOOKUP(GroupVertices[[#This Row],[Vertex]],Vertices[],MATCH("ID",Vertices[[#Headers],[Vertex]:[Top Word Pairs in Tweet by Salience]],0),FALSE)</f>
        <v>226</v>
      </c>
    </row>
    <row r="141" spans="1:3" ht="15">
      <c r="A141" s="77" t="s">
        <v>3014</v>
      </c>
      <c r="B141" s="80" t="s">
        <v>468</v>
      </c>
      <c r="C141" s="76">
        <f>VLOOKUP(GroupVertices[[#This Row],[Vertex]],Vertices[],MATCH("ID",Vertices[[#Headers],[Vertex]:[Top Word Pairs in Tweet by Salience]],0),FALSE)</f>
        <v>225</v>
      </c>
    </row>
    <row r="142" spans="1:3" ht="15">
      <c r="A142" s="77" t="s">
        <v>3014</v>
      </c>
      <c r="B142" s="80" t="s">
        <v>467</v>
      </c>
      <c r="C142" s="76">
        <f>VLOOKUP(GroupVertices[[#This Row],[Vertex]],Vertices[],MATCH("ID",Vertices[[#Headers],[Vertex]:[Top Word Pairs in Tweet by Salience]],0),FALSE)</f>
        <v>224</v>
      </c>
    </row>
    <row r="143" spans="1:3" ht="15">
      <c r="A143" s="77" t="s">
        <v>3014</v>
      </c>
      <c r="B143" s="80" t="s">
        <v>466</v>
      </c>
      <c r="C143" s="76">
        <f>VLOOKUP(GroupVertices[[#This Row],[Vertex]],Vertices[],MATCH("ID",Vertices[[#Headers],[Vertex]:[Top Word Pairs in Tweet by Salience]],0),FALSE)</f>
        <v>223</v>
      </c>
    </row>
    <row r="144" spans="1:3" ht="15">
      <c r="A144" s="77" t="s">
        <v>3014</v>
      </c>
      <c r="B144" s="80" t="s">
        <v>465</v>
      </c>
      <c r="C144" s="76">
        <f>VLOOKUP(GroupVertices[[#This Row],[Vertex]],Vertices[],MATCH("ID",Vertices[[#Headers],[Vertex]:[Top Word Pairs in Tweet by Salience]],0),FALSE)</f>
        <v>222</v>
      </c>
    </row>
    <row r="145" spans="1:3" ht="15">
      <c r="A145" s="77" t="s">
        <v>3014</v>
      </c>
      <c r="B145" s="80" t="s">
        <v>464</v>
      </c>
      <c r="C145" s="76">
        <f>VLOOKUP(GroupVertices[[#This Row],[Vertex]],Vertices[],MATCH("ID",Vertices[[#Headers],[Vertex]:[Top Word Pairs in Tweet by Salience]],0),FALSE)</f>
        <v>221</v>
      </c>
    </row>
    <row r="146" spans="1:3" ht="15">
      <c r="A146" s="77" t="s">
        <v>3014</v>
      </c>
      <c r="B146" s="80" t="s">
        <v>463</v>
      </c>
      <c r="C146" s="76">
        <f>VLOOKUP(GroupVertices[[#This Row],[Vertex]],Vertices[],MATCH("ID",Vertices[[#Headers],[Vertex]:[Top Word Pairs in Tweet by Salience]],0),FALSE)</f>
        <v>220</v>
      </c>
    </row>
    <row r="147" spans="1:3" ht="15">
      <c r="A147" s="77" t="s">
        <v>3014</v>
      </c>
      <c r="B147" s="80" t="s">
        <v>462</v>
      </c>
      <c r="C147" s="76">
        <f>VLOOKUP(GroupVertices[[#This Row],[Vertex]],Vertices[],MATCH("ID",Vertices[[#Headers],[Vertex]:[Top Word Pairs in Tweet by Salience]],0),FALSE)</f>
        <v>219</v>
      </c>
    </row>
    <row r="148" spans="1:3" ht="15">
      <c r="A148" s="77" t="s">
        <v>3014</v>
      </c>
      <c r="B148" s="80" t="s">
        <v>461</v>
      </c>
      <c r="C148" s="76">
        <f>VLOOKUP(GroupVertices[[#This Row],[Vertex]],Vertices[],MATCH("ID",Vertices[[#Headers],[Vertex]:[Top Word Pairs in Tweet by Salience]],0),FALSE)</f>
        <v>218</v>
      </c>
    </row>
    <row r="149" spans="1:3" ht="15">
      <c r="A149" s="77" t="s">
        <v>3014</v>
      </c>
      <c r="B149" s="80" t="s">
        <v>460</v>
      </c>
      <c r="C149" s="76">
        <f>VLOOKUP(GroupVertices[[#This Row],[Vertex]],Vertices[],MATCH("ID",Vertices[[#Headers],[Vertex]:[Top Word Pairs in Tweet by Salience]],0),FALSE)</f>
        <v>217</v>
      </c>
    </row>
    <row r="150" spans="1:3" ht="15">
      <c r="A150" s="77" t="s">
        <v>3014</v>
      </c>
      <c r="B150" s="80" t="s">
        <v>459</v>
      </c>
      <c r="C150" s="76">
        <f>VLOOKUP(GroupVertices[[#This Row],[Vertex]],Vertices[],MATCH("ID",Vertices[[#Headers],[Vertex]:[Top Word Pairs in Tweet by Salience]],0),FALSE)</f>
        <v>216</v>
      </c>
    </row>
    <row r="151" spans="1:3" ht="15">
      <c r="A151" s="77" t="s">
        <v>3014</v>
      </c>
      <c r="B151" s="80" t="s">
        <v>458</v>
      </c>
      <c r="C151" s="76">
        <f>VLOOKUP(GroupVertices[[#This Row],[Vertex]],Vertices[],MATCH("ID",Vertices[[#Headers],[Vertex]:[Top Word Pairs in Tweet by Salience]],0),FALSE)</f>
        <v>215</v>
      </c>
    </row>
    <row r="152" spans="1:3" ht="15">
      <c r="A152" s="77" t="s">
        <v>3014</v>
      </c>
      <c r="B152" s="80" t="s">
        <v>457</v>
      </c>
      <c r="C152" s="76">
        <f>VLOOKUP(GroupVertices[[#This Row],[Vertex]],Vertices[],MATCH("ID",Vertices[[#Headers],[Vertex]:[Top Word Pairs in Tweet by Salience]],0),FALSE)</f>
        <v>214</v>
      </c>
    </row>
    <row r="153" spans="1:3" ht="15">
      <c r="A153" s="77" t="s">
        <v>3014</v>
      </c>
      <c r="B153" s="80" t="s">
        <v>456</v>
      </c>
      <c r="C153" s="76">
        <f>VLOOKUP(GroupVertices[[#This Row],[Vertex]],Vertices[],MATCH("ID",Vertices[[#Headers],[Vertex]:[Top Word Pairs in Tweet by Salience]],0),FALSE)</f>
        <v>213</v>
      </c>
    </row>
    <row r="154" spans="1:3" ht="15">
      <c r="A154" s="77" t="s">
        <v>3014</v>
      </c>
      <c r="B154" s="80" t="s">
        <v>455</v>
      </c>
      <c r="C154" s="76">
        <f>VLOOKUP(GroupVertices[[#This Row],[Vertex]],Vertices[],MATCH("ID",Vertices[[#Headers],[Vertex]:[Top Word Pairs in Tweet by Salience]],0),FALSE)</f>
        <v>212</v>
      </c>
    </row>
    <row r="155" spans="1:3" ht="15">
      <c r="A155" s="77" t="s">
        <v>3014</v>
      </c>
      <c r="B155" s="80" t="s">
        <v>454</v>
      </c>
      <c r="C155" s="76">
        <f>VLOOKUP(GroupVertices[[#This Row],[Vertex]],Vertices[],MATCH("ID",Vertices[[#Headers],[Vertex]:[Top Word Pairs in Tweet by Salience]],0),FALSE)</f>
        <v>211</v>
      </c>
    </row>
    <row r="156" spans="1:3" ht="15">
      <c r="A156" s="77" t="s">
        <v>3014</v>
      </c>
      <c r="B156" s="80" t="s">
        <v>453</v>
      </c>
      <c r="C156" s="76">
        <f>VLOOKUP(GroupVertices[[#This Row],[Vertex]],Vertices[],MATCH("ID",Vertices[[#Headers],[Vertex]:[Top Word Pairs in Tweet by Salience]],0),FALSE)</f>
        <v>210</v>
      </c>
    </row>
    <row r="157" spans="1:3" ht="15">
      <c r="A157" s="77" t="s">
        <v>3014</v>
      </c>
      <c r="B157" s="80" t="s">
        <v>452</v>
      </c>
      <c r="C157" s="76">
        <f>VLOOKUP(GroupVertices[[#This Row],[Vertex]],Vertices[],MATCH("ID",Vertices[[#Headers],[Vertex]:[Top Word Pairs in Tweet by Salience]],0),FALSE)</f>
        <v>209</v>
      </c>
    </row>
    <row r="158" spans="1:3" ht="15">
      <c r="A158" s="77" t="s">
        <v>3014</v>
      </c>
      <c r="B158" s="80" t="s">
        <v>451</v>
      </c>
      <c r="C158" s="76">
        <f>VLOOKUP(GroupVertices[[#This Row],[Vertex]],Vertices[],MATCH("ID",Vertices[[#Headers],[Vertex]:[Top Word Pairs in Tweet by Salience]],0),FALSE)</f>
        <v>208</v>
      </c>
    </row>
    <row r="159" spans="1:3" ht="15">
      <c r="A159" s="77" t="s">
        <v>3014</v>
      </c>
      <c r="B159" s="80" t="s">
        <v>450</v>
      </c>
      <c r="C159" s="76">
        <f>VLOOKUP(GroupVertices[[#This Row],[Vertex]],Vertices[],MATCH("ID",Vertices[[#Headers],[Vertex]:[Top Word Pairs in Tweet by Salience]],0),FALSE)</f>
        <v>207</v>
      </c>
    </row>
    <row r="160" spans="1:3" ht="15">
      <c r="A160" s="77" t="s">
        <v>3014</v>
      </c>
      <c r="B160" s="80" t="s">
        <v>449</v>
      </c>
      <c r="C160" s="76">
        <f>VLOOKUP(GroupVertices[[#This Row],[Vertex]],Vertices[],MATCH("ID",Vertices[[#Headers],[Vertex]:[Top Word Pairs in Tweet by Salience]],0),FALSE)</f>
        <v>206</v>
      </c>
    </row>
    <row r="161" spans="1:3" ht="15">
      <c r="A161" s="77" t="s">
        <v>3014</v>
      </c>
      <c r="B161" s="80" t="s">
        <v>448</v>
      </c>
      <c r="C161" s="76">
        <f>VLOOKUP(GroupVertices[[#This Row],[Vertex]],Vertices[],MATCH("ID",Vertices[[#Headers],[Vertex]:[Top Word Pairs in Tweet by Salience]],0),FALSE)</f>
        <v>205</v>
      </c>
    </row>
    <row r="162" spans="1:3" ht="15">
      <c r="A162" s="77" t="s">
        <v>3014</v>
      </c>
      <c r="B162" s="80" t="s">
        <v>447</v>
      </c>
      <c r="C162" s="76">
        <f>VLOOKUP(GroupVertices[[#This Row],[Vertex]],Vertices[],MATCH("ID",Vertices[[#Headers],[Vertex]:[Top Word Pairs in Tweet by Salience]],0),FALSE)</f>
        <v>204</v>
      </c>
    </row>
    <row r="163" spans="1:3" ht="15">
      <c r="A163" s="77" t="s">
        <v>3014</v>
      </c>
      <c r="B163" s="80" t="s">
        <v>446</v>
      </c>
      <c r="C163" s="76">
        <f>VLOOKUP(GroupVertices[[#This Row],[Vertex]],Vertices[],MATCH("ID",Vertices[[#Headers],[Vertex]:[Top Word Pairs in Tweet by Salience]],0),FALSE)</f>
        <v>203</v>
      </c>
    </row>
    <row r="164" spans="1:3" ht="15">
      <c r="A164" s="77" t="s">
        <v>3014</v>
      </c>
      <c r="B164" s="80" t="s">
        <v>445</v>
      </c>
      <c r="C164" s="76">
        <f>VLOOKUP(GroupVertices[[#This Row],[Vertex]],Vertices[],MATCH("ID",Vertices[[#Headers],[Vertex]:[Top Word Pairs in Tweet by Salience]],0),FALSE)</f>
        <v>202</v>
      </c>
    </row>
    <row r="165" spans="1:3" ht="15">
      <c r="A165" s="77" t="s">
        <v>3014</v>
      </c>
      <c r="B165" s="80" t="s">
        <v>444</v>
      </c>
      <c r="C165" s="76">
        <f>VLOOKUP(GroupVertices[[#This Row],[Vertex]],Vertices[],MATCH("ID",Vertices[[#Headers],[Vertex]:[Top Word Pairs in Tweet by Salience]],0),FALSE)</f>
        <v>201</v>
      </c>
    </row>
    <row r="166" spans="1:3" ht="15">
      <c r="A166" s="77" t="s">
        <v>3014</v>
      </c>
      <c r="B166" s="80" t="s">
        <v>443</v>
      </c>
      <c r="C166" s="76">
        <f>VLOOKUP(GroupVertices[[#This Row],[Vertex]],Vertices[],MATCH("ID",Vertices[[#Headers],[Vertex]:[Top Word Pairs in Tweet by Salience]],0),FALSE)</f>
        <v>200</v>
      </c>
    </row>
    <row r="167" spans="1:3" ht="15">
      <c r="A167" s="77" t="s">
        <v>3014</v>
      </c>
      <c r="B167" s="80" t="s">
        <v>442</v>
      </c>
      <c r="C167" s="76">
        <f>VLOOKUP(GroupVertices[[#This Row],[Vertex]],Vertices[],MATCH("ID",Vertices[[#Headers],[Vertex]:[Top Word Pairs in Tweet by Salience]],0),FALSE)</f>
        <v>199</v>
      </c>
    </row>
    <row r="168" spans="1:3" ht="15">
      <c r="A168" s="77" t="s">
        <v>3014</v>
      </c>
      <c r="B168" s="80" t="s">
        <v>441</v>
      </c>
      <c r="C168" s="76">
        <f>VLOOKUP(GroupVertices[[#This Row],[Vertex]],Vertices[],MATCH("ID",Vertices[[#Headers],[Vertex]:[Top Word Pairs in Tweet by Salience]],0),FALSE)</f>
        <v>198</v>
      </c>
    </row>
    <row r="169" spans="1:3" ht="15">
      <c r="A169" s="77" t="s">
        <v>3014</v>
      </c>
      <c r="B169" s="80" t="s">
        <v>440</v>
      </c>
      <c r="C169" s="76">
        <f>VLOOKUP(GroupVertices[[#This Row],[Vertex]],Vertices[],MATCH("ID",Vertices[[#Headers],[Vertex]:[Top Word Pairs in Tweet by Salience]],0),FALSE)</f>
        <v>197</v>
      </c>
    </row>
    <row r="170" spans="1:3" ht="15">
      <c r="A170" s="77" t="s">
        <v>3014</v>
      </c>
      <c r="B170" s="80" t="s">
        <v>439</v>
      </c>
      <c r="C170" s="76">
        <f>VLOOKUP(GroupVertices[[#This Row],[Vertex]],Vertices[],MATCH("ID",Vertices[[#Headers],[Vertex]:[Top Word Pairs in Tweet by Salience]],0),FALSE)</f>
        <v>196</v>
      </c>
    </row>
    <row r="171" spans="1:3" ht="15">
      <c r="A171" s="77" t="s">
        <v>3014</v>
      </c>
      <c r="B171" s="80" t="s">
        <v>438</v>
      </c>
      <c r="C171" s="76">
        <f>VLOOKUP(GroupVertices[[#This Row],[Vertex]],Vertices[],MATCH("ID",Vertices[[#Headers],[Vertex]:[Top Word Pairs in Tweet by Salience]],0),FALSE)</f>
        <v>195</v>
      </c>
    </row>
    <row r="172" spans="1:3" ht="15">
      <c r="A172" s="77" t="s">
        <v>3014</v>
      </c>
      <c r="B172" s="80" t="s">
        <v>437</v>
      </c>
      <c r="C172" s="76">
        <f>VLOOKUP(GroupVertices[[#This Row],[Vertex]],Vertices[],MATCH("ID",Vertices[[#Headers],[Vertex]:[Top Word Pairs in Tweet by Salience]],0),FALSE)</f>
        <v>194</v>
      </c>
    </row>
    <row r="173" spans="1:3" ht="15">
      <c r="A173" s="77" t="s">
        <v>3014</v>
      </c>
      <c r="B173" s="80" t="s">
        <v>436</v>
      </c>
      <c r="C173" s="76">
        <f>VLOOKUP(GroupVertices[[#This Row],[Vertex]],Vertices[],MATCH("ID",Vertices[[#Headers],[Vertex]:[Top Word Pairs in Tweet by Salience]],0),FALSE)</f>
        <v>193</v>
      </c>
    </row>
    <row r="174" spans="1:3" ht="15">
      <c r="A174" s="77" t="s">
        <v>3014</v>
      </c>
      <c r="B174" s="80" t="s">
        <v>435</v>
      </c>
      <c r="C174" s="76">
        <f>VLOOKUP(GroupVertices[[#This Row],[Vertex]],Vertices[],MATCH("ID",Vertices[[#Headers],[Vertex]:[Top Word Pairs in Tweet by Salience]],0),FALSE)</f>
        <v>192</v>
      </c>
    </row>
    <row r="175" spans="1:3" ht="15">
      <c r="A175" s="77" t="s">
        <v>3014</v>
      </c>
      <c r="B175" s="80" t="s">
        <v>434</v>
      </c>
      <c r="C175" s="76">
        <f>VLOOKUP(GroupVertices[[#This Row],[Vertex]],Vertices[],MATCH("ID",Vertices[[#Headers],[Vertex]:[Top Word Pairs in Tweet by Salience]],0),FALSE)</f>
        <v>191</v>
      </c>
    </row>
    <row r="176" spans="1:3" ht="15">
      <c r="A176" s="77" t="s">
        <v>3014</v>
      </c>
      <c r="B176" s="80" t="s">
        <v>433</v>
      </c>
      <c r="C176" s="76">
        <f>VLOOKUP(GroupVertices[[#This Row],[Vertex]],Vertices[],MATCH("ID",Vertices[[#Headers],[Vertex]:[Top Word Pairs in Tweet by Salience]],0),FALSE)</f>
        <v>190</v>
      </c>
    </row>
    <row r="177" spans="1:3" ht="15">
      <c r="A177" s="77" t="s">
        <v>3015</v>
      </c>
      <c r="B177" s="80" t="s">
        <v>303</v>
      </c>
      <c r="C177" s="76">
        <f>VLOOKUP(GroupVertices[[#This Row],[Vertex]],Vertices[],MATCH("ID",Vertices[[#Headers],[Vertex]:[Top Word Pairs in Tweet by Salience]],0),FALSE)</f>
        <v>52</v>
      </c>
    </row>
    <row r="178" spans="1:3" ht="15">
      <c r="A178" s="77" t="s">
        <v>3015</v>
      </c>
      <c r="B178" s="80" t="s">
        <v>227</v>
      </c>
      <c r="C178" s="76">
        <f>VLOOKUP(GroupVertices[[#This Row],[Vertex]],Vertices[],MATCH("ID",Vertices[[#Headers],[Vertex]:[Top Word Pairs in Tweet by Salience]],0),FALSE)</f>
        <v>21</v>
      </c>
    </row>
    <row r="179" spans="1:3" ht="15">
      <c r="A179" s="77" t="s">
        <v>3015</v>
      </c>
      <c r="B179" s="80" t="s">
        <v>302</v>
      </c>
      <c r="C179" s="76">
        <f>VLOOKUP(GroupVertices[[#This Row],[Vertex]],Vertices[],MATCH("ID",Vertices[[#Headers],[Vertex]:[Top Word Pairs in Tweet by Salience]],0),FALSE)</f>
        <v>50</v>
      </c>
    </row>
    <row r="180" spans="1:3" ht="15">
      <c r="A180" s="77" t="s">
        <v>3015</v>
      </c>
      <c r="B180" s="80" t="s">
        <v>301</v>
      </c>
      <c r="C180" s="76">
        <f>VLOOKUP(GroupVertices[[#This Row],[Vertex]],Vertices[],MATCH("ID",Vertices[[#Headers],[Vertex]:[Top Word Pairs in Tweet by Salience]],0),FALSE)</f>
        <v>49</v>
      </c>
    </row>
    <row r="181" spans="1:3" ht="15">
      <c r="A181" s="77" t="s">
        <v>3015</v>
      </c>
      <c r="B181" s="80" t="s">
        <v>300</v>
      </c>
      <c r="C181" s="76">
        <f>VLOOKUP(GroupVertices[[#This Row],[Vertex]],Vertices[],MATCH("ID",Vertices[[#Headers],[Vertex]:[Top Word Pairs in Tweet by Salience]],0),FALSE)</f>
        <v>48</v>
      </c>
    </row>
    <row r="182" spans="1:3" ht="15">
      <c r="A182" s="77" t="s">
        <v>3015</v>
      </c>
      <c r="B182" s="80" t="s">
        <v>299</v>
      </c>
      <c r="C182" s="76">
        <f>VLOOKUP(GroupVertices[[#This Row],[Vertex]],Vertices[],MATCH("ID",Vertices[[#Headers],[Vertex]:[Top Word Pairs in Tweet by Salience]],0),FALSE)</f>
        <v>47</v>
      </c>
    </row>
    <row r="183" spans="1:3" ht="15">
      <c r="A183" s="77" t="s">
        <v>3015</v>
      </c>
      <c r="B183" s="80" t="s">
        <v>298</v>
      </c>
      <c r="C183" s="76">
        <f>VLOOKUP(GroupVertices[[#This Row],[Vertex]],Vertices[],MATCH("ID",Vertices[[#Headers],[Vertex]:[Top Word Pairs in Tweet by Salience]],0),FALSE)</f>
        <v>46</v>
      </c>
    </row>
    <row r="184" spans="1:3" ht="15">
      <c r="A184" s="77" t="s">
        <v>3015</v>
      </c>
      <c r="B184" s="80" t="s">
        <v>297</v>
      </c>
      <c r="C184" s="76">
        <f>VLOOKUP(GroupVertices[[#This Row],[Vertex]],Vertices[],MATCH("ID",Vertices[[#Headers],[Vertex]:[Top Word Pairs in Tweet by Salience]],0),FALSE)</f>
        <v>45</v>
      </c>
    </row>
    <row r="185" spans="1:3" ht="15">
      <c r="A185" s="77" t="s">
        <v>3015</v>
      </c>
      <c r="B185" s="80" t="s">
        <v>296</v>
      </c>
      <c r="C185" s="76">
        <f>VLOOKUP(GroupVertices[[#This Row],[Vertex]],Vertices[],MATCH("ID",Vertices[[#Headers],[Vertex]:[Top Word Pairs in Tweet by Salience]],0),FALSE)</f>
        <v>44</v>
      </c>
    </row>
    <row r="186" spans="1:3" ht="15">
      <c r="A186" s="77" t="s">
        <v>3015</v>
      </c>
      <c r="B186" s="80" t="s">
        <v>295</v>
      </c>
      <c r="C186" s="76">
        <f>VLOOKUP(GroupVertices[[#This Row],[Vertex]],Vertices[],MATCH("ID",Vertices[[#Headers],[Vertex]:[Top Word Pairs in Tweet by Salience]],0),FALSE)</f>
        <v>43</v>
      </c>
    </row>
    <row r="187" spans="1:3" ht="15">
      <c r="A187" s="77" t="s">
        <v>3015</v>
      </c>
      <c r="B187" s="80" t="s">
        <v>294</v>
      </c>
      <c r="C187" s="76">
        <f>VLOOKUP(GroupVertices[[#This Row],[Vertex]],Vertices[],MATCH("ID",Vertices[[#Headers],[Vertex]:[Top Word Pairs in Tweet by Salience]],0),FALSE)</f>
        <v>42</v>
      </c>
    </row>
    <row r="188" spans="1:3" ht="15">
      <c r="A188" s="77" t="s">
        <v>3015</v>
      </c>
      <c r="B188" s="80" t="s">
        <v>293</v>
      </c>
      <c r="C188" s="76">
        <f>VLOOKUP(GroupVertices[[#This Row],[Vertex]],Vertices[],MATCH("ID",Vertices[[#Headers],[Vertex]:[Top Word Pairs in Tweet by Salience]],0),FALSE)</f>
        <v>41</v>
      </c>
    </row>
    <row r="189" spans="1:3" ht="15">
      <c r="A189" s="77" t="s">
        <v>3015</v>
      </c>
      <c r="B189" s="80" t="s">
        <v>292</v>
      </c>
      <c r="C189" s="76">
        <f>VLOOKUP(GroupVertices[[#This Row],[Vertex]],Vertices[],MATCH("ID",Vertices[[#Headers],[Vertex]:[Top Word Pairs in Tweet by Salience]],0),FALSE)</f>
        <v>40</v>
      </c>
    </row>
    <row r="190" spans="1:3" ht="15">
      <c r="A190" s="77" t="s">
        <v>3015</v>
      </c>
      <c r="B190" s="80" t="s">
        <v>291</v>
      </c>
      <c r="C190" s="76">
        <f>VLOOKUP(GroupVertices[[#This Row],[Vertex]],Vertices[],MATCH("ID",Vertices[[#Headers],[Vertex]:[Top Word Pairs in Tweet by Salience]],0),FALSE)</f>
        <v>39</v>
      </c>
    </row>
    <row r="191" spans="1:3" ht="15">
      <c r="A191" s="77" t="s">
        <v>3015</v>
      </c>
      <c r="B191" s="80" t="s">
        <v>290</v>
      </c>
      <c r="C191" s="76">
        <f>VLOOKUP(GroupVertices[[#This Row],[Vertex]],Vertices[],MATCH("ID",Vertices[[#Headers],[Vertex]:[Top Word Pairs in Tweet by Salience]],0),FALSE)</f>
        <v>38</v>
      </c>
    </row>
    <row r="192" spans="1:3" ht="15">
      <c r="A192" s="77" t="s">
        <v>3015</v>
      </c>
      <c r="B192" s="80" t="s">
        <v>289</v>
      </c>
      <c r="C192" s="76">
        <f>VLOOKUP(GroupVertices[[#This Row],[Vertex]],Vertices[],MATCH("ID",Vertices[[#Headers],[Vertex]:[Top Word Pairs in Tweet by Salience]],0),FALSE)</f>
        <v>37</v>
      </c>
    </row>
    <row r="193" spans="1:3" ht="15">
      <c r="A193" s="77" t="s">
        <v>3015</v>
      </c>
      <c r="B193" s="80" t="s">
        <v>288</v>
      </c>
      <c r="C193" s="76">
        <f>VLOOKUP(GroupVertices[[#This Row],[Vertex]],Vertices[],MATCH("ID",Vertices[[#Headers],[Vertex]:[Top Word Pairs in Tweet by Salience]],0),FALSE)</f>
        <v>36</v>
      </c>
    </row>
    <row r="194" spans="1:3" ht="15">
      <c r="A194" s="77" t="s">
        <v>3015</v>
      </c>
      <c r="B194" s="80" t="s">
        <v>287</v>
      </c>
      <c r="C194" s="76">
        <f>VLOOKUP(GroupVertices[[#This Row],[Vertex]],Vertices[],MATCH("ID",Vertices[[#Headers],[Vertex]:[Top Word Pairs in Tweet by Salience]],0),FALSE)</f>
        <v>35</v>
      </c>
    </row>
    <row r="195" spans="1:3" ht="15">
      <c r="A195" s="77" t="s">
        <v>3015</v>
      </c>
      <c r="B195" s="80" t="s">
        <v>286</v>
      </c>
      <c r="C195" s="76">
        <f>VLOOKUP(GroupVertices[[#This Row],[Vertex]],Vertices[],MATCH("ID",Vertices[[#Headers],[Vertex]:[Top Word Pairs in Tweet by Salience]],0),FALSE)</f>
        <v>34</v>
      </c>
    </row>
    <row r="196" spans="1:3" ht="15">
      <c r="A196" s="77" t="s">
        <v>3015</v>
      </c>
      <c r="B196" s="80" t="s">
        <v>285</v>
      </c>
      <c r="C196" s="76">
        <f>VLOOKUP(GroupVertices[[#This Row],[Vertex]],Vertices[],MATCH("ID",Vertices[[#Headers],[Vertex]:[Top Word Pairs in Tweet by Salience]],0),FALSE)</f>
        <v>33</v>
      </c>
    </row>
    <row r="197" spans="1:3" ht="15">
      <c r="A197" s="77" t="s">
        <v>3015</v>
      </c>
      <c r="B197" s="80" t="s">
        <v>284</v>
      </c>
      <c r="C197" s="76">
        <f>VLOOKUP(GroupVertices[[#This Row],[Vertex]],Vertices[],MATCH("ID",Vertices[[#Headers],[Vertex]:[Top Word Pairs in Tweet by Salience]],0),FALSE)</f>
        <v>32</v>
      </c>
    </row>
    <row r="198" spans="1:3" ht="15">
      <c r="A198" s="77" t="s">
        <v>3015</v>
      </c>
      <c r="B198" s="80" t="s">
        <v>283</v>
      </c>
      <c r="C198" s="76">
        <f>VLOOKUP(GroupVertices[[#This Row],[Vertex]],Vertices[],MATCH("ID",Vertices[[#Headers],[Vertex]:[Top Word Pairs in Tweet by Salience]],0),FALSE)</f>
        <v>31</v>
      </c>
    </row>
    <row r="199" spans="1:3" ht="15">
      <c r="A199" s="77" t="s">
        <v>3015</v>
      </c>
      <c r="B199" s="80" t="s">
        <v>282</v>
      </c>
      <c r="C199" s="76">
        <f>VLOOKUP(GroupVertices[[#This Row],[Vertex]],Vertices[],MATCH("ID",Vertices[[#Headers],[Vertex]:[Top Word Pairs in Tweet by Salience]],0),FALSE)</f>
        <v>30</v>
      </c>
    </row>
    <row r="200" spans="1:3" ht="15">
      <c r="A200" s="77" t="s">
        <v>3015</v>
      </c>
      <c r="B200" s="80" t="s">
        <v>281</v>
      </c>
      <c r="C200" s="76">
        <f>VLOOKUP(GroupVertices[[#This Row],[Vertex]],Vertices[],MATCH("ID",Vertices[[#Headers],[Vertex]:[Top Word Pairs in Tweet by Salience]],0),FALSE)</f>
        <v>29</v>
      </c>
    </row>
    <row r="201" spans="1:3" ht="15">
      <c r="A201" s="77" t="s">
        <v>3015</v>
      </c>
      <c r="B201" s="80" t="s">
        <v>280</v>
      </c>
      <c r="C201" s="76">
        <f>VLOOKUP(GroupVertices[[#This Row],[Vertex]],Vertices[],MATCH("ID",Vertices[[#Headers],[Vertex]:[Top Word Pairs in Tweet by Salience]],0),FALSE)</f>
        <v>28</v>
      </c>
    </row>
    <row r="202" spans="1:3" ht="15">
      <c r="A202" s="77" t="s">
        <v>3015</v>
      </c>
      <c r="B202" s="80" t="s">
        <v>279</v>
      </c>
      <c r="C202" s="76">
        <f>VLOOKUP(GroupVertices[[#This Row],[Vertex]],Vertices[],MATCH("ID",Vertices[[#Headers],[Vertex]:[Top Word Pairs in Tweet by Salience]],0),FALSE)</f>
        <v>27</v>
      </c>
    </row>
    <row r="203" spans="1:3" ht="15">
      <c r="A203" s="77" t="s">
        <v>3015</v>
      </c>
      <c r="B203" s="80" t="s">
        <v>278</v>
      </c>
      <c r="C203" s="76">
        <f>VLOOKUP(GroupVertices[[#This Row],[Vertex]],Vertices[],MATCH("ID",Vertices[[#Headers],[Vertex]:[Top Word Pairs in Tweet by Salience]],0),FALSE)</f>
        <v>26</v>
      </c>
    </row>
    <row r="204" spans="1:3" ht="15">
      <c r="A204" s="77" t="s">
        <v>3015</v>
      </c>
      <c r="B204" s="80" t="s">
        <v>277</v>
      </c>
      <c r="C204" s="76">
        <f>VLOOKUP(GroupVertices[[#This Row],[Vertex]],Vertices[],MATCH("ID",Vertices[[#Headers],[Vertex]:[Top Word Pairs in Tweet by Salience]],0),FALSE)</f>
        <v>25</v>
      </c>
    </row>
    <row r="205" spans="1:3" ht="15">
      <c r="A205" s="77" t="s">
        <v>3015</v>
      </c>
      <c r="B205" s="80" t="s">
        <v>276</v>
      </c>
      <c r="C205" s="76">
        <f>VLOOKUP(GroupVertices[[#This Row],[Vertex]],Vertices[],MATCH("ID",Vertices[[#Headers],[Vertex]:[Top Word Pairs in Tweet by Salience]],0),FALSE)</f>
        <v>24</v>
      </c>
    </row>
    <row r="206" spans="1:3" ht="15">
      <c r="A206" s="77" t="s">
        <v>3015</v>
      </c>
      <c r="B206" s="80" t="s">
        <v>275</v>
      </c>
      <c r="C206" s="76">
        <f>VLOOKUP(GroupVertices[[#This Row],[Vertex]],Vertices[],MATCH("ID",Vertices[[#Headers],[Vertex]:[Top Word Pairs in Tweet by Salience]],0),FALSE)</f>
        <v>23</v>
      </c>
    </row>
    <row r="207" spans="1:3" ht="15">
      <c r="A207" s="77" t="s">
        <v>3015</v>
      </c>
      <c r="B207" s="80" t="s">
        <v>274</v>
      </c>
      <c r="C207" s="76">
        <f>VLOOKUP(GroupVertices[[#This Row],[Vertex]],Vertices[],MATCH("ID",Vertices[[#Headers],[Vertex]:[Top Word Pairs in Tweet by Salience]],0),FALSE)</f>
        <v>22</v>
      </c>
    </row>
    <row r="208" spans="1:3" ht="15">
      <c r="A208" s="77" t="s">
        <v>3016</v>
      </c>
      <c r="B208" s="80" t="s">
        <v>255</v>
      </c>
      <c r="C208" s="76">
        <f>VLOOKUP(GroupVertices[[#This Row],[Vertex]],Vertices[],MATCH("ID",Vertices[[#Headers],[Vertex]:[Top Word Pairs in Tweet by Salience]],0),FALSE)</f>
        <v>51</v>
      </c>
    </row>
    <row r="209" spans="1:3" ht="15">
      <c r="A209" s="77" t="s">
        <v>3016</v>
      </c>
      <c r="B209" s="80" t="s">
        <v>239</v>
      </c>
      <c r="C209" s="76">
        <f>VLOOKUP(GroupVertices[[#This Row],[Vertex]],Vertices[],MATCH("ID",Vertices[[#Headers],[Vertex]:[Top Word Pairs in Tweet by Salience]],0),FALSE)</f>
        <v>230</v>
      </c>
    </row>
    <row r="210" spans="1:3" ht="15">
      <c r="A210" s="77" t="s">
        <v>3016</v>
      </c>
      <c r="B210" s="80" t="s">
        <v>490</v>
      </c>
      <c r="C210" s="76">
        <f>VLOOKUP(GroupVertices[[#This Row],[Vertex]],Vertices[],MATCH("ID",Vertices[[#Headers],[Vertex]:[Top Word Pairs in Tweet by Salience]],0),FALSE)</f>
        <v>249</v>
      </c>
    </row>
    <row r="211" spans="1:3" ht="15">
      <c r="A211" s="77" t="s">
        <v>3016</v>
      </c>
      <c r="B211" s="80" t="s">
        <v>489</v>
      </c>
      <c r="C211" s="76">
        <f>VLOOKUP(GroupVertices[[#This Row],[Vertex]],Vertices[],MATCH("ID",Vertices[[#Headers],[Vertex]:[Top Word Pairs in Tweet by Salience]],0),FALSE)</f>
        <v>248</v>
      </c>
    </row>
    <row r="212" spans="1:3" ht="15">
      <c r="A212" s="77" t="s">
        <v>3016</v>
      </c>
      <c r="B212" s="80" t="s">
        <v>488</v>
      </c>
      <c r="C212" s="76">
        <f>VLOOKUP(GroupVertices[[#This Row],[Vertex]],Vertices[],MATCH("ID",Vertices[[#Headers],[Vertex]:[Top Word Pairs in Tweet by Salience]],0),FALSE)</f>
        <v>247</v>
      </c>
    </row>
    <row r="213" spans="1:3" ht="15">
      <c r="A213" s="77" t="s">
        <v>3016</v>
      </c>
      <c r="B213" s="80" t="s">
        <v>487</v>
      </c>
      <c r="C213" s="76">
        <f>VLOOKUP(GroupVertices[[#This Row],[Vertex]],Vertices[],MATCH("ID",Vertices[[#Headers],[Vertex]:[Top Word Pairs in Tweet by Salience]],0),FALSE)</f>
        <v>246</v>
      </c>
    </row>
    <row r="214" spans="1:3" ht="15">
      <c r="A214" s="77" t="s">
        <v>3016</v>
      </c>
      <c r="B214" s="80" t="s">
        <v>486</v>
      </c>
      <c r="C214" s="76">
        <f>VLOOKUP(GroupVertices[[#This Row],[Vertex]],Vertices[],MATCH("ID",Vertices[[#Headers],[Vertex]:[Top Word Pairs in Tweet by Salience]],0),FALSE)</f>
        <v>245</v>
      </c>
    </row>
    <row r="215" spans="1:3" ht="15">
      <c r="A215" s="77" t="s">
        <v>3016</v>
      </c>
      <c r="B215" s="80" t="s">
        <v>485</v>
      </c>
      <c r="C215" s="76">
        <f>VLOOKUP(GroupVertices[[#This Row],[Vertex]],Vertices[],MATCH("ID",Vertices[[#Headers],[Vertex]:[Top Word Pairs in Tweet by Salience]],0),FALSE)</f>
        <v>244</v>
      </c>
    </row>
    <row r="216" spans="1:3" ht="15">
      <c r="A216" s="77" t="s">
        <v>3016</v>
      </c>
      <c r="B216" s="80" t="s">
        <v>484</v>
      </c>
      <c r="C216" s="76">
        <f>VLOOKUP(GroupVertices[[#This Row],[Vertex]],Vertices[],MATCH("ID",Vertices[[#Headers],[Vertex]:[Top Word Pairs in Tweet by Salience]],0),FALSE)</f>
        <v>243</v>
      </c>
    </row>
    <row r="217" spans="1:3" ht="15">
      <c r="A217" s="77" t="s">
        <v>3016</v>
      </c>
      <c r="B217" s="80" t="s">
        <v>483</v>
      </c>
      <c r="C217" s="76">
        <f>VLOOKUP(GroupVertices[[#This Row],[Vertex]],Vertices[],MATCH("ID",Vertices[[#Headers],[Vertex]:[Top Word Pairs in Tweet by Salience]],0),FALSE)</f>
        <v>242</v>
      </c>
    </row>
    <row r="218" spans="1:3" ht="15">
      <c r="A218" s="77" t="s">
        <v>3016</v>
      </c>
      <c r="B218" s="80" t="s">
        <v>482</v>
      </c>
      <c r="C218" s="76">
        <f>VLOOKUP(GroupVertices[[#This Row],[Vertex]],Vertices[],MATCH("ID",Vertices[[#Headers],[Vertex]:[Top Word Pairs in Tweet by Salience]],0),FALSE)</f>
        <v>241</v>
      </c>
    </row>
    <row r="219" spans="1:3" ht="15">
      <c r="A219" s="77" t="s">
        <v>3016</v>
      </c>
      <c r="B219" s="80" t="s">
        <v>481</v>
      </c>
      <c r="C219" s="76">
        <f>VLOOKUP(GroupVertices[[#This Row],[Vertex]],Vertices[],MATCH("ID",Vertices[[#Headers],[Vertex]:[Top Word Pairs in Tweet by Salience]],0),FALSE)</f>
        <v>240</v>
      </c>
    </row>
    <row r="220" spans="1:3" ht="15">
      <c r="A220" s="77" t="s">
        <v>3016</v>
      </c>
      <c r="B220" s="80" t="s">
        <v>480</v>
      </c>
      <c r="C220" s="76">
        <f>VLOOKUP(GroupVertices[[#This Row],[Vertex]],Vertices[],MATCH("ID",Vertices[[#Headers],[Vertex]:[Top Word Pairs in Tweet by Salience]],0),FALSE)</f>
        <v>239</v>
      </c>
    </row>
    <row r="221" spans="1:3" ht="15">
      <c r="A221" s="77" t="s">
        <v>3016</v>
      </c>
      <c r="B221" s="80" t="s">
        <v>479</v>
      </c>
      <c r="C221" s="76">
        <f>VLOOKUP(GroupVertices[[#This Row],[Vertex]],Vertices[],MATCH("ID",Vertices[[#Headers],[Vertex]:[Top Word Pairs in Tweet by Salience]],0),FALSE)</f>
        <v>238</v>
      </c>
    </row>
    <row r="222" spans="1:3" ht="15">
      <c r="A222" s="77" t="s">
        <v>3016</v>
      </c>
      <c r="B222" s="80" t="s">
        <v>478</v>
      </c>
      <c r="C222" s="76">
        <f>VLOOKUP(GroupVertices[[#This Row],[Vertex]],Vertices[],MATCH("ID",Vertices[[#Headers],[Vertex]:[Top Word Pairs in Tweet by Salience]],0),FALSE)</f>
        <v>237</v>
      </c>
    </row>
    <row r="223" spans="1:3" ht="15">
      <c r="A223" s="77" t="s">
        <v>3016</v>
      </c>
      <c r="B223" s="80" t="s">
        <v>477</v>
      </c>
      <c r="C223" s="76">
        <f>VLOOKUP(GroupVertices[[#This Row],[Vertex]],Vertices[],MATCH("ID",Vertices[[#Headers],[Vertex]:[Top Word Pairs in Tweet by Salience]],0),FALSE)</f>
        <v>236</v>
      </c>
    </row>
    <row r="224" spans="1:3" ht="15">
      <c r="A224" s="77" t="s">
        <v>3016</v>
      </c>
      <c r="B224" s="80" t="s">
        <v>476</v>
      </c>
      <c r="C224" s="76">
        <f>VLOOKUP(GroupVertices[[#This Row],[Vertex]],Vertices[],MATCH("ID",Vertices[[#Headers],[Vertex]:[Top Word Pairs in Tweet by Salience]],0),FALSE)</f>
        <v>235</v>
      </c>
    </row>
    <row r="225" spans="1:3" ht="15">
      <c r="A225" s="77" t="s">
        <v>3016</v>
      </c>
      <c r="B225" s="80" t="s">
        <v>475</v>
      </c>
      <c r="C225" s="76">
        <f>VLOOKUP(GroupVertices[[#This Row],[Vertex]],Vertices[],MATCH("ID",Vertices[[#Headers],[Vertex]:[Top Word Pairs in Tweet by Salience]],0),FALSE)</f>
        <v>234</v>
      </c>
    </row>
    <row r="226" spans="1:3" ht="15">
      <c r="A226" s="77" t="s">
        <v>3016</v>
      </c>
      <c r="B226" s="80" t="s">
        <v>474</v>
      </c>
      <c r="C226" s="76">
        <f>VLOOKUP(GroupVertices[[#This Row],[Vertex]],Vertices[],MATCH("ID",Vertices[[#Headers],[Vertex]:[Top Word Pairs in Tweet by Salience]],0),FALSE)</f>
        <v>233</v>
      </c>
    </row>
    <row r="227" spans="1:3" ht="15">
      <c r="A227" s="77" t="s">
        <v>3016</v>
      </c>
      <c r="B227" s="80" t="s">
        <v>473</v>
      </c>
      <c r="C227" s="76">
        <f>VLOOKUP(GroupVertices[[#This Row],[Vertex]],Vertices[],MATCH("ID",Vertices[[#Headers],[Vertex]:[Top Word Pairs in Tweet by Salience]],0),FALSE)</f>
        <v>232</v>
      </c>
    </row>
    <row r="228" spans="1:3" ht="15">
      <c r="A228" s="77" t="s">
        <v>3016</v>
      </c>
      <c r="B228" s="80" t="s">
        <v>472</v>
      </c>
      <c r="C228" s="76">
        <f>VLOOKUP(GroupVertices[[#This Row],[Vertex]],Vertices[],MATCH("ID",Vertices[[#Headers],[Vertex]:[Top Word Pairs in Tweet by Salience]],0),FALSE)</f>
        <v>231</v>
      </c>
    </row>
    <row r="229" spans="1:3" ht="15">
      <c r="A229" s="77" t="s">
        <v>3017</v>
      </c>
      <c r="B229" s="80" t="s">
        <v>250</v>
      </c>
      <c r="C229" s="76">
        <f>VLOOKUP(GroupVertices[[#This Row],[Vertex]],Vertices[],MATCH("ID",Vertices[[#Headers],[Vertex]:[Top Word Pairs in Tweet by Salience]],0),FALSE)</f>
        <v>292</v>
      </c>
    </row>
    <row r="230" spans="1:3" ht="15">
      <c r="A230" s="77" t="s">
        <v>3017</v>
      </c>
      <c r="B230" s="80" t="s">
        <v>521</v>
      </c>
      <c r="C230" s="76">
        <f>VLOOKUP(GroupVertices[[#This Row],[Vertex]],Vertices[],MATCH("ID",Vertices[[#Headers],[Vertex]:[Top Word Pairs in Tweet by Salience]],0),FALSE)</f>
        <v>294</v>
      </c>
    </row>
    <row r="231" spans="1:3" ht="15">
      <c r="A231" s="77" t="s">
        <v>3017</v>
      </c>
      <c r="B231" s="80" t="s">
        <v>249</v>
      </c>
      <c r="C231" s="76">
        <f>VLOOKUP(GroupVertices[[#This Row],[Vertex]],Vertices[],MATCH("ID",Vertices[[#Headers],[Vertex]:[Top Word Pairs in Tweet by Salience]],0),FALSE)</f>
        <v>291</v>
      </c>
    </row>
    <row r="232" spans="1:3" ht="15">
      <c r="A232" s="77" t="s">
        <v>3017</v>
      </c>
      <c r="B232" s="80" t="s">
        <v>520</v>
      </c>
      <c r="C232" s="76">
        <f>VLOOKUP(GroupVertices[[#This Row],[Vertex]],Vertices[],MATCH("ID",Vertices[[#Headers],[Vertex]:[Top Word Pairs in Tweet by Salience]],0),FALSE)</f>
        <v>293</v>
      </c>
    </row>
    <row r="233" spans="1:3" ht="15">
      <c r="A233" s="77" t="s">
        <v>3017</v>
      </c>
      <c r="B233" s="80" t="s">
        <v>376</v>
      </c>
      <c r="C233" s="76">
        <f>VLOOKUP(GroupVertices[[#This Row],[Vertex]],Vertices[],MATCH("ID",Vertices[[#Headers],[Vertex]:[Top Word Pairs in Tweet by Salience]],0),FALSE)</f>
        <v>126</v>
      </c>
    </row>
    <row r="234" spans="1:3" ht="15">
      <c r="A234" s="77" t="s">
        <v>3017</v>
      </c>
      <c r="B234" s="80" t="s">
        <v>248</v>
      </c>
      <c r="C234" s="76">
        <f>VLOOKUP(GroupVertices[[#This Row],[Vertex]],Vertices[],MATCH("ID",Vertices[[#Headers],[Vertex]:[Top Word Pairs in Tweet by Salience]],0),FALSE)</f>
        <v>280</v>
      </c>
    </row>
    <row r="235" spans="1:3" ht="15">
      <c r="A235" s="77" t="s">
        <v>3017</v>
      </c>
      <c r="B235" s="80" t="s">
        <v>519</v>
      </c>
      <c r="C235" s="76">
        <f>VLOOKUP(GroupVertices[[#This Row],[Vertex]],Vertices[],MATCH("ID",Vertices[[#Headers],[Vertex]:[Top Word Pairs in Tweet by Salience]],0),FALSE)</f>
        <v>290</v>
      </c>
    </row>
    <row r="236" spans="1:3" ht="15">
      <c r="A236" s="77" t="s">
        <v>3017</v>
      </c>
      <c r="B236" s="80" t="s">
        <v>518</v>
      </c>
      <c r="C236" s="76">
        <f>VLOOKUP(GroupVertices[[#This Row],[Vertex]],Vertices[],MATCH("ID",Vertices[[#Headers],[Vertex]:[Top Word Pairs in Tweet by Salience]],0),FALSE)</f>
        <v>289</v>
      </c>
    </row>
    <row r="237" spans="1:3" ht="15">
      <c r="A237" s="77" t="s">
        <v>3017</v>
      </c>
      <c r="B237" s="80" t="s">
        <v>517</v>
      </c>
      <c r="C237" s="76">
        <f>VLOOKUP(GroupVertices[[#This Row],[Vertex]],Vertices[],MATCH("ID",Vertices[[#Headers],[Vertex]:[Top Word Pairs in Tweet by Salience]],0),FALSE)</f>
        <v>288</v>
      </c>
    </row>
    <row r="238" spans="1:3" ht="15">
      <c r="A238" s="77" t="s">
        <v>3017</v>
      </c>
      <c r="B238" s="80" t="s">
        <v>516</v>
      </c>
      <c r="C238" s="76">
        <f>VLOOKUP(GroupVertices[[#This Row],[Vertex]],Vertices[],MATCH("ID",Vertices[[#Headers],[Vertex]:[Top Word Pairs in Tweet by Salience]],0),FALSE)</f>
        <v>287</v>
      </c>
    </row>
    <row r="239" spans="1:3" ht="15">
      <c r="A239" s="77" t="s">
        <v>3017</v>
      </c>
      <c r="B239" s="80" t="s">
        <v>515</v>
      </c>
      <c r="C239" s="76">
        <f>VLOOKUP(GroupVertices[[#This Row],[Vertex]],Vertices[],MATCH("ID",Vertices[[#Headers],[Vertex]:[Top Word Pairs in Tweet by Salience]],0),FALSE)</f>
        <v>286</v>
      </c>
    </row>
    <row r="240" spans="1:3" ht="15">
      <c r="A240" s="77" t="s">
        <v>3017</v>
      </c>
      <c r="B240" s="80" t="s">
        <v>514</v>
      </c>
      <c r="C240" s="76">
        <f>VLOOKUP(GroupVertices[[#This Row],[Vertex]],Vertices[],MATCH("ID",Vertices[[#Headers],[Vertex]:[Top Word Pairs in Tweet by Salience]],0),FALSE)</f>
        <v>285</v>
      </c>
    </row>
    <row r="241" spans="1:3" ht="15">
      <c r="A241" s="77" t="s">
        <v>3017</v>
      </c>
      <c r="B241" s="80" t="s">
        <v>513</v>
      </c>
      <c r="C241" s="76">
        <f>VLOOKUP(GroupVertices[[#This Row],[Vertex]],Vertices[],MATCH("ID",Vertices[[#Headers],[Vertex]:[Top Word Pairs in Tweet by Salience]],0),FALSE)</f>
        <v>284</v>
      </c>
    </row>
    <row r="242" spans="1:3" ht="15">
      <c r="A242" s="77" t="s">
        <v>3017</v>
      </c>
      <c r="B242" s="80" t="s">
        <v>512</v>
      </c>
      <c r="C242" s="76">
        <f>VLOOKUP(GroupVertices[[#This Row],[Vertex]],Vertices[],MATCH("ID",Vertices[[#Headers],[Vertex]:[Top Word Pairs in Tweet by Salience]],0),FALSE)</f>
        <v>283</v>
      </c>
    </row>
    <row r="243" spans="1:3" ht="15">
      <c r="A243" s="77" t="s">
        <v>3017</v>
      </c>
      <c r="B243" s="80" t="s">
        <v>511</v>
      </c>
      <c r="C243" s="76">
        <f>VLOOKUP(GroupVertices[[#This Row],[Vertex]],Vertices[],MATCH("ID",Vertices[[#Headers],[Vertex]:[Top Word Pairs in Tweet by Salience]],0),FALSE)</f>
        <v>282</v>
      </c>
    </row>
    <row r="244" spans="1:3" ht="15">
      <c r="A244" s="77" t="s">
        <v>3017</v>
      </c>
      <c r="B244" s="80" t="s">
        <v>510</v>
      </c>
      <c r="C244" s="76">
        <f>VLOOKUP(GroupVertices[[#This Row],[Vertex]],Vertices[],MATCH("ID",Vertices[[#Headers],[Vertex]:[Top Word Pairs in Tweet by Salience]],0),FALSE)</f>
        <v>281</v>
      </c>
    </row>
    <row r="245" spans="1:3" ht="15">
      <c r="A245" s="77" t="s">
        <v>3018</v>
      </c>
      <c r="B245" s="80" t="s">
        <v>258</v>
      </c>
      <c r="C245" s="76">
        <f>VLOOKUP(GroupVertices[[#This Row],[Vertex]],Vertices[],MATCH("ID",Vertices[[#Headers],[Vertex]:[Top Word Pairs in Tweet by Salience]],0),FALSE)</f>
        <v>318</v>
      </c>
    </row>
    <row r="246" spans="1:3" ht="15">
      <c r="A246" s="77" t="s">
        <v>3018</v>
      </c>
      <c r="B246" s="80" t="s">
        <v>538</v>
      </c>
      <c r="C246" s="76">
        <f>VLOOKUP(GroupVertices[[#This Row],[Vertex]],Vertices[],MATCH("ID",Vertices[[#Headers],[Vertex]:[Top Word Pairs in Tweet by Salience]],0),FALSE)</f>
        <v>317</v>
      </c>
    </row>
    <row r="247" spans="1:3" ht="15">
      <c r="A247" s="77" t="s">
        <v>3018</v>
      </c>
      <c r="B247" s="80" t="s">
        <v>537</v>
      </c>
      <c r="C247" s="76">
        <f>VLOOKUP(GroupVertices[[#This Row],[Vertex]],Vertices[],MATCH("ID",Vertices[[#Headers],[Vertex]:[Top Word Pairs in Tweet by Salience]],0),FALSE)</f>
        <v>316</v>
      </c>
    </row>
    <row r="248" spans="1:3" ht="15">
      <c r="A248" s="77" t="s">
        <v>3018</v>
      </c>
      <c r="B248" s="80" t="s">
        <v>536</v>
      </c>
      <c r="C248" s="76">
        <f>VLOOKUP(GroupVertices[[#This Row],[Vertex]],Vertices[],MATCH("ID",Vertices[[#Headers],[Vertex]:[Top Word Pairs in Tweet by Salience]],0),FALSE)</f>
        <v>315</v>
      </c>
    </row>
    <row r="249" spans="1:3" ht="15">
      <c r="A249" s="77" t="s">
        <v>3018</v>
      </c>
      <c r="B249" s="80" t="s">
        <v>535</v>
      </c>
      <c r="C249" s="76">
        <f>VLOOKUP(GroupVertices[[#This Row],[Vertex]],Vertices[],MATCH("ID",Vertices[[#Headers],[Vertex]:[Top Word Pairs in Tweet by Salience]],0),FALSE)</f>
        <v>314</v>
      </c>
    </row>
    <row r="250" spans="1:3" ht="15">
      <c r="A250" s="77" t="s">
        <v>3018</v>
      </c>
      <c r="B250" s="80" t="s">
        <v>534</v>
      </c>
      <c r="C250" s="76">
        <f>VLOOKUP(GroupVertices[[#This Row],[Vertex]],Vertices[],MATCH("ID",Vertices[[#Headers],[Vertex]:[Top Word Pairs in Tweet by Salience]],0),FALSE)</f>
        <v>313</v>
      </c>
    </row>
    <row r="251" spans="1:3" ht="15">
      <c r="A251" s="77" t="s">
        <v>3018</v>
      </c>
      <c r="B251" s="80" t="s">
        <v>533</v>
      </c>
      <c r="C251" s="76">
        <f>VLOOKUP(GroupVertices[[#This Row],[Vertex]],Vertices[],MATCH("ID",Vertices[[#Headers],[Vertex]:[Top Word Pairs in Tweet by Salience]],0),FALSE)</f>
        <v>312</v>
      </c>
    </row>
    <row r="252" spans="1:3" ht="15">
      <c r="A252" s="77" t="s">
        <v>3018</v>
      </c>
      <c r="B252" s="80" t="s">
        <v>532</v>
      </c>
      <c r="C252" s="76">
        <f>VLOOKUP(GroupVertices[[#This Row],[Vertex]],Vertices[],MATCH("ID",Vertices[[#Headers],[Vertex]:[Top Word Pairs in Tweet by Salience]],0),FALSE)</f>
        <v>311</v>
      </c>
    </row>
    <row r="253" spans="1:3" ht="15">
      <c r="A253" s="77" t="s">
        <v>3018</v>
      </c>
      <c r="B253" s="80" t="s">
        <v>531</v>
      </c>
      <c r="C253" s="76">
        <f>VLOOKUP(GroupVertices[[#This Row],[Vertex]],Vertices[],MATCH("ID",Vertices[[#Headers],[Vertex]:[Top Word Pairs in Tweet by Salience]],0),FALSE)</f>
        <v>310</v>
      </c>
    </row>
    <row r="254" spans="1:3" ht="15">
      <c r="A254" s="77" t="s">
        <v>3018</v>
      </c>
      <c r="B254" s="80" t="s">
        <v>530</v>
      </c>
      <c r="C254" s="76">
        <f>VLOOKUP(GroupVertices[[#This Row],[Vertex]],Vertices[],MATCH("ID",Vertices[[#Headers],[Vertex]:[Top Word Pairs in Tweet by Salience]],0),FALSE)</f>
        <v>309</v>
      </c>
    </row>
    <row r="255" spans="1:3" ht="15">
      <c r="A255" s="77" t="s">
        <v>3018</v>
      </c>
      <c r="B255" s="80" t="s">
        <v>529</v>
      </c>
      <c r="C255" s="76">
        <f>VLOOKUP(GroupVertices[[#This Row],[Vertex]],Vertices[],MATCH("ID",Vertices[[#Headers],[Vertex]:[Top Word Pairs in Tweet by Salience]],0),FALSE)</f>
        <v>308</v>
      </c>
    </row>
    <row r="256" spans="1:3" ht="15">
      <c r="A256" s="77" t="s">
        <v>3018</v>
      </c>
      <c r="B256" s="80" t="s">
        <v>528</v>
      </c>
      <c r="C256" s="76">
        <f>VLOOKUP(GroupVertices[[#This Row],[Vertex]],Vertices[],MATCH("ID",Vertices[[#Headers],[Vertex]:[Top Word Pairs in Tweet by Salience]],0),FALSE)</f>
        <v>307</v>
      </c>
    </row>
    <row r="257" spans="1:3" ht="15">
      <c r="A257" s="77" t="s">
        <v>3018</v>
      </c>
      <c r="B257" s="80" t="s">
        <v>527</v>
      </c>
      <c r="C257" s="76">
        <f>VLOOKUP(GroupVertices[[#This Row],[Vertex]],Vertices[],MATCH("ID",Vertices[[#Headers],[Vertex]:[Top Word Pairs in Tweet by Salience]],0),FALSE)</f>
        <v>306</v>
      </c>
    </row>
    <row r="258" spans="1:3" ht="15">
      <c r="A258" s="77" t="s">
        <v>3018</v>
      </c>
      <c r="B258" s="80" t="s">
        <v>526</v>
      </c>
      <c r="C258" s="76">
        <f>VLOOKUP(GroupVertices[[#This Row],[Vertex]],Vertices[],MATCH("ID",Vertices[[#Headers],[Vertex]:[Top Word Pairs in Tweet by Salience]],0),FALSE)</f>
        <v>305</v>
      </c>
    </row>
    <row r="259" spans="1:3" ht="15">
      <c r="A259" s="77" t="s">
        <v>3018</v>
      </c>
      <c r="B259" s="80" t="s">
        <v>257</v>
      </c>
      <c r="C259" s="76">
        <f>VLOOKUP(GroupVertices[[#This Row],[Vertex]],Vertices[],MATCH("ID",Vertices[[#Headers],[Vertex]:[Top Word Pairs in Tweet by Salience]],0),FALSE)</f>
        <v>304</v>
      </c>
    </row>
    <row r="260" spans="1:3" ht="15">
      <c r="A260" s="77" t="s">
        <v>3019</v>
      </c>
      <c r="B260" s="80" t="s">
        <v>262</v>
      </c>
      <c r="C260" s="76">
        <f>VLOOKUP(GroupVertices[[#This Row],[Vertex]],Vertices[],MATCH("ID",Vertices[[#Headers],[Vertex]:[Top Word Pairs in Tweet by Salience]],0),FALSE)</f>
        <v>255</v>
      </c>
    </row>
    <row r="261" spans="1:3" ht="15">
      <c r="A261" s="77" t="s">
        <v>3019</v>
      </c>
      <c r="B261" s="80" t="s">
        <v>260</v>
      </c>
      <c r="C261" s="76">
        <f>VLOOKUP(GroupVertices[[#This Row],[Vertex]],Vertices[],MATCH("ID",Vertices[[#Headers],[Vertex]:[Top Word Pairs in Tweet by Salience]],0),FALSE)</f>
        <v>265</v>
      </c>
    </row>
    <row r="262" spans="1:3" ht="15">
      <c r="A262" s="77" t="s">
        <v>3019</v>
      </c>
      <c r="B262" s="80" t="s">
        <v>259</v>
      </c>
      <c r="C262" s="76">
        <f>VLOOKUP(GroupVertices[[#This Row],[Vertex]],Vertices[],MATCH("ID",Vertices[[#Headers],[Vertex]:[Top Word Pairs in Tweet by Salience]],0),FALSE)</f>
        <v>229</v>
      </c>
    </row>
    <row r="263" spans="1:3" ht="15">
      <c r="A263" s="77" t="s">
        <v>3019</v>
      </c>
      <c r="B263" s="80" t="s">
        <v>501</v>
      </c>
      <c r="C263" s="76">
        <f>VLOOKUP(GroupVertices[[#This Row],[Vertex]],Vertices[],MATCH("ID",Vertices[[#Headers],[Vertex]:[Top Word Pairs in Tweet by Salience]],0),FALSE)</f>
        <v>264</v>
      </c>
    </row>
    <row r="264" spans="1:3" ht="15">
      <c r="A264" s="77" t="s">
        <v>3019</v>
      </c>
      <c r="B264" s="80" t="s">
        <v>500</v>
      </c>
      <c r="C264" s="76">
        <f>VLOOKUP(GroupVertices[[#This Row],[Vertex]],Vertices[],MATCH("ID",Vertices[[#Headers],[Vertex]:[Top Word Pairs in Tweet by Salience]],0),FALSE)</f>
        <v>263</v>
      </c>
    </row>
    <row r="265" spans="1:3" ht="15">
      <c r="A265" s="77" t="s">
        <v>3019</v>
      </c>
      <c r="B265" s="80" t="s">
        <v>499</v>
      </c>
      <c r="C265" s="76">
        <f>VLOOKUP(GroupVertices[[#This Row],[Vertex]],Vertices[],MATCH("ID",Vertices[[#Headers],[Vertex]:[Top Word Pairs in Tweet by Salience]],0),FALSE)</f>
        <v>262</v>
      </c>
    </row>
    <row r="266" spans="1:3" ht="15">
      <c r="A266" s="77" t="s">
        <v>3019</v>
      </c>
      <c r="B266" s="80" t="s">
        <v>498</v>
      </c>
      <c r="C266" s="76">
        <f>VLOOKUP(GroupVertices[[#This Row],[Vertex]],Vertices[],MATCH("ID",Vertices[[#Headers],[Vertex]:[Top Word Pairs in Tweet by Salience]],0),FALSE)</f>
        <v>261</v>
      </c>
    </row>
    <row r="267" spans="1:3" ht="15">
      <c r="A267" s="77" t="s">
        <v>3019</v>
      </c>
      <c r="B267" s="80" t="s">
        <v>497</v>
      </c>
      <c r="C267" s="76">
        <f>VLOOKUP(GroupVertices[[#This Row],[Vertex]],Vertices[],MATCH("ID",Vertices[[#Headers],[Vertex]:[Top Word Pairs in Tweet by Salience]],0),FALSE)</f>
        <v>260</v>
      </c>
    </row>
    <row r="268" spans="1:3" ht="15">
      <c r="A268" s="77" t="s">
        <v>3019</v>
      </c>
      <c r="B268" s="80" t="s">
        <v>496</v>
      </c>
      <c r="C268" s="76">
        <f>VLOOKUP(GroupVertices[[#This Row],[Vertex]],Vertices[],MATCH("ID",Vertices[[#Headers],[Vertex]:[Top Word Pairs in Tweet by Salience]],0),FALSE)</f>
        <v>259</v>
      </c>
    </row>
    <row r="269" spans="1:3" ht="15">
      <c r="A269" s="77" t="s">
        <v>3019</v>
      </c>
      <c r="B269" s="80" t="s">
        <v>495</v>
      </c>
      <c r="C269" s="76">
        <f>VLOOKUP(GroupVertices[[#This Row],[Vertex]],Vertices[],MATCH("ID",Vertices[[#Headers],[Vertex]:[Top Word Pairs in Tweet by Salience]],0),FALSE)</f>
        <v>258</v>
      </c>
    </row>
    <row r="270" spans="1:3" ht="15">
      <c r="A270" s="77" t="s">
        <v>3019</v>
      </c>
      <c r="B270" s="80" t="s">
        <v>494</v>
      </c>
      <c r="C270" s="76">
        <f>VLOOKUP(GroupVertices[[#This Row],[Vertex]],Vertices[],MATCH("ID",Vertices[[#Headers],[Vertex]:[Top Word Pairs in Tweet by Salience]],0),FALSE)</f>
        <v>257</v>
      </c>
    </row>
    <row r="271" spans="1:3" ht="15">
      <c r="A271" s="77" t="s">
        <v>3019</v>
      </c>
      <c r="B271" s="80" t="s">
        <v>493</v>
      </c>
      <c r="C271" s="76">
        <f>VLOOKUP(GroupVertices[[#This Row],[Vertex]],Vertices[],MATCH("ID",Vertices[[#Headers],[Vertex]:[Top Word Pairs in Tweet by Salience]],0),FALSE)</f>
        <v>256</v>
      </c>
    </row>
    <row r="272" spans="1:3" ht="15">
      <c r="A272" s="77" t="s">
        <v>3019</v>
      </c>
      <c r="B272" s="80" t="s">
        <v>261</v>
      </c>
      <c r="C272" s="76">
        <f>VLOOKUP(GroupVertices[[#This Row],[Vertex]],Vertices[],MATCH("ID",Vertices[[#Headers],[Vertex]:[Top Word Pairs in Tweet by Salience]],0),FALSE)</f>
        <v>254</v>
      </c>
    </row>
    <row r="273" spans="1:3" ht="15">
      <c r="A273" s="77" t="s">
        <v>3019</v>
      </c>
      <c r="B273" s="80" t="s">
        <v>492</v>
      </c>
      <c r="C273" s="76">
        <f>VLOOKUP(GroupVertices[[#This Row],[Vertex]],Vertices[],MATCH("ID",Vertices[[#Headers],[Vertex]:[Top Word Pairs in Tweet by Salience]],0),FALSE)</f>
        <v>253</v>
      </c>
    </row>
    <row r="274" spans="1:3" ht="15">
      <c r="A274" s="77" t="s">
        <v>3019</v>
      </c>
      <c r="B274" s="80" t="s">
        <v>241</v>
      </c>
      <c r="C274" s="76">
        <f>VLOOKUP(GroupVertices[[#This Row],[Vertex]],Vertices[],MATCH("ID",Vertices[[#Headers],[Vertex]:[Top Word Pairs in Tweet by Salience]],0),FALSE)</f>
        <v>252</v>
      </c>
    </row>
    <row r="275" spans="1:3" ht="15">
      <c r="A275" s="77" t="s">
        <v>3020</v>
      </c>
      <c r="B275" s="80" t="s">
        <v>244</v>
      </c>
      <c r="C275" s="76">
        <f>VLOOKUP(GroupVertices[[#This Row],[Vertex]],Vertices[],MATCH("ID",Vertices[[#Headers],[Vertex]:[Top Word Pairs in Tweet by Salience]],0),FALSE)</f>
        <v>270</v>
      </c>
    </row>
    <row r="276" spans="1:3" ht="15">
      <c r="A276" s="77" t="s">
        <v>3020</v>
      </c>
      <c r="B276" s="80" t="s">
        <v>247</v>
      </c>
      <c r="C276" s="76">
        <f>VLOOKUP(GroupVertices[[#This Row],[Vertex]],Vertices[],MATCH("ID",Vertices[[#Headers],[Vertex]:[Top Word Pairs in Tweet by Salience]],0),FALSE)</f>
        <v>279</v>
      </c>
    </row>
    <row r="277" spans="1:3" ht="15">
      <c r="A277" s="77" t="s">
        <v>3020</v>
      </c>
      <c r="B277" s="80" t="s">
        <v>509</v>
      </c>
      <c r="C277" s="76">
        <f>VLOOKUP(GroupVertices[[#This Row],[Vertex]],Vertices[],MATCH("ID",Vertices[[#Headers],[Vertex]:[Top Word Pairs in Tweet by Salience]],0),FALSE)</f>
        <v>278</v>
      </c>
    </row>
    <row r="278" spans="1:3" ht="15">
      <c r="A278" s="77" t="s">
        <v>3020</v>
      </c>
      <c r="B278" s="80" t="s">
        <v>246</v>
      </c>
      <c r="C278" s="76">
        <f>VLOOKUP(GroupVertices[[#This Row],[Vertex]],Vertices[],MATCH("ID",Vertices[[#Headers],[Vertex]:[Top Word Pairs in Tweet by Salience]],0),FALSE)</f>
        <v>277</v>
      </c>
    </row>
    <row r="279" spans="1:3" ht="15">
      <c r="A279" s="77" t="s">
        <v>3020</v>
      </c>
      <c r="B279" s="80" t="s">
        <v>508</v>
      </c>
      <c r="C279" s="76">
        <f>VLOOKUP(GroupVertices[[#This Row],[Vertex]],Vertices[],MATCH("ID",Vertices[[#Headers],[Vertex]:[Top Word Pairs in Tweet by Salience]],0),FALSE)</f>
        <v>276</v>
      </c>
    </row>
    <row r="280" spans="1:3" ht="15">
      <c r="A280" s="77" t="s">
        <v>3020</v>
      </c>
      <c r="B280" s="80" t="s">
        <v>245</v>
      </c>
      <c r="C280" s="76">
        <f>VLOOKUP(GroupVertices[[#This Row],[Vertex]],Vertices[],MATCH("ID",Vertices[[#Headers],[Vertex]:[Top Word Pairs in Tweet by Salience]],0),FALSE)</f>
        <v>275</v>
      </c>
    </row>
    <row r="281" spans="1:3" ht="15">
      <c r="A281" s="77" t="s">
        <v>3020</v>
      </c>
      <c r="B281" s="80" t="s">
        <v>507</v>
      </c>
      <c r="C281" s="76">
        <f>VLOOKUP(GroupVertices[[#This Row],[Vertex]],Vertices[],MATCH("ID",Vertices[[#Headers],[Vertex]:[Top Word Pairs in Tweet by Salience]],0),FALSE)</f>
        <v>274</v>
      </c>
    </row>
    <row r="282" spans="1:3" ht="15">
      <c r="A282" s="77" t="s">
        <v>3020</v>
      </c>
      <c r="B282" s="80" t="s">
        <v>506</v>
      </c>
      <c r="C282" s="76">
        <f>VLOOKUP(GroupVertices[[#This Row],[Vertex]],Vertices[],MATCH("ID",Vertices[[#Headers],[Vertex]:[Top Word Pairs in Tweet by Salience]],0),FALSE)</f>
        <v>273</v>
      </c>
    </row>
    <row r="283" spans="1:3" ht="15">
      <c r="A283" s="77" t="s">
        <v>3020</v>
      </c>
      <c r="B283" s="80" t="s">
        <v>505</v>
      </c>
      <c r="C283" s="76">
        <f>VLOOKUP(GroupVertices[[#This Row],[Vertex]],Vertices[],MATCH("ID",Vertices[[#Headers],[Vertex]:[Top Word Pairs in Tweet by Salience]],0),FALSE)</f>
        <v>272</v>
      </c>
    </row>
    <row r="284" spans="1:3" ht="15">
      <c r="A284" s="77" t="s">
        <v>3020</v>
      </c>
      <c r="B284" s="80" t="s">
        <v>504</v>
      </c>
      <c r="C284" s="76">
        <f>VLOOKUP(GroupVertices[[#This Row],[Vertex]],Vertices[],MATCH("ID",Vertices[[#Headers],[Vertex]:[Top Word Pairs in Tweet by Salience]],0),FALSE)</f>
        <v>271</v>
      </c>
    </row>
    <row r="285" spans="1:3" ht="15">
      <c r="A285" s="77" t="s">
        <v>3020</v>
      </c>
      <c r="B285" s="80" t="s">
        <v>471</v>
      </c>
      <c r="C285" s="76">
        <f>VLOOKUP(GroupVertices[[#This Row],[Vertex]],Vertices[],MATCH("ID",Vertices[[#Headers],[Vertex]:[Top Word Pairs in Tweet by Salience]],0),FALSE)</f>
        <v>228</v>
      </c>
    </row>
    <row r="286" spans="1:3" ht="15">
      <c r="A286" s="77" t="s">
        <v>3020</v>
      </c>
      <c r="B286" s="80" t="s">
        <v>243</v>
      </c>
      <c r="C286" s="76">
        <f>VLOOKUP(GroupVertices[[#This Row],[Vertex]],Vertices[],MATCH("ID",Vertices[[#Headers],[Vertex]:[Top Word Pairs in Tweet by Salience]],0),FALSE)</f>
        <v>269</v>
      </c>
    </row>
    <row r="287" spans="1:3" ht="15">
      <c r="A287" s="77" t="s">
        <v>3021</v>
      </c>
      <c r="B287" s="80" t="s">
        <v>237</v>
      </c>
      <c r="C287" s="76">
        <f>VLOOKUP(GroupVertices[[#This Row],[Vertex]],Vertices[],MATCH("ID",Vertices[[#Headers],[Vertex]:[Top Word Pairs in Tweet by Salience]],0),FALSE)</f>
        <v>178</v>
      </c>
    </row>
    <row r="288" spans="1:3" ht="15">
      <c r="A288" s="77" t="s">
        <v>3021</v>
      </c>
      <c r="B288" s="80" t="s">
        <v>432</v>
      </c>
      <c r="C288" s="76">
        <f>VLOOKUP(GroupVertices[[#This Row],[Vertex]],Vertices[],MATCH("ID",Vertices[[#Headers],[Vertex]:[Top Word Pairs in Tweet by Salience]],0),FALSE)</f>
        <v>188</v>
      </c>
    </row>
    <row r="289" spans="1:3" ht="15">
      <c r="A289" s="77" t="s">
        <v>3021</v>
      </c>
      <c r="B289" s="80" t="s">
        <v>431</v>
      </c>
      <c r="C289" s="76">
        <f>VLOOKUP(GroupVertices[[#This Row],[Vertex]],Vertices[],MATCH("ID",Vertices[[#Headers],[Vertex]:[Top Word Pairs in Tweet by Salience]],0),FALSE)</f>
        <v>187</v>
      </c>
    </row>
    <row r="290" spans="1:3" ht="15">
      <c r="A290" s="77" t="s">
        <v>3021</v>
      </c>
      <c r="B290" s="80" t="s">
        <v>430</v>
      </c>
      <c r="C290" s="76">
        <f>VLOOKUP(GroupVertices[[#This Row],[Vertex]],Vertices[],MATCH("ID",Vertices[[#Headers],[Vertex]:[Top Word Pairs in Tweet by Salience]],0),FALSE)</f>
        <v>186</v>
      </c>
    </row>
    <row r="291" spans="1:3" ht="15">
      <c r="A291" s="77" t="s">
        <v>3021</v>
      </c>
      <c r="B291" s="80" t="s">
        <v>429</v>
      </c>
      <c r="C291" s="76">
        <f>VLOOKUP(GroupVertices[[#This Row],[Vertex]],Vertices[],MATCH("ID",Vertices[[#Headers],[Vertex]:[Top Word Pairs in Tweet by Salience]],0),FALSE)</f>
        <v>185</v>
      </c>
    </row>
    <row r="292" spans="1:3" ht="15">
      <c r="A292" s="77" t="s">
        <v>3021</v>
      </c>
      <c r="B292" s="80" t="s">
        <v>428</v>
      </c>
      <c r="C292" s="76">
        <f>VLOOKUP(GroupVertices[[#This Row],[Vertex]],Vertices[],MATCH("ID",Vertices[[#Headers],[Vertex]:[Top Word Pairs in Tweet by Salience]],0),FALSE)</f>
        <v>184</v>
      </c>
    </row>
    <row r="293" spans="1:3" ht="15">
      <c r="A293" s="77" t="s">
        <v>3021</v>
      </c>
      <c r="B293" s="80" t="s">
        <v>427</v>
      </c>
      <c r="C293" s="76">
        <f>VLOOKUP(GroupVertices[[#This Row],[Vertex]],Vertices[],MATCH("ID",Vertices[[#Headers],[Vertex]:[Top Word Pairs in Tweet by Salience]],0),FALSE)</f>
        <v>183</v>
      </c>
    </row>
    <row r="294" spans="1:3" ht="15">
      <c r="A294" s="77" t="s">
        <v>3021</v>
      </c>
      <c r="B294" s="80" t="s">
        <v>426</v>
      </c>
      <c r="C294" s="76">
        <f>VLOOKUP(GroupVertices[[#This Row],[Vertex]],Vertices[],MATCH("ID",Vertices[[#Headers],[Vertex]:[Top Word Pairs in Tweet by Salience]],0),FALSE)</f>
        <v>182</v>
      </c>
    </row>
    <row r="295" spans="1:3" ht="15">
      <c r="A295" s="77" t="s">
        <v>3021</v>
      </c>
      <c r="B295" s="80" t="s">
        <v>425</v>
      </c>
      <c r="C295" s="76">
        <f>VLOOKUP(GroupVertices[[#This Row],[Vertex]],Vertices[],MATCH("ID",Vertices[[#Headers],[Vertex]:[Top Word Pairs in Tweet by Salience]],0),FALSE)</f>
        <v>181</v>
      </c>
    </row>
    <row r="296" spans="1:3" ht="15">
      <c r="A296" s="77" t="s">
        <v>3021</v>
      </c>
      <c r="B296" s="80" t="s">
        <v>424</v>
      </c>
      <c r="C296" s="76">
        <f>VLOOKUP(GroupVertices[[#This Row],[Vertex]],Vertices[],MATCH("ID",Vertices[[#Headers],[Vertex]:[Top Word Pairs in Tweet by Salience]],0),FALSE)</f>
        <v>180</v>
      </c>
    </row>
    <row r="297" spans="1:3" ht="15">
      <c r="A297" s="77" t="s">
        <v>3021</v>
      </c>
      <c r="B297" s="80" t="s">
        <v>423</v>
      </c>
      <c r="C297" s="76">
        <f>VLOOKUP(GroupVertices[[#This Row],[Vertex]],Vertices[],MATCH("ID",Vertices[[#Headers],[Vertex]:[Top Word Pairs in Tweet by Salience]],0),FALSE)</f>
        <v>179</v>
      </c>
    </row>
    <row r="298" spans="1:3" ht="15">
      <c r="A298" s="77" t="s">
        <v>3022</v>
      </c>
      <c r="B298" s="80" t="s">
        <v>263</v>
      </c>
      <c r="C298" s="76">
        <f>VLOOKUP(GroupVertices[[#This Row],[Vertex]],Vertices[],MATCH("ID",Vertices[[#Headers],[Vertex]:[Top Word Pairs in Tweet by Salience]],0),FALSE)</f>
        <v>3</v>
      </c>
    </row>
    <row r="299" spans="1:3" ht="15">
      <c r="A299" s="77" t="s">
        <v>3022</v>
      </c>
      <c r="B299" s="80" t="s">
        <v>224</v>
      </c>
      <c r="C299" s="76">
        <f>VLOOKUP(GroupVertices[[#This Row],[Vertex]],Vertices[],MATCH("ID",Vertices[[#Headers],[Vertex]:[Top Word Pairs in Tweet by Salience]],0),FALSE)</f>
        <v>6</v>
      </c>
    </row>
    <row r="300" spans="1:3" ht="15">
      <c r="A300" s="77" t="s">
        <v>3022</v>
      </c>
      <c r="B300" s="80" t="s">
        <v>231</v>
      </c>
      <c r="C300" s="76">
        <f>VLOOKUP(GroupVertices[[#This Row],[Vertex]],Vertices[],MATCH("ID",Vertices[[#Headers],[Vertex]:[Top Word Pairs in Tweet by Salience]],0),FALSE)</f>
        <v>170</v>
      </c>
    </row>
    <row r="301" spans="1:3" ht="15">
      <c r="A301" s="77" t="s">
        <v>3022</v>
      </c>
      <c r="B301" s="80" t="s">
        <v>232</v>
      </c>
      <c r="C301" s="76">
        <f>VLOOKUP(GroupVertices[[#This Row],[Vertex]],Vertices[],MATCH("ID",Vertices[[#Headers],[Vertex]:[Top Word Pairs in Tweet by Salience]],0),FALSE)</f>
        <v>171</v>
      </c>
    </row>
    <row r="302" spans="1:3" ht="15">
      <c r="A302" s="77" t="s">
        <v>3022</v>
      </c>
      <c r="B302" s="80" t="s">
        <v>233</v>
      </c>
      <c r="C302" s="76">
        <f>VLOOKUP(GroupVertices[[#This Row],[Vertex]],Vertices[],MATCH("ID",Vertices[[#Headers],[Vertex]:[Top Word Pairs in Tweet by Salience]],0),FALSE)</f>
        <v>172</v>
      </c>
    </row>
    <row r="303" spans="1:3" ht="15">
      <c r="A303" s="77" t="s">
        <v>3022</v>
      </c>
      <c r="B303" s="80" t="s">
        <v>236</v>
      </c>
      <c r="C303" s="76">
        <f>VLOOKUP(GroupVertices[[#This Row],[Vertex]],Vertices[],MATCH("ID",Vertices[[#Headers],[Vertex]:[Top Word Pairs in Tweet by Salience]],0),FALSE)</f>
        <v>177</v>
      </c>
    </row>
    <row r="304" spans="1:3" ht="15">
      <c r="A304" s="77" t="s">
        <v>3022</v>
      </c>
      <c r="B304" s="80" t="s">
        <v>254</v>
      </c>
      <c r="C304" s="76">
        <f>VLOOKUP(GroupVertices[[#This Row],[Vertex]],Vertices[],MATCH("ID",Vertices[[#Headers],[Vertex]:[Top Word Pairs in Tweet by Salience]],0),FALSE)</f>
        <v>302</v>
      </c>
    </row>
    <row r="305" spans="1:3" ht="15">
      <c r="A305" s="77" t="s">
        <v>3022</v>
      </c>
      <c r="B305" s="80" t="s">
        <v>256</v>
      </c>
      <c r="C305" s="76">
        <f>VLOOKUP(GroupVertices[[#This Row],[Vertex]],Vertices[],MATCH("ID",Vertices[[#Headers],[Vertex]:[Top Word Pairs in Tweet by Salience]],0),FALSE)</f>
        <v>303</v>
      </c>
    </row>
    <row r="306" spans="1:3" ht="15">
      <c r="A306" s="77" t="s">
        <v>3022</v>
      </c>
      <c r="B306" s="80" t="s">
        <v>796</v>
      </c>
      <c r="C306" s="76">
        <f>VLOOKUP(GroupVertices[[#This Row],[Vertex]],Vertices[],MATCH("ID",Vertices[[#Headers],[Vertex]:[Top Word Pairs in Tweet by Salience]],0),FALSE)</f>
        <v>319</v>
      </c>
    </row>
    <row r="307" spans="1:3" ht="15">
      <c r="A307" s="77" t="s">
        <v>3022</v>
      </c>
      <c r="B307" s="80" t="s">
        <v>1214</v>
      </c>
      <c r="C307" s="76">
        <f>VLOOKUP(GroupVertices[[#This Row],[Vertex]],Vertices[],MATCH("ID",Vertices[[#Headers],[Vertex]:[Top Word Pairs in Tweet by Salience]],0),FALSE)</f>
        <v>320</v>
      </c>
    </row>
    <row r="308" spans="1:3" ht="15">
      <c r="A308" s="77" t="s">
        <v>3022</v>
      </c>
      <c r="B308" s="80" t="s">
        <v>806</v>
      </c>
      <c r="C308" s="76">
        <f>VLOOKUP(GroupVertices[[#This Row],[Vertex]],Vertices[],MATCH("ID",Vertices[[#Headers],[Vertex]:[Top Word Pairs in Tweet by Salience]],0),FALSE)</f>
        <v>321</v>
      </c>
    </row>
    <row r="309" spans="1:3" ht="15">
      <c r="A309" s="77" t="s">
        <v>3023</v>
      </c>
      <c r="B309" s="80" t="s">
        <v>251</v>
      </c>
      <c r="C309" s="76">
        <f>VLOOKUP(GroupVertices[[#This Row],[Vertex]],Vertices[],MATCH("ID",Vertices[[#Headers],[Vertex]:[Top Word Pairs in Tweet by Salience]],0),FALSE)</f>
        <v>295</v>
      </c>
    </row>
    <row r="310" spans="1:3" ht="15">
      <c r="A310" s="77" t="s">
        <v>3023</v>
      </c>
      <c r="B310" s="80" t="s">
        <v>525</v>
      </c>
      <c r="C310" s="76">
        <f>VLOOKUP(GroupVertices[[#This Row],[Vertex]],Vertices[],MATCH("ID",Vertices[[#Headers],[Vertex]:[Top Word Pairs in Tweet by Salience]],0),FALSE)</f>
        <v>299</v>
      </c>
    </row>
    <row r="311" spans="1:3" ht="15">
      <c r="A311" s="77" t="s">
        <v>3023</v>
      </c>
      <c r="B311" s="80" t="s">
        <v>524</v>
      </c>
      <c r="C311" s="76">
        <f>VLOOKUP(GroupVertices[[#This Row],[Vertex]],Vertices[],MATCH("ID",Vertices[[#Headers],[Vertex]:[Top Word Pairs in Tweet by Salience]],0),FALSE)</f>
        <v>298</v>
      </c>
    </row>
    <row r="312" spans="1:3" ht="15">
      <c r="A312" s="77" t="s">
        <v>3023</v>
      </c>
      <c r="B312" s="80" t="s">
        <v>523</v>
      </c>
      <c r="C312" s="76">
        <f>VLOOKUP(GroupVertices[[#This Row],[Vertex]],Vertices[],MATCH("ID",Vertices[[#Headers],[Vertex]:[Top Word Pairs in Tweet by Salience]],0),FALSE)</f>
        <v>297</v>
      </c>
    </row>
    <row r="313" spans="1:3" ht="15">
      <c r="A313" s="77" t="s">
        <v>3023</v>
      </c>
      <c r="B313" s="80" t="s">
        <v>522</v>
      </c>
      <c r="C313" s="76">
        <f>VLOOKUP(GroupVertices[[#This Row],[Vertex]],Vertices[],MATCH("ID",Vertices[[#Headers],[Vertex]:[Top Word Pairs in Tweet by Salience]],0),FALSE)</f>
        <v>296</v>
      </c>
    </row>
    <row r="314" spans="1:3" ht="15">
      <c r="A314" s="77" t="s">
        <v>3024</v>
      </c>
      <c r="B314" s="80" t="s">
        <v>242</v>
      </c>
      <c r="C314" s="76">
        <f>VLOOKUP(GroupVertices[[#This Row],[Vertex]],Vertices[],MATCH("ID",Vertices[[#Headers],[Vertex]:[Top Word Pairs in Tweet by Salience]],0),FALSE)</f>
        <v>266</v>
      </c>
    </row>
    <row r="315" spans="1:3" ht="15">
      <c r="A315" s="77" t="s">
        <v>3024</v>
      </c>
      <c r="B315" s="80" t="s">
        <v>503</v>
      </c>
      <c r="C315" s="76">
        <f>VLOOKUP(GroupVertices[[#This Row],[Vertex]],Vertices[],MATCH("ID",Vertices[[#Headers],[Vertex]:[Top Word Pairs in Tweet by Salience]],0),FALSE)</f>
        <v>268</v>
      </c>
    </row>
    <row r="316" spans="1:3" ht="15">
      <c r="A316" s="77" t="s">
        <v>3024</v>
      </c>
      <c r="B316" s="80" t="s">
        <v>502</v>
      </c>
      <c r="C316" s="76">
        <f>VLOOKUP(GroupVertices[[#This Row],[Vertex]],Vertices[],MATCH("ID",Vertices[[#Headers],[Vertex]:[Top Word Pairs in Tweet by Salience]],0),FALSE)</f>
        <v>267</v>
      </c>
    </row>
    <row r="317" spans="1:3" ht="15">
      <c r="A317" s="77" t="s">
        <v>3025</v>
      </c>
      <c r="B317" s="80" t="s">
        <v>240</v>
      </c>
      <c r="C317" s="76">
        <f>VLOOKUP(GroupVertices[[#This Row],[Vertex]],Vertices[],MATCH("ID",Vertices[[#Headers],[Vertex]:[Top Word Pairs in Tweet by Salience]],0),FALSE)</f>
        <v>250</v>
      </c>
    </row>
    <row r="318" spans="1:3" ht="15">
      <c r="A318" s="77" t="s">
        <v>3025</v>
      </c>
      <c r="B318" s="80" t="s">
        <v>491</v>
      </c>
      <c r="C318" s="76">
        <f>VLOOKUP(GroupVertices[[#This Row],[Vertex]],Vertices[],MATCH("ID",Vertices[[#Headers],[Vertex]:[Top Word Pairs in Tweet by Salience]],0),FALSE)</f>
        <v>251</v>
      </c>
    </row>
    <row r="319" spans="1:3" ht="15">
      <c r="A319" s="77" t="s">
        <v>3026</v>
      </c>
      <c r="B319" s="80" t="s">
        <v>223</v>
      </c>
      <c r="C319" s="76">
        <f>VLOOKUP(GroupVertices[[#This Row],[Vertex]],Vertices[],MATCH("ID",Vertices[[#Headers],[Vertex]:[Top Word Pairs in Tweet by Salience]],0),FALSE)</f>
        <v>4</v>
      </c>
    </row>
    <row r="320" spans="1:3" ht="15">
      <c r="A320" s="77" t="s">
        <v>3026</v>
      </c>
      <c r="B320" s="80" t="s">
        <v>264</v>
      </c>
      <c r="C320" s="76">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320"/>
    <dataValidation allowBlank="1" showInputMessage="1" showErrorMessage="1" promptTitle="Vertex Name" prompt="Enter the name of a vertex to include in the group." sqref="B2:B320"/>
    <dataValidation allowBlank="1" showInputMessage="1" promptTitle="Vertex ID" prompt="This is the value of the hidden ID cell in the Vertices worksheet.  It gets filled in by the items on the NodeXL, Analysis, Groups menu." sqref="C2:C3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11202</v>
      </c>
      <c r="B2" s="31" t="s">
        <v>2977</v>
      </c>
      <c r="D2" s="29">
        <f>MIN(Vertices[Degree])</f>
        <v>0</v>
      </c>
      <c r="E2">
        <f>COUNTIF(Vertices[Degree],"&gt;= "&amp;D2)-COUNTIF(Vertices[Degree],"&gt;="&amp;D3)</f>
        <v>0</v>
      </c>
      <c r="F2" s="34">
        <f>MIN(Vertices[In-Degree])</f>
        <v>0</v>
      </c>
      <c r="G2" s="35">
        <f>COUNTIF(Vertices[In-Degree],"&gt;= "&amp;F2)-COUNTIF(Vertices[In-Degree],"&gt;="&amp;F3)</f>
        <v>11</v>
      </c>
      <c r="H2" s="34">
        <f>MIN(Vertices[Out-Degree])</f>
        <v>0</v>
      </c>
      <c r="I2" s="35">
        <f>COUNTIF(Vertices[Out-Degree],"&gt;= "&amp;H2)-COUNTIF(Vertices[Out-Degree],"&gt;="&amp;H3)</f>
        <v>297</v>
      </c>
      <c r="J2" s="34">
        <f>MIN(Vertices[Betweenness Centrality])</f>
        <v>0</v>
      </c>
      <c r="K2" s="35">
        <f>COUNTIF(Vertices[Betweenness Centrality],"&gt;= "&amp;J2)-COUNTIF(Vertices[Betweenness Centrality],"&gt;="&amp;J3)</f>
        <v>301</v>
      </c>
      <c r="L2" s="34">
        <f>MIN(Vertices[Closeness Centrality])</f>
        <v>0</v>
      </c>
      <c r="M2" s="35">
        <f>COUNTIF(Vertices[Closeness Centrality],"&gt;= "&amp;L2)-COUNTIF(Vertices[Closeness Centrality],"&gt;="&amp;L3)</f>
        <v>23</v>
      </c>
      <c r="N2" s="34">
        <f>MIN(Vertices[Eigenvector Centrality])</f>
        <v>0</v>
      </c>
      <c r="O2" s="35">
        <f>COUNTIF(Vertices[Eigenvector Centrality],"&gt;= "&amp;N2)-COUNTIF(Vertices[Eigenvector Centrality],"&gt;="&amp;N3)</f>
        <v>156</v>
      </c>
      <c r="P2" s="34">
        <f>MIN(Vertices[PageRank])</f>
        <v>0</v>
      </c>
      <c r="Q2" s="35">
        <f>COUNTIF(Vertices[PageRank],"&gt;= "&amp;P2)-COUNTIF(Vertices[PageRank],"&gt;="&amp;P3)</f>
        <v>3</v>
      </c>
      <c r="R2" s="34">
        <f>MIN(Vertices[Clustering Coefficient])</f>
        <v>0</v>
      </c>
      <c r="S2" s="40">
        <f>COUNTIF(Vertices[Clustering Coefficient],"&gt;= "&amp;R2)-COUNTIF(Vertices[Clustering Coefficient],"&gt;="&amp;R3)</f>
        <v>257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0.6176470588235294</v>
      </c>
      <c r="G3" s="37">
        <f>COUNTIF(Vertices[In-Degree],"&gt;= "&amp;F3)-COUNTIF(Vertices[In-Degree],"&gt;="&amp;F4)</f>
        <v>242</v>
      </c>
      <c r="H3" s="36">
        <f aca="true" t="shared" si="3" ref="H3:H35">H2+($H$36-$H$2)/BinDivisor</f>
        <v>3.0294117647058822</v>
      </c>
      <c r="I3" s="37">
        <f>COUNTIF(Vertices[Out-Degree],"&gt;= "&amp;H3)-COUNTIF(Vertices[Out-Degree],"&gt;="&amp;H4)</f>
        <v>4</v>
      </c>
      <c r="J3" s="36">
        <f aca="true" t="shared" si="4" ref="J3:J35">J2+($J$36-$J$2)/BinDivisor</f>
        <v>1603.1212720294116</v>
      </c>
      <c r="K3" s="37">
        <f>COUNTIF(Vertices[Betweenness Centrality],"&gt;= "&amp;J3)-COUNTIF(Vertices[Betweenness Centrality],"&gt;="&amp;J4)</f>
        <v>4</v>
      </c>
      <c r="L3" s="36">
        <f aca="true" t="shared" si="5" ref="L3:L35">L2+($L$36-$L$2)/BinDivisor</f>
        <v>0.013913676470588235</v>
      </c>
      <c r="M3" s="37">
        <f>COUNTIF(Vertices[Closeness Centrality],"&gt;= "&amp;L3)-COUNTIF(Vertices[Closeness Centrality],"&gt;="&amp;L4)</f>
        <v>0</v>
      </c>
      <c r="N3" s="36">
        <f aca="true" t="shared" si="6" ref="N3:N35">N2+($N$36-$N$2)/BinDivisor</f>
        <v>0.018540882352941178</v>
      </c>
      <c r="O3" s="37">
        <f>COUNTIF(Vertices[Eigenvector Centrality],"&gt;= "&amp;N3)-COUNTIF(Vertices[Eigenvector Centrality],"&gt;="&amp;N4)</f>
        <v>37</v>
      </c>
      <c r="P3" s="36">
        <f aca="true" t="shared" si="7" ref="P3:P35">P2+($P$36-$P$2)/BinDivisor</f>
        <v>0.001219235294117647</v>
      </c>
      <c r="Q3" s="37">
        <f>COUNTIF(Vertices[PageRank],"&gt;= "&amp;P3)-COUNTIF(Vertices[PageRank],"&gt;="&amp;P4)</f>
        <v>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319</v>
      </c>
      <c r="D4" s="29">
        <f t="shared" si="1"/>
        <v>0</v>
      </c>
      <c r="E4">
        <f>COUNTIF(Vertices[Degree],"&gt;= "&amp;D4)-COUNTIF(Vertices[Degree],"&gt;="&amp;D5)</f>
        <v>0</v>
      </c>
      <c r="F4" s="34">
        <f t="shared" si="2"/>
        <v>1.2352941176470589</v>
      </c>
      <c r="G4" s="35">
        <f>COUNTIF(Vertices[In-Degree],"&gt;= "&amp;F4)-COUNTIF(Vertices[In-Degree],"&gt;="&amp;F5)</f>
        <v>0</v>
      </c>
      <c r="H4" s="34">
        <f t="shared" si="3"/>
        <v>6.0588235294117645</v>
      </c>
      <c r="I4" s="35">
        <f>COUNTIF(Vertices[Out-Degree],"&gt;= "&amp;H4)-COUNTIF(Vertices[Out-Degree],"&gt;="&amp;H5)</f>
        <v>1</v>
      </c>
      <c r="J4" s="34">
        <f t="shared" si="4"/>
        <v>3206.242544058823</v>
      </c>
      <c r="K4" s="35">
        <f>COUNTIF(Vertices[Betweenness Centrality],"&gt;= "&amp;J4)-COUNTIF(Vertices[Betweenness Centrality],"&gt;="&amp;J5)</f>
        <v>6</v>
      </c>
      <c r="L4" s="34">
        <f t="shared" si="5"/>
        <v>0.02782735294117647</v>
      </c>
      <c r="M4" s="35">
        <f>COUNTIF(Vertices[Closeness Centrality],"&gt;= "&amp;L4)-COUNTIF(Vertices[Closeness Centrality],"&gt;="&amp;L5)</f>
        <v>0</v>
      </c>
      <c r="N4" s="34">
        <f t="shared" si="6"/>
        <v>0.037081764705882356</v>
      </c>
      <c r="O4" s="35">
        <f>COUNTIF(Vertices[Eigenvector Centrality],"&gt;= "&amp;N4)-COUNTIF(Vertices[Eigenvector Centrality],"&gt;="&amp;N5)</f>
        <v>16</v>
      </c>
      <c r="P4" s="34">
        <f t="shared" si="7"/>
        <v>0.002438470588235294</v>
      </c>
      <c r="Q4" s="35">
        <f>COUNTIF(Vertices[PageRank],"&gt;= "&amp;P4)-COUNTIF(Vertices[PageRank],"&gt;="&amp;P5)</f>
        <v>297</v>
      </c>
      <c r="R4" s="34">
        <f t="shared" si="8"/>
        <v>0.058823529411764705</v>
      </c>
      <c r="S4" s="40">
        <f>COUNTIF(Vertices[Clustering Coefficient],"&gt;= "&amp;R4)-COUNTIF(Vertices[Clustering Coefficient],"&gt;="&amp;R5)</f>
        <v>3</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1.8529411764705883</v>
      </c>
      <c r="G5" s="37">
        <f>COUNTIF(Vertices[In-Degree],"&gt;= "&amp;F5)-COUNTIF(Vertices[In-Degree],"&gt;="&amp;F6)</f>
        <v>44</v>
      </c>
      <c r="H5" s="36">
        <f t="shared" si="3"/>
        <v>9.088235294117647</v>
      </c>
      <c r="I5" s="37">
        <f>COUNTIF(Vertices[Out-Degree],"&gt;= "&amp;H5)-COUNTIF(Vertices[Out-Degree],"&gt;="&amp;H6)</f>
        <v>4</v>
      </c>
      <c r="J5" s="36">
        <f t="shared" si="4"/>
        <v>4809.363816088235</v>
      </c>
      <c r="K5" s="37">
        <f>COUNTIF(Vertices[Betweenness Centrality],"&gt;= "&amp;J5)-COUNTIF(Vertices[Betweenness Centrality],"&gt;="&amp;J6)</f>
        <v>3</v>
      </c>
      <c r="L5" s="36">
        <f t="shared" si="5"/>
        <v>0.041741029411764705</v>
      </c>
      <c r="M5" s="37">
        <f>COUNTIF(Vertices[Closeness Centrality],"&gt;= "&amp;L5)-COUNTIF(Vertices[Closeness Centrality],"&gt;="&amp;L6)</f>
        <v>0</v>
      </c>
      <c r="N5" s="36">
        <f t="shared" si="6"/>
        <v>0.055622647058823534</v>
      </c>
      <c r="O5" s="37">
        <f>COUNTIF(Vertices[Eigenvector Centrality],"&gt;= "&amp;N5)-COUNTIF(Vertices[Eigenvector Centrality],"&gt;="&amp;N6)</f>
        <v>98</v>
      </c>
      <c r="P5" s="36">
        <f t="shared" si="7"/>
        <v>0.0036577058823529414</v>
      </c>
      <c r="Q5" s="37">
        <f>COUNTIF(Vertices[PageRank],"&gt;= "&amp;P5)-COUNTIF(Vertices[PageRank],"&gt;="&amp;P6)</f>
        <v>9</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324</v>
      </c>
      <c r="D6" s="29">
        <f t="shared" si="1"/>
        <v>0</v>
      </c>
      <c r="E6">
        <f>COUNTIF(Vertices[Degree],"&gt;= "&amp;D6)-COUNTIF(Vertices[Degree],"&gt;="&amp;D7)</f>
        <v>0</v>
      </c>
      <c r="F6" s="34">
        <f t="shared" si="2"/>
        <v>2.4705882352941178</v>
      </c>
      <c r="G6" s="35">
        <f>COUNTIF(Vertices[In-Degree],"&gt;= "&amp;F6)-COUNTIF(Vertices[In-Degree],"&gt;="&amp;F7)</f>
        <v>3</v>
      </c>
      <c r="H6" s="34">
        <f t="shared" si="3"/>
        <v>12.117647058823529</v>
      </c>
      <c r="I6" s="35">
        <f>COUNTIF(Vertices[Out-Degree],"&gt;= "&amp;H6)-COUNTIF(Vertices[Out-Degree],"&gt;="&amp;H7)</f>
        <v>8</v>
      </c>
      <c r="J6" s="34">
        <f t="shared" si="4"/>
        <v>6412.485088117646</v>
      </c>
      <c r="K6" s="35">
        <f>COUNTIF(Vertices[Betweenness Centrality],"&gt;= "&amp;J6)-COUNTIF(Vertices[Betweenness Centrality],"&gt;="&amp;J7)</f>
        <v>0</v>
      </c>
      <c r="L6" s="34">
        <f t="shared" si="5"/>
        <v>0.05565470588235294</v>
      </c>
      <c r="M6" s="35">
        <f>COUNTIF(Vertices[Closeness Centrality],"&gt;= "&amp;L6)-COUNTIF(Vertices[Closeness Centrality],"&gt;="&amp;L7)</f>
        <v>0</v>
      </c>
      <c r="N6" s="34">
        <f t="shared" si="6"/>
        <v>0.07416352941176471</v>
      </c>
      <c r="O6" s="35">
        <f>COUNTIF(Vertices[Eigenvector Centrality],"&gt;= "&amp;N6)-COUNTIF(Vertices[Eigenvector Centrality],"&gt;="&amp;N7)</f>
        <v>3</v>
      </c>
      <c r="P6" s="34">
        <f t="shared" si="7"/>
        <v>0.004876941176470588</v>
      </c>
      <c r="Q6" s="35">
        <f>COUNTIF(Vertices[PageRank],"&gt;= "&amp;P6)-COUNTIF(Vertices[PageRank],"&gt;="&amp;P7)</f>
        <v>2</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482</v>
      </c>
      <c r="D7" s="29">
        <f t="shared" si="1"/>
        <v>0</v>
      </c>
      <c r="E7">
        <f>COUNTIF(Vertices[Degree],"&gt;= "&amp;D7)-COUNTIF(Vertices[Degree],"&gt;="&amp;D8)</f>
        <v>0</v>
      </c>
      <c r="F7" s="36">
        <f t="shared" si="2"/>
        <v>3.088235294117647</v>
      </c>
      <c r="G7" s="37">
        <f>COUNTIF(Vertices[In-Degree],"&gt;= "&amp;F7)-COUNTIF(Vertices[In-Degree],"&gt;="&amp;F8)</f>
        <v>0</v>
      </c>
      <c r="H7" s="36">
        <f t="shared" si="3"/>
        <v>15.147058823529411</v>
      </c>
      <c r="I7" s="37">
        <f>COUNTIF(Vertices[Out-Degree],"&gt;= "&amp;H7)-COUNTIF(Vertices[Out-Degree],"&gt;="&amp;H8)</f>
        <v>0</v>
      </c>
      <c r="J7" s="36">
        <f t="shared" si="4"/>
        <v>8015.606360147058</v>
      </c>
      <c r="K7" s="37">
        <f>COUNTIF(Vertices[Betweenness Centrality],"&gt;= "&amp;J7)-COUNTIF(Vertices[Betweenness Centrality],"&gt;="&amp;J8)</f>
        <v>0</v>
      </c>
      <c r="L7" s="36">
        <f t="shared" si="5"/>
        <v>0.06956838235294117</v>
      </c>
      <c r="M7" s="37">
        <f>COUNTIF(Vertices[Closeness Centrality],"&gt;= "&amp;L7)-COUNTIF(Vertices[Closeness Centrality],"&gt;="&amp;L8)</f>
        <v>0</v>
      </c>
      <c r="N7" s="36">
        <f t="shared" si="6"/>
        <v>0.0927044117647059</v>
      </c>
      <c r="O7" s="37">
        <f>COUNTIF(Vertices[Eigenvector Centrality],"&gt;= "&amp;N7)-COUNTIF(Vertices[Eigenvector Centrality],"&gt;="&amp;N8)</f>
        <v>0</v>
      </c>
      <c r="P7" s="36">
        <f t="shared" si="7"/>
        <v>0.006096176470588235</v>
      </c>
      <c r="Q7" s="37">
        <f>COUNTIF(Vertices[PageRank],"&gt;= "&amp;P7)-COUNTIF(Vertices[PageRank],"&gt;="&amp;P8)</f>
        <v>3</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806</v>
      </c>
      <c r="D8" s="29">
        <f t="shared" si="1"/>
        <v>0</v>
      </c>
      <c r="E8">
        <f>COUNTIF(Vertices[Degree],"&gt;= "&amp;D8)-COUNTIF(Vertices[Degree],"&gt;="&amp;D9)</f>
        <v>0</v>
      </c>
      <c r="F8" s="34">
        <f t="shared" si="2"/>
        <v>3.7058823529411766</v>
      </c>
      <c r="G8" s="35">
        <f>COUNTIF(Vertices[In-Degree],"&gt;= "&amp;F8)-COUNTIF(Vertices[In-Degree],"&gt;="&amp;F9)</f>
        <v>5</v>
      </c>
      <c r="H8" s="34">
        <f t="shared" si="3"/>
        <v>18.176470588235293</v>
      </c>
      <c r="I8" s="35">
        <f>COUNTIF(Vertices[Out-Degree],"&gt;= "&amp;H8)-COUNTIF(Vertices[Out-Degree],"&gt;="&amp;H9)</f>
        <v>1</v>
      </c>
      <c r="J8" s="34">
        <f t="shared" si="4"/>
        <v>9618.72763217647</v>
      </c>
      <c r="K8" s="35">
        <f>COUNTIF(Vertices[Betweenness Centrality],"&gt;= "&amp;J8)-COUNTIF(Vertices[Betweenness Centrality],"&gt;="&amp;J9)</f>
        <v>1</v>
      </c>
      <c r="L8" s="34">
        <f t="shared" si="5"/>
        <v>0.08348205882352941</v>
      </c>
      <c r="M8" s="35">
        <f>COUNTIF(Vertices[Closeness Centrality],"&gt;= "&amp;L8)-COUNTIF(Vertices[Closeness Centrality],"&gt;="&amp;L9)</f>
        <v>0</v>
      </c>
      <c r="N8" s="34">
        <f t="shared" si="6"/>
        <v>0.11124529411764708</v>
      </c>
      <c r="O8" s="35">
        <f>COUNTIF(Vertices[Eigenvector Centrality],"&gt;= "&amp;N8)-COUNTIF(Vertices[Eigenvector Centrality],"&gt;="&amp;N9)</f>
        <v>6</v>
      </c>
      <c r="P8" s="34">
        <f t="shared" si="7"/>
        <v>0.007315411764705882</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1"/>
      <c r="B9" s="111"/>
      <c r="D9" s="29">
        <f t="shared" si="1"/>
        <v>0</v>
      </c>
      <c r="E9">
        <f>COUNTIF(Vertices[Degree],"&gt;= "&amp;D9)-COUNTIF(Vertices[Degree],"&gt;="&amp;D10)</f>
        <v>0</v>
      </c>
      <c r="F9" s="36">
        <f t="shared" si="2"/>
        <v>4.3235294117647065</v>
      </c>
      <c r="G9" s="37">
        <f>COUNTIF(Vertices[In-Degree],"&gt;= "&amp;F9)-COUNTIF(Vertices[In-Degree],"&gt;="&amp;F10)</f>
        <v>0</v>
      </c>
      <c r="H9" s="36">
        <f t="shared" si="3"/>
        <v>21.205882352941174</v>
      </c>
      <c r="I9" s="37">
        <f>COUNTIF(Vertices[Out-Degree],"&gt;= "&amp;H9)-COUNTIF(Vertices[Out-Degree],"&gt;="&amp;H10)</f>
        <v>0</v>
      </c>
      <c r="J9" s="36">
        <f t="shared" si="4"/>
        <v>11221.84890420588</v>
      </c>
      <c r="K9" s="37">
        <f>COUNTIF(Vertices[Betweenness Centrality],"&gt;= "&amp;J9)-COUNTIF(Vertices[Betweenness Centrality],"&gt;="&amp;J10)</f>
        <v>0</v>
      </c>
      <c r="L9" s="36">
        <f t="shared" si="5"/>
        <v>0.09739573529411764</v>
      </c>
      <c r="M9" s="37">
        <f>COUNTIF(Vertices[Closeness Centrality],"&gt;= "&amp;L9)-COUNTIF(Vertices[Closeness Centrality],"&gt;="&amp;L10)</f>
        <v>0</v>
      </c>
      <c r="N9" s="36">
        <f t="shared" si="6"/>
        <v>0.12978617647058827</v>
      </c>
      <c r="O9" s="37">
        <f>COUNTIF(Vertices[Eigenvector Centrality],"&gt;= "&amp;N9)-COUNTIF(Vertices[Eigenvector Centrality],"&gt;="&amp;N10)</f>
        <v>1</v>
      </c>
      <c r="P9" s="36">
        <f t="shared" si="7"/>
        <v>0.008534647058823529</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11203</v>
      </c>
      <c r="B10" s="31">
        <v>7</v>
      </c>
      <c r="D10" s="29">
        <f t="shared" si="1"/>
        <v>0</v>
      </c>
      <c r="E10">
        <f>COUNTIF(Vertices[Degree],"&gt;= "&amp;D10)-COUNTIF(Vertices[Degree],"&gt;="&amp;D11)</f>
        <v>0</v>
      </c>
      <c r="F10" s="34">
        <f t="shared" si="2"/>
        <v>4.9411764705882355</v>
      </c>
      <c r="G10" s="35">
        <f>COUNTIF(Vertices[In-Degree],"&gt;= "&amp;F10)-COUNTIF(Vertices[In-Degree],"&gt;="&amp;F11)</f>
        <v>13</v>
      </c>
      <c r="H10" s="34">
        <f t="shared" si="3"/>
        <v>24.235294117647058</v>
      </c>
      <c r="I10" s="35">
        <f>COUNTIF(Vertices[Out-Degree],"&gt;= "&amp;H10)-COUNTIF(Vertices[Out-Degree],"&gt;="&amp;H11)</f>
        <v>0</v>
      </c>
      <c r="J10" s="34">
        <f t="shared" si="4"/>
        <v>12824.970176235292</v>
      </c>
      <c r="K10" s="35">
        <f>COUNTIF(Vertices[Betweenness Centrality],"&gt;= "&amp;J10)-COUNTIF(Vertices[Betweenness Centrality],"&gt;="&amp;J11)</f>
        <v>0</v>
      </c>
      <c r="L10" s="34">
        <f t="shared" si="5"/>
        <v>0.11130941176470588</v>
      </c>
      <c r="M10" s="35">
        <f>COUNTIF(Vertices[Closeness Centrality],"&gt;= "&amp;L10)-COUNTIF(Vertices[Closeness Centrality],"&gt;="&amp;L11)</f>
        <v>0</v>
      </c>
      <c r="N10" s="34">
        <f t="shared" si="6"/>
        <v>0.14832705882352945</v>
      </c>
      <c r="O10" s="35">
        <f>COUNTIF(Vertices[Eigenvector Centrality],"&gt;= "&amp;N10)-COUNTIF(Vertices[Eigenvector Centrality],"&gt;="&amp;N11)</f>
        <v>0</v>
      </c>
      <c r="P10" s="34">
        <f t="shared" si="7"/>
        <v>0.009753882352941176</v>
      </c>
      <c r="Q10" s="35">
        <f>COUNTIF(Vertices[PageRank],"&gt;= "&amp;P10)-COUNTIF(Vertices[PageRank],"&gt;="&amp;P11)</f>
        <v>1</v>
      </c>
      <c r="R10" s="34">
        <f t="shared" si="8"/>
        <v>0.23529411764705885</v>
      </c>
      <c r="S10" s="40">
        <f>COUNTIF(Vertices[Clustering Coefficient],"&gt;= "&amp;R10)-COUNTIF(Vertices[Clustering Coefficient],"&gt;="&amp;R11)</f>
        <v>3</v>
      </c>
      <c r="T10" s="34" t="e">
        <f ca="1" t="shared" si="9"/>
        <v>#REF!</v>
      </c>
      <c r="U10" s="35" t="e">
        <f ca="1" t="shared" si="0"/>
        <v>#REF!</v>
      </c>
    </row>
    <row r="11" spans="1:21" ht="15">
      <c r="A11" s="111"/>
      <c r="B11" s="111"/>
      <c r="D11" s="29">
        <f t="shared" si="1"/>
        <v>0</v>
      </c>
      <c r="E11">
        <f>COUNTIF(Vertices[Degree],"&gt;= "&amp;D11)-COUNTIF(Vertices[Degree],"&gt;="&amp;D12)</f>
        <v>0</v>
      </c>
      <c r="F11" s="36">
        <f t="shared" si="2"/>
        <v>5.5588235294117645</v>
      </c>
      <c r="G11" s="37">
        <f>COUNTIF(Vertices[In-Degree],"&gt;= "&amp;F11)-COUNTIF(Vertices[In-Degree],"&gt;="&amp;F12)</f>
        <v>0</v>
      </c>
      <c r="H11" s="36">
        <f t="shared" si="3"/>
        <v>27.264705882352942</v>
      </c>
      <c r="I11" s="37">
        <f>COUNTIF(Vertices[Out-Degree],"&gt;= "&amp;H11)-COUNTIF(Vertices[Out-Degree],"&gt;="&amp;H12)</f>
        <v>0</v>
      </c>
      <c r="J11" s="36">
        <f t="shared" si="4"/>
        <v>14428.091448264704</v>
      </c>
      <c r="K11" s="37">
        <f>COUNTIF(Vertices[Betweenness Centrality],"&gt;= "&amp;J11)-COUNTIF(Vertices[Betweenness Centrality],"&gt;="&amp;J12)</f>
        <v>0</v>
      </c>
      <c r="L11" s="36">
        <f t="shared" si="5"/>
        <v>0.1252230882352941</v>
      </c>
      <c r="M11" s="37">
        <f>COUNTIF(Vertices[Closeness Centrality],"&gt;= "&amp;L11)-COUNTIF(Vertices[Closeness Centrality],"&gt;="&amp;L12)</f>
        <v>0</v>
      </c>
      <c r="N11" s="36">
        <f t="shared" si="6"/>
        <v>0.16686794117647064</v>
      </c>
      <c r="O11" s="37">
        <f>COUNTIF(Vertices[Eigenvector Centrality],"&gt;= "&amp;N11)-COUNTIF(Vertices[Eigenvector Centrality],"&gt;="&amp;N12)</f>
        <v>0</v>
      </c>
      <c r="P11" s="36">
        <f t="shared" si="7"/>
        <v>0.010973117647058824</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539</v>
      </c>
      <c r="B12" s="31">
        <v>436</v>
      </c>
      <c r="D12" s="29">
        <f t="shared" si="1"/>
        <v>0</v>
      </c>
      <c r="E12">
        <f>COUNTIF(Vertices[Degree],"&gt;= "&amp;D12)-COUNTIF(Vertices[Degree],"&gt;="&amp;D13)</f>
        <v>0</v>
      </c>
      <c r="F12" s="34">
        <f t="shared" si="2"/>
        <v>6.1764705882352935</v>
      </c>
      <c r="G12" s="35">
        <f>COUNTIF(Vertices[In-Degree],"&gt;= "&amp;F12)-COUNTIF(Vertices[In-Degree],"&gt;="&amp;F13)</f>
        <v>0</v>
      </c>
      <c r="H12" s="34">
        <f t="shared" si="3"/>
        <v>30.294117647058826</v>
      </c>
      <c r="I12" s="35">
        <f>COUNTIF(Vertices[Out-Degree],"&gt;= "&amp;H12)-COUNTIF(Vertices[Out-Degree],"&gt;="&amp;H13)</f>
        <v>1</v>
      </c>
      <c r="J12" s="34">
        <f t="shared" si="4"/>
        <v>16031.212720294116</v>
      </c>
      <c r="K12" s="35">
        <f>COUNTIF(Vertices[Betweenness Centrality],"&gt;= "&amp;J12)-COUNTIF(Vertices[Betweenness Centrality],"&gt;="&amp;J13)</f>
        <v>1</v>
      </c>
      <c r="L12" s="34">
        <f t="shared" si="5"/>
        <v>0.13913676470588232</v>
      </c>
      <c r="M12" s="35">
        <f>COUNTIF(Vertices[Closeness Centrality],"&gt;= "&amp;L12)-COUNTIF(Vertices[Closeness Centrality],"&gt;="&amp;L13)</f>
        <v>0</v>
      </c>
      <c r="N12" s="34">
        <f t="shared" si="6"/>
        <v>0.18540882352941182</v>
      </c>
      <c r="O12" s="35">
        <f>COUNTIF(Vertices[Eigenvector Centrality],"&gt;= "&amp;N12)-COUNTIF(Vertices[Eigenvector Centrality],"&gt;="&amp;N13)</f>
        <v>0</v>
      </c>
      <c r="P12" s="34">
        <f t="shared" si="7"/>
        <v>0.012192352941176472</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178</v>
      </c>
      <c r="B13" s="31">
        <v>16</v>
      </c>
      <c r="D13" s="29">
        <f t="shared" si="1"/>
        <v>0</v>
      </c>
      <c r="E13">
        <f>COUNTIF(Vertices[Degree],"&gt;= "&amp;D13)-COUNTIF(Vertices[Degree],"&gt;="&amp;D14)</f>
        <v>0</v>
      </c>
      <c r="F13" s="36">
        <f t="shared" si="2"/>
        <v>6.7941176470588225</v>
      </c>
      <c r="G13" s="37">
        <f>COUNTIF(Vertices[In-Degree],"&gt;= "&amp;F13)-COUNTIF(Vertices[In-Degree],"&gt;="&amp;F14)</f>
        <v>0</v>
      </c>
      <c r="H13" s="36">
        <f t="shared" si="3"/>
        <v>33.32352941176471</v>
      </c>
      <c r="I13" s="37">
        <f>COUNTIF(Vertices[Out-Degree],"&gt;= "&amp;H13)-COUNTIF(Vertices[Out-Degree],"&gt;="&amp;H14)</f>
        <v>1</v>
      </c>
      <c r="J13" s="36">
        <f t="shared" si="4"/>
        <v>17634.333992323525</v>
      </c>
      <c r="K13" s="37">
        <f>COUNTIF(Vertices[Betweenness Centrality],"&gt;= "&amp;J13)-COUNTIF(Vertices[Betweenness Centrality],"&gt;="&amp;J14)</f>
        <v>0</v>
      </c>
      <c r="L13" s="36">
        <f t="shared" si="5"/>
        <v>0.15305044117647054</v>
      </c>
      <c r="M13" s="37">
        <f>COUNTIF(Vertices[Closeness Centrality],"&gt;= "&amp;L13)-COUNTIF(Vertices[Closeness Centrality],"&gt;="&amp;L14)</f>
        <v>0</v>
      </c>
      <c r="N13" s="36">
        <f t="shared" si="6"/>
        <v>0.203949705882353</v>
      </c>
      <c r="O13" s="37">
        <f>COUNTIF(Vertices[Eigenvector Centrality],"&gt;= "&amp;N13)-COUNTIF(Vertices[Eigenvector Centrality],"&gt;="&amp;N14)</f>
        <v>0</v>
      </c>
      <c r="P13" s="36">
        <f t="shared" si="7"/>
        <v>0.01341158823529412</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543</v>
      </c>
      <c r="B14" s="31">
        <v>173</v>
      </c>
      <c r="D14" s="29">
        <f t="shared" si="1"/>
        <v>0</v>
      </c>
      <c r="E14">
        <f>COUNTIF(Vertices[Degree],"&gt;= "&amp;D14)-COUNTIF(Vertices[Degree],"&gt;="&amp;D15)</f>
        <v>0</v>
      </c>
      <c r="F14" s="34">
        <f t="shared" si="2"/>
        <v>7.4117647058823515</v>
      </c>
      <c r="G14" s="35">
        <f>COUNTIF(Vertices[In-Degree],"&gt;= "&amp;F14)-COUNTIF(Vertices[In-Degree],"&gt;="&amp;F15)</f>
        <v>0</v>
      </c>
      <c r="H14" s="34">
        <f t="shared" si="3"/>
        <v>36.352941176470594</v>
      </c>
      <c r="I14" s="35">
        <f>COUNTIF(Vertices[Out-Degree],"&gt;= "&amp;H14)-COUNTIF(Vertices[Out-Degree],"&gt;="&amp;H15)</f>
        <v>0</v>
      </c>
      <c r="J14" s="34">
        <f t="shared" si="4"/>
        <v>19237.45526435294</v>
      </c>
      <c r="K14" s="35">
        <f>COUNTIF(Vertices[Betweenness Centrality],"&gt;= "&amp;J14)-COUNTIF(Vertices[Betweenness Centrality],"&gt;="&amp;J15)</f>
        <v>1</v>
      </c>
      <c r="L14" s="34">
        <f t="shared" si="5"/>
        <v>0.16696411764705876</v>
      </c>
      <c r="M14" s="35">
        <f>COUNTIF(Vertices[Closeness Centrality],"&gt;= "&amp;L14)-COUNTIF(Vertices[Closeness Centrality],"&gt;="&amp;L15)</f>
        <v>0</v>
      </c>
      <c r="N14" s="34">
        <f t="shared" si="6"/>
        <v>0.2224905882352942</v>
      </c>
      <c r="O14" s="35">
        <f>COUNTIF(Vertices[Eigenvector Centrality],"&gt;= "&amp;N14)-COUNTIF(Vertices[Eigenvector Centrality],"&gt;="&amp;N15)</f>
        <v>0</v>
      </c>
      <c r="P14" s="34">
        <f t="shared" si="7"/>
        <v>0.014630823529411767</v>
      </c>
      <c r="Q14" s="35">
        <f>COUNTIF(Vertices[PageRank],"&gt;= "&amp;P14)-COUNTIF(Vertices[PageRank],"&gt;="&amp;P15)</f>
        <v>2</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540</v>
      </c>
      <c r="B15" s="31">
        <v>45</v>
      </c>
      <c r="D15" s="29">
        <f t="shared" si="1"/>
        <v>0</v>
      </c>
      <c r="E15">
        <f>COUNTIF(Vertices[Degree],"&gt;= "&amp;D15)-COUNTIF(Vertices[Degree],"&gt;="&amp;D16)</f>
        <v>0</v>
      </c>
      <c r="F15" s="36">
        <f t="shared" si="2"/>
        <v>8.02941176470588</v>
      </c>
      <c r="G15" s="37">
        <f>COUNTIF(Vertices[In-Degree],"&gt;= "&amp;F15)-COUNTIF(Vertices[In-Degree],"&gt;="&amp;F16)</f>
        <v>0</v>
      </c>
      <c r="H15" s="36">
        <f t="shared" si="3"/>
        <v>39.38235294117648</v>
      </c>
      <c r="I15" s="37">
        <f>COUNTIF(Vertices[Out-Degree],"&gt;= "&amp;H15)-COUNTIF(Vertices[Out-Degree],"&gt;="&amp;H16)</f>
        <v>1</v>
      </c>
      <c r="J15" s="36">
        <f t="shared" si="4"/>
        <v>20840.576536382352</v>
      </c>
      <c r="K15" s="37">
        <f>COUNTIF(Vertices[Betweenness Centrality],"&gt;= "&amp;J15)-COUNTIF(Vertices[Betweenness Centrality],"&gt;="&amp;J16)</f>
        <v>0</v>
      </c>
      <c r="L15" s="36">
        <f t="shared" si="5"/>
        <v>0.18087779411764698</v>
      </c>
      <c r="M15" s="37">
        <f>COUNTIF(Vertices[Closeness Centrality],"&gt;= "&amp;L15)-COUNTIF(Vertices[Closeness Centrality],"&gt;="&amp;L16)</f>
        <v>0</v>
      </c>
      <c r="N15" s="36">
        <f t="shared" si="6"/>
        <v>0.24103147058823537</v>
      </c>
      <c r="O15" s="37">
        <f>COUNTIF(Vertices[Eigenvector Centrality],"&gt;= "&amp;N15)-COUNTIF(Vertices[Eigenvector Centrality],"&gt;="&amp;N16)</f>
        <v>0</v>
      </c>
      <c r="P15" s="36">
        <f t="shared" si="7"/>
        <v>0.015850058823529415</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542</v>
      </c>
      <c r="B16" s="31">
        <v>14</v>
      </c>
      <c r="D16" s="29">
        <f t="shared" si="1"/>
        <v>0</v>
      </c>
      <c r="E16">
        <f>COUNTIF(Vertices[Degree],"&gt;= "&amp;D16)-COUNTIF(Vertices[Degree],"&gt;="&amp;D17)</f>
        <v>0</v>
      </c>
      <c r="F16" s="34">
        <f t="shared" si="2"/>
        <v>8.64705882352941</v>
      </c>
      <c r="G16" s="35">
        <f>COUNTIF(Vertices[In-Degree],"&gt;= "&amp;F16)-COUNTIF(Vertices[In-Degree],"&gt;="&amp;F17)</f>
        <v>0</v>
      </c>
      <c r="H16" s="34">
        <f t="shared" si="3"/>
        <v>42.41176470588236</v>
      </c>
      <c r="I16" s="35">
        <f>COUNTIF(Vertices[Out-Degree],"&gt;= "&amp;H16)-COUNTIF(Vertices[Out-Degree],"&gt;="&amp;H17)</f>
        <v>0</v>
      </c>
      <c r="J16" s="34">
        <f t="shared" si="4"/>
        <v>22443.697808411765</v>
      </c>
      <c r="K16" s="35">
        <f>COUNTIF(Vertices[Betweenness Centrality],"&gt;= "&amp;J16)-COUNTIF(Vertices[Betweenness Centrality],"&gt;="&amp;J17)</f>
        <v>0</v>
      </c>
      <c r="L16" s="34">
        <f t="shared" si="5"/>
        <v>0.1947914705882352</v>
      </c>
      <c r="M16" s="35">
        <f>COUNTIF(Vertices[Closeness Centrality],"&gt;= "&amp;L16)-COUNTIF(Vertices[Closeness Centrality],"&gt;="&amp;L17)</f>
        <v>10</v>
      </c>
      <c r="N16" s="34">
        <f t="shared" si="6"/>
        <v>0.25957235294117653</v>
      </c>
      <c r="O16" s="35">
        <f>COUNTIF(Vertices[Eigenvector Centrality],"&gt;= "&amp;N16)-COUNTIF(Vertices[Eigenvector Centrality],"&gt;="&amp;N17)</f>
        <v>0</v>
      </c>
      <c r="P16" s="34">
        <f t="shared" si="7"/>
        <v>0.01706929411764706</v>
      </c>
      <c r="Q16" s="35">
        <f>COUNTIF(Vertices[PageRank],"&gt;= "&amp;P16)-COUNTIF(Vertices[PageRank],"&gt;="&amp;P17)</f>
        <v>1</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544</v>
      </c>
      <c r="B17" s="31">
        <v>15</v>
      </c>
      <c r="D17" s="29">
        <f t="shared" si="1"/>
        <v>0</v>
      </c>
      <c r="E17">
        <f>COUNTIF(Vertices[Degree],"&gt;= "&amp;D17)-COUNTIF(Vertices[Degree],"&gt;="&amp;D18)</f>
        <v>0</v>
      </c>
      <c r="F17" s="36">
        <f t="shared" si="2"/>
        <v>9.264705882352938</v>
      </c>
      <c r="G17" s="37">
        <f>COUNTIF(Vertices[In-Degree],"&gt;= "&amp;F17)-COUNTIF(Vertices[In-Degree],"&gt;="&amp;F18)</f>
        <v>0</v>
      </c>
      <c r="H17" s="36">
        <f t="shared" si="3"/>
        <v>45.441176470588246</v>
      </c>
      <c r="I17" s="37">
        <f>COUNTIF(Vertices[Out-Degree],"&gt;= "&amp;H17)-COUNTIF(Vertices[Out-Degree],"&gt;="&amp;H18)</f>
        <v>0</v>
      </c>
      <c r="J17" s="36">
        <f t="shared" si="4"/>
        <v>24046.81908044118</v>
      </c>
      <c r="K17" s="37">
        <f>COUNTIF(Vertices[Betweenness Centrality],"&gt;= "&amp;J17)-COUNTIF(Vertices[Betweenness Centrality],"&gt;="&amp;J18)</f>
        <v>0</v>
      </c>
      <c r="L17" s="36">
        <f t="shared" si="5"/>
        <v>0.20870514705882343</v>
      </c>
      <c r="M17" s="37">
        <f>COUNTIF(Vertices[Closeness Centrality],"&gt;= "&amp;L17)-COUNTIF(Vertices[Closeness Centrality],"&gt;="&amp;L18)</f>
        <v>0</v>
      </c>
      <c r="N17" s="36">
        <f t="shared" si="6"/>
        <v>0.2781132352941177</v>
      </c>
      <c r="O17" s="37">
        <f>COUNTIF(Vertices[Eigenvector Centrality],"&gt;= "&amp;N17)-COUNTIF(Vertices[Eigenvector Centrality],"&gt;="&amp;N18)</f>
        <v>1</v>
      </c>
      <c r="P17" s="36">
        <f t="shared" si="7"/>
        <v>0.018288529411764707</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541</v>
      </c>
      <c r="B18" s="31">
        <v>107</v>
      </c>
      <c r="D18" s="29">
        <f t="shared" si="1"/>
        <v>0</v>
      </c>
      <c r="E18">
        <f>COUNTIF(Vertices[Degree],"&gt;= "&amp;D18)-COUNTIF(Vertices[Degree],"&gt;="&amp;D19)</f>
        <v>0</v>
      </c>
      <c r="F18" s="34">
        <f t="shared" si="2"/>
        <v>9.882352941176467</v>
      </c>
      <c r="G18" s="35">
        <f>COUNTIF(Vertices[In-Degree],"&gt;= "&amp;F18)-COUNTIF(Vertices[In-Degree],"&gt;="&amp;F19)</f>
        <v>0</v>
      </c>
      <c r="H18" s="34">
        <f t="shared" si="3"/>
        <v>48.47058823529413</v>
      </c>
      <c r="I18" s="35">
        <f>COUNTIF(Vertices[Out-Degree],"&gt;= "&amp;H18)-COUNTIF(Vertices[Out-Degree],"&gt;="&amp;H19)</f>
        <v>0</v>
      </c>
      <c r="J18" s="34">
        <f t="shared" si="4"/>
        <v>25649.940352470592</v>
      </c>
      <c r="K18" s="35">
        <f>COUNTIF(Vertices[Betweenness Centrality],"&gt;= "&amp;J18)-COUNTIF(Vertices[Betweenness Centrality],"&gt;="&amp;J19)</f>
        <v>0</v>
      </c>
      <c r="L18" s="34">
        <f t="shared" si="5"/>
        <v>0.22261882352941165</v>
      </c>
      <c r="M18" s="35">
        <f>COUNTIF(Vertices[Closeness Centrality],"&gt;= "&amp;L18)-COUNTIF(Vertices[Closeness Centrality],"&gt;="&amp;L19)</f>
        <v>0</v>
      </c>
      <c r="N18" s="34">
        <f t="shared" si="6"/>
        <v>0.29665411764705885</v>
      </c>
      <c r="O18" s="35">
        <f>COUNTIF(Vertices[Eigenvector Centrality],"&gt;= "&amp;N18)-COUNTIF(Vertices[Eigenvector Centrality],"&gt;="&amp;N19)</f>
        <v>0</v>
      </c>
      <c r="P18" s="34">
        <f t="shared" si="7"/>
        <v>0.019507764705882353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10.499999999999996</v>
      </c>
      <c r="G19" s="37">
        <f>COUNTIF(Vertices[In-Degree],"&gt;= "&amp;F19)-COUNTIF(Vertices[In-Degree],"&gt;="&amp;F20)</f>
        <v>0</v>
      </c>
      <c r="H19" s="36">
        <f t="shared" si="3"/>
        <v>51.500000000000014</v>
      </c>
      <c r="I19" s="37">
        <f>COUNTIF(Vertices[Out-Degree],"&gt;= "&amp;H19)-COUNTIF(Vertices[Out-Degree],"&gt;="&amp;H20)</f>
        <v>0</v>
      </c>
      <c r="J19" s="36">
        <f t="shared" si="4"/>
        <v>27253.061624500006</v>
      </c>
      <c r="K19" s="37">
        <f>COUNTIF(Vertices[Betweenness Centrality],"&gt;= "&amp;J19)-COUNTIF(Vertices[Betweenness Centrality],"&gt;="&amp;J20)</f>
        <v>0</v>
      </c>
      <c r="L19" s="36">
        <f t="shared" si="5"/>
        <v>0.23653249999999987</v>
      </c>
      <c r="M19" s="37">
        <f>COUNTIF(Vertices[Closeness Centrality],"&gt;= "&amp;L19)-COUNTIF(Vertices[Closeness Centrality],"&gt;="&amp;L20)</f>
        <v>84</v>
      </c>
      <c r="N19" s="36">
        <f t="shared" si="6"/>
        <v>0.315195</v>
      </c>
      <c r="O19" s="37">
        <f>COUNTIF(Vertices[Eigenvector Centrality],"&gt;= "&amp;N19)-COUNTIF(Vertices[Eigenvector Centrality],"&gt;="&amp;N20)</f>
        <v>0</v>
      </c>
      <c r="P19" s="36">
        <f t="shared" si="7"/>
        <v>0.020727</v>
      </c>
      <c r="Q19" s="37">
        <f>COUNTIF(Vertices[PageRank],"&gt;= "&amp;P19)-COUNTIF(Vertices[PageRank],"&gt;="&amp;P20)</f>
        <v>0</v>
      </c>
      <c r="R19" s="36">
        <f t="shared" si="8"/>
        <v>0.5</v>
      </c>
      <c r="S19" s="41">
        <f>COUNTIF(Vertices[Clustering Coefficient],"&gt;= "&amp;R19)-COUNTIF(Vertices[Clustering Coefficient],"&gt;="&amp;R20)</f>
        <v>24</v>
      </c>
      <c r="T19" s="36" t="e">
        <f ca="1" t="shared" si="9"/>
        <v>#REF!</v>
      </c>
      <c r="U19" s="37" t="e">
        <f ca="1" t="shared" si="0"/>
        <v>#REF!</v>
      </c>
    </row>
    <row r="20" spans="1:21" ht="15">
      <c r="A20" s="31" t="s">
        <v>151</v>
      </c>
      <c r="B20" s="31">
        <v>46</v>
      </c>
      <c r="D20" s="29">
        <f t="shared" si="1"/>
        <v>0</v>
      </c>
      <c r="E20">
        <f>COUNTIF(Vertices[Degree],"&gt;= "&amp;D20)-COUNTIF(Vertices[Degree],"&gt;="&amp;D21)</f>
        <v>0</v>
      </c>
      <c r="F20" s="34">
        <f t="shared" si="2"/>
        <v>11.117647058823525</v>
      </c>
      <c r="G20" s="35">
        <f>COUNTIF(Vertices[In-Degree],"&gt;= "&amp;F20)-COUNTIF(Vertices[In-Degree],"&gt;="&amp;F21)</f>
        <v>0</v>
      </c>
      <c r="H20" s="34">
        <f t="shared" si="3"/>
        <v>54.5294117647059</v>
      </c>
      <c r="I20" s="35">
        <f>COUNTIF(Vertices[Out-Degree],"&gt;= "&amp;H20)-COUNTIF(Vertices[Out-Degree],"&gt;="&amp;H21)</f>
        <v>0</v>
      </c>
      <c r="J20" s="34">
        <f t="shared" si="4"/>
        <v>28856.18289652942</v>
      </c>
      <c r="K20" s="35">
        <f>COUNTIF(Vertices[Betweenness Centrality],"&gt;= "&amp;J20)-COUNTIF(Vertices[Betweenness Centrality],"&gt;="&amp;J21)</f>
        <v>0</v>
      </c>
      <c r="L20" s="34">
        <f t="shared" si="5"/>
        <v>0.2504461764705881</v>
      </c>
      <c r="M20" s="35">
        <f>COUNTIF(Vertices[Closeness Centrality],"&gt;= "&amp;L20)-COUNTIF(Vertices[Closeness Centrality],"&gt;="&amp;L21)</f>
        <v>49</v>
      </c>
      <c r="N20" s="34">
        <f t="shared" si="6"/>
        <v>0.33373588235294116</v>
      </c>
      <c r="O20" s="35">
        <f>COUNTIF(Vertices[Eigenvector Centrality],"&gt;= "&amp;N20)-COUNTIF(Vertices[Eigenvector Centrality],"&gt;="&amp;N21)</f>
        <v>0</v>
      </c>
      <c r="P20" s="34">
        <f t="shared" si="7"/>
        <v>0.021946235294117645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1"/>
      <c r="B21" s="111"/>
      <c r="D21" s="29">
        <f t="shared" si="1"/>
        <v>0</v>
      </c>
      <c r="E21">
        <f>COUNTIF(Vertices[Degree],"&gt;= "&amp;D21)-COUNTIF(Vertices[Degree],"&gt;="&amp;D22)</f>
        <v>0</v>
      </c>
      <c r="F21" s="36">
        <f t="shared" si="2"/>
        <v>11.735294117647054</v>
      </c>
      <c r="G21" s="37">
        <f>COUNTIF(Vertices[In-Degree],"&gt;= "&amp;F21)-COUNTIF(Vertices[In-Degree],"&gt;="&amp;F22)</f>
        <v>0</v>
      </c>
      <c r="H21" s="36">
        <f t="shared" si="3"/>
        <v>57.55882352941178</v>
      </c>
      <c r="I21" s="37">
        <f>COUNTIF(Vertices[Out-Degree],"&gt;= "&amp;H21)-COUNTIF(Vertices[Out-Degree],"&gt;="&amp;H22)</f>
        <v>0</v>
      </c>
      <c r="J21" s="36">
        <f t="shared" si="4"/>
        <v>30459.304168558832</v>
      </c>
      <c r="K21" s="37">
        <f>COUNTIF(Vertices[Betweenness Centrality],"&gt;= "&amp;J21)-COUNTIF(Vertices[Betweenness Centrality],"&gt;="&amp;J22)</f>
        <v>0</v>
      </c>
      <c r="L21" s="36">
        <f t="shared" si="5"/>
        <v>0.2643598529411763</v>
      </c>
      <c r="M21" s="37">
        <f>COUNTIF(Vertices[Closeness Centrality],"&gt;= "&amp;L21)-COUNTIF(Vertices[Closeness Centrality],"&gt;="&amp;L22)</f>
        <v>0</v>
      </c>
      <c r="N21" s="36">
        <f t="shared" si="6"/>
        <v>0.3522767647058823</v>
      </c>
      <c r="O21" s="37">
        <f>COUNTIF(Vertices[Eigenvector Centrality],"&gt;= "&amp;N21)-COUNTIF(Vertices[Eigenvector Centrality],"&gt;="&amp;N22)</f>
        <v>0</v>
      </c>
      <c r="P21" s="36">
        <f t="shared" si="7"/>
        <v>0.02316547058823529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0.03902439024390244</v>
      </c>
      <c r="D22" s="29">
        <f t="shared" si="1"/>
        <v>0</v>
      </c>
      <c r="E22">
        <f>COUNTIF(Vertices[Degree],"&gt;= "&amp;D22)-COUNTIF(Vertices[Degree],"&gt;="&amp;D23)</f>
        <v>0</v>
      </c>
      <c r="F22" s="34">
        <f t="shared" si="2"/>
        <v>12.352941176470583</v>
      </c>
      <c r="G22" s="35">
        <f>COUNTIF(Vertices[In-Degree],"&gt;= "&amp;F22)-COUNTIF(Vertices[In-Degree],"&gt;="&amp;F23)</f>
        <v>0</v>
      </c>
      <c r="H22" s="34">
        <f t="shared" si="3"/>
        <v>60.588235294117666</v>
      </c>
      <c r="I22" s="35">
        <f>COUNTIF(Vertices[Out-Degree],"&gt;= "&amp;H22)-COUNTIF(Vertices[Out-Degree],"&gt;="&amp;H23)</f>
        <v>0</v>
      </c>
      <c r="J22" s="34">
        <f t="shared" si="4"/>
        <v>32062.425440588246</v>
      </c>
      <c r="K22" s="35">
        <f>COUNTIF(Vertices[Betweenness Centrality],"&gt;= "&amp;J22)-COUNTIF(Vertices[Betweenness Centrality],"&gt;="&amp;J23)</f>
        <v>0</v>
      </c>
      <c r="L22" s="34">
        <f t="shared" si="5"/>
        <v>0.27827352941176453</v>
      </c>
      <c r="M22" s="35">
        <f>COUNTIF(Vertices[Closeness Centrality],"&gt;= "&amp;L22)-COUNTIF(Vertices[Closeness Centrality],"&gt;="&amp;L23)</f>
        <v>0</v>
      </c>
      <c r="N22" s="34">
        <f t="shared" si="6"/>
        <v>0.3708176470588235</v>
      </c>
      <c r="O22" s="35">
        <f>COUNTIF(Vertices[Eigenvector Centrality],"&gt;= "&amp;N22)-COUNTIF(Vertices[Eigenvector Centrality],"&gt;="&amp;N23)</f>
        <v>0</v>
      </c>
      <c r="P22" s="34">
        <f t="shared" si="7"/>
        <v>0.024384705882352937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0.07511737089201878</v>
      </c>
      <c r="D23" s="29">
        <f t="shared" si="1"/>
        <v>0</v>
      </c>
      <c r="E23">
        <f>COUNTIF(Vertices[Degree],"&gt;= "&amp;D23)-COUNTIF(Vertices[Degree],"&gt;="&amp;D24)</f>
        <v>0</v>
      </c>
      <c r="F23" s="36">
        <f t="shared" si="2"/>
        <v>12.970588235294112</v>
      </c>
      <c r="G23" s="37">
        <f>COUNTIF(Vertices[In-Degree],"&gt;= "&amp;F23)-COUNTIF(Vertices[In-Degree],"&gt;="&amp;F24)</f>
        <v>0</v>
      </c>
      <c r="H23" s="36">
        <f t="shared" si="3"/>
        <v>63.61764705882355</v>
      </c>
      <c r="I23" s="37">
        <f>COUNTIF(Vertices[Out-Degree],"&gt;= "&amp;H23)-COUNTIF(Vertices[Out-Degree],"&gt;="&amp;H24)</f>
        <v>0</v>
      </c>
      <c r="J23" s="36">
        <f t="shared" si="4"/>
        <v>33665.54671261766</v>
      </c>
      <c r="K23" s="37">
        <f>COUNTIF(Vertices[Betweenness Centrality],"&gt;= "&amp;J23)-COUNTIF(Vertices[Betweenness Centrality],"&gt;="&amp;J24)</f>
        <v>0</v>
      </c>
      <c r="L23" s="36">
        <f t="shared" si="5"/>
        <v>0.29218720588235275</v>
      </c>
      <c r="M23" s="37">
        <f>COUNTIF(Vertices[Closeness Centrality],"&gt;= "&amp;L23)-COUNTIF(Vertices[Closeness Centrality],"&gt;="&amp;L24)</f>
        <v>0</v>
      </c>
      <c r="N23" s="36">
        <f t="shared" si="6"/>
        <v>0.38935852941176463</v>
      </c>
      <c r="O23" s="37">
        <f>COUNTIF(Vertices[Eigenvector Centrality],"&gt;= "&amp;N23)-COUNTIF(Vertices[Eigenvector Centrality],"&gt;="&amp;N24)</f>
        <v>0</v>
      </c>
      <c r="P23" s="36">
        <f t="shared" si="7"/>
        <v>0.025603941176470583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1"/>
      <c r="B24" s="111"/>
      <c r="D24" s="29">
        <f t="shared" si="1"/>
        <v>0</v>
      </c>
      <c r="E24">
        <f>COUNTIF(Vertices[Degree],"&gt;= "&amp;D24)-COUNTIF(Vertices[Degree],"&gt;="&amp;D25)</f>
        <v>0</v>
      </c>
      <c r="F24" s="34">
        <f t="shared" si="2"/>
        <v>13.588235294117641</v>
      </c>
      <c r="G24" s="35">
        <f>COUNTIF(Vertices[In-Degree],"&gt;= "&amp;F24)-COUNTIF(Vertices[In-Degree],"&gt;="&amp;F25)</f>
        <v>0</v>
      </c>
      <c r="H24" s="34">
        <f t="shared" si="3"/>
        <v>66.64705882352943</v>
      </c>
      <c r="I24" s="35">
        <f>COUNTIF(Vertices[Out-Degree],"&gt;= "&amp;H24)-COUNTIF(Vertices[Out-Degree],"&gt;="&amp;H25)</f>
        <v>0</v>
      </c>
      <c r="J24" s="34">
        <f t="shared" si="4"/>
        <v>35268.66798464707</v>
      </c>
      <c r="K24" s="35">
        <f>COUNTIF(Vertices[Betweenness Centrality],"&gt;= "&amp;J24)-COUNTIF(Vertices[Betweenness Centrality],"&gt;="&amp;J25)</f>
        <v>0</v>
      </c>
      <c r="L24" s="34">
        <f t="shared" si="5"/>
        <v>0.306100882352941</v>
      </c>
      <c r="M24" s="35">
        <f>COUNTIF(Vertices[Closeness Centrality],"&gt;= "&amp;L24)-COUNTIF(Vertices[Closeness Centrality],"&gt;="&amp;L25)</f>
        <v>129</v>
      </c>
      <c r="N24" s="34">
        <f t="shared" si="6"/>
        <v>0.4078994117647058</v>
      </c>
      <c r="O24" s="35">
        <f>COUNTIF(Vertices[Eigenvector Centrality],"&gt;= "&amp;N24)-COUNTIF(Vertices[Eigenvector Centrality],"&gt;="&amp;N25)</f>
        <v>0</v>
      </c>
      <c r="P24" s="34">
        <f t="shared" si="7"/>
        <v>0.02682317647058823</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31" t="s">
        <v>152</v>
      </c>
      <c r="B25" s="31">
        <v>16</v>
      </c>
      <c r="D25" s="29">
        <f t="shared" si="1"/>
        <v>0</v>
      </c>
      <c r="E25">
        <f>COUNTIF(Vertices[Degree],"&gt;= "&amp;D25)-COUNTIF(Vertices[Degree],"&gt;="&amp;D26)</f>
        <v>0</v>
      </c>
      <c r="F25" s="36">
        <f t="shared" si="2"/>
        <v>14.20588235294117</v>
      </c>
      <c r="G25" s="37">
        <f>COUNTIF(Vertices[In-Degree],"&gt;= "&amp;F25)-COUNTIF(Vertices[In-Degree],"&gt;="&amp;F26)</f>
        <v>0</v>
      </c>
      <c r="H25" s="36">
        <f t="shared" si="3"/>
        <v>69.67647058823532</v>
      </c>
      <c r="I25" s="37">
        <f>COUNTIF(Vertices[Out-Degree],"&gt;= "&amp;H25)-COUNTIF(Vertices[Out-Degree],"&gt;="&amp;H26)</f>
        <v>0</v>
      </c>
      <c r="J25" s="36">
        <f t="shared" si="4"/>
        <v>36871.789256676486</v>
      </c>
      <c r="K25" s="37">
        <f>COUNTIF(Vertices[Betweenness Centrality],"&gt;= "&amp;J25)-COUNTIF(Vertices[Betweenness Centrality],"&gt;="&amp;J26)</f>
        <v>0</v>
      </c>
      <c r="L25" s="36">
        <f t="shared" si="5"/>
        <v>0.3200145588235292</v>
      </c>
      <c r="M25" s="37">
        <f>COUNTIF(Vertices[Closeness Centrality],"&gt;= "&amp;L25)-COUNTIF(Vertices[Closeness Centrality],"&gt;="&amp;L26)</f>
        <v>9</v>
      </c>
      <c r="N25" s="36">
        <f t="shared" si="6"/>
        <v>0.42644029411764695</v>
      </c>
      <c r="O25" s="37">
        <f>COUNTIF(Vertices[Eigenvector Centrality],"&gt;= "&amp;N25)-COUNTIF(Vertices[Eigenvector Centrality],"&gt;="&amp;N26)</f>
        <v>0</v>
      </c>
      <c r="P25" s="36">
        <f t="shared" si="7"/>
        <v>0.028042411764705875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11</v>
      </c>
      <c r="D26" s="29">
        <f t="shared" si="1"/>
        <v>0</v>
      </c>
      <c r="E26">
        <f>COUNTIF(Vertices[Degree],"&gt;= "&amp;D26)-COUNTIF(Vertices[Degree],"&gt;="&amp;D27)</f>
        <v>0</v>
      </c>
      <c r="F26" s="34">
        <f t="shared" si="2"/>
        <v>14.8235294117647</v>
      </c>
      <c r="G26" s="35">
        <f>COUNTIF(Vertices[In-Degree],"&gt;= "&amp;F26)-COUNTIF(Vertices[In-Degree],"&gt;="&amp;F27)</f>
        <v>0</v>
      </c>
      <c r="H26" s="34">
        <f t="shared" si="3"/>
        <v>72.7058823529412</v>
      </c>
      <c r="I26" s="35">
        <f>COUNTIF(Vertices[Out-Degree],"&gt;= "&amp;H26)-COUNTIF(Vertices[Out-Degree],"&gt;="&amp;H27)</f>
        <v>0</v>
      </c>
      <c r="J26" s="34">
        <f t="shared" si="4"/>
        <v>38474.9105287059</v>
      </c>
      <c r="K26" s="35">
        <f>COUNTIF(Vertices[Betweenness Centrality],"&gt;= "&amp;J26)-COUNTIF(Vertices[Betweenness Centrality],"&gt;="&amp;J27)</f>
        <v>0</v>
      </c>
      <c r="L26" s="34">
        <f t="shared" si="5"/>
        <v>0.3339282352941174</v>
      </c>
      <c r="M26" s="35">
        <f>COUNTIF(Vertices[Closeness Centrality],"&gt;= "&amp;L26)-COUNTIF(Vertices[Closeness Centrality],"&gt;="&amp;L27)</f>
        <v>8</v>
      </c>
      <c r="N26" s="34">
        <f t="shared" si="6"/>
        <v>0.4449811764705881</v>
      </c>
      <c r="O26" s="35">
        <f>COUNTIF(Vertices[Eigenvector Centrality],"&gt;= "&amp;N26)-COUNTIF(Vertices[Eigenvector Centrality],"&gt;="&amp;N27)</f>
        <v>0</v>
      </c>
      <c r="P26" s="34">
        <f t="shared" si="7"/>
        <v>0.02926164705882352</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296</v>
      </c>
      <c r="D27" s="29">
        <f t="shared" si="1"/>
        <v>0</v>
      </c>
      <c r="E27">
        <f>COUNTIF(Vertices[Degree],"&gt;= "&amp;D27)-COUNTIF(Vertices[Degree],"&gt;="&amp;D28)</f>
        <v>0</v>
      </c>
      <c r="F27" s="36">
        <f t="shared" si="2"/>
        <v>15.441176470588228</v>
      </c>
      <c r="G27" s="37">
        <f>COUNTIF(Vertices[In-Degree],"&gt;= "&amp;F27)-COUNTIF(Vertices[In-Degree],"&gt;="&amp;F28)</f>
        <v>0</v>
      </c>
      <c r="H27" s="36">
        <f t="shared" si="3"/>
        <v>75.73529411764709</v>
      </c>
      <c r="I27" s="37">
        <f>COUNTIF(Vertices[Out-Degree],"&gt;= "&amp;H27)-COUNTIF(Vertices[Out-Degree],"&gt;="&amp;H28)</f>
        <v>0</v>
      </c>
      <c r="J27" s="36">
        <f t="shared" si="4"/>
        <v>40078.03180073531</v>
      </c>
      <c r="K27" s="37">
        <f>COUNTIF(Vertices[Betweenness Centrality],"&gt;= "&amp;J27)-COUNTIF(Vertices[Betweenness Centrality],"&gt;="&amp;J28)</f>
        <v>0</v>
      </c>
      <c r="L27" s="36">
        <f t="shared" si="5"/>
        <v>0.34784191176470564</v>
      </c>
      <c r="M27" s="37">
        <f>COUNTIF(Vertices[Closeness Centrality],"&gt;= "&amp;L27)-COUNTIF(Vertices[Closeness Centrality],"&gt;="&amp;L28)</f>
        <v>2</v>
      </c>
      <c r="N27" s="36">
        <f t="shared" si="6"/>
        <v>0.46352205882352926</v>
      </c>
      <c r="O27" s="37">
        <f>COUNTIF(Vertices[Eigenvector Centrality],"&gt;= "&amp;N27)-COUNTIF(Vertices[Eigenvector Centrality],"&gt;="&amp;N28)</f>
        <v>0</v>
      </c>
      <c r="P27" s="36">
        <f t="shared" si="7"/>
        <v>0.030480882352941167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787</v>
      </c>
      <c r="D28" s="29">
        <f t="shared" si="1"/>
        <v>0</v>
      </c>
      <c r="E28">
        <f>COUNTIF(Vertices[Degree],"&gt;= "&amp;D28)-COUNTIF(Vertices[Degree],"&gt;="&amp;D29)</f>
        <v>0</v>
      </c>
      <c r="F28" s="34">
        <f t="shared" si="2"/>
        <v>16.058823529411757</v>
      </c>
      <c r="G28" s="35">
        <f>COUNTIF(Vertices[In-Degree],"&gt;= "&amp;F28)-COUNTIF(Vertices[In-Degree],"&gt;="&amp;F29)</f>
        <v>0</v>
      </c>
      <c r="H28" s="34">
        <f t="shared" si="3"/>
        <v>78.76470588235297</v>
      </c>
      <c r="I28" s="35">
        <f>COUNTIF(Vertices[Out-Degree],"&gt;= "&amp;H28)-COUNTIF(Vertices[Out-Degree],"&gt;="&amp;H29)</f>
        <v>0</v>
      </c>
      <c r="J28" s="34">
        <f t="shared" si="4"/>
        <v>41681.153072764726</v>
      </c>
      <c r="K28" s="35">
        <f>COUNTIF(Vertices[Betweenness Centrality],"&gt;= "&amp;J28)-COUNTIF(Vertices[Betweenness Centrality],"&gt;="&amp;J29)</f>
        <v>0</v>
      </c>
      <c r="L28" s="34">
        <f t="shared" si="5"/>
        <v>0.36175558823529386</v>
      </c>
      <c r="M28" s="35">
        <f>COUNTIF(Vertices[Closeness Centrality],"&gt;= "&amp;L28)-COUNTIF(Vertices[Closeness Centrality],"&gt;="&amp;L29)</f>
        <v>2</v>
      </c>
      <c r="N28" s="34">
        <f t="shared" si="6"/>
        <v>0.4820629411764704</v>
      </c>
      <c r="O28" s="35">
        <f>COUNTIF(Vertices[Eigenvector Centrality],"&gt;= "&amp;N28)-COUNTIF(Vertices[Eigenvector Centrality],"&gt;="&amp;N29)</f>
        <v>0</v>
      </c>
      <c r="P28" s="34">
        <f t="shared" si="7"/>
        <v>0.031700117647058816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1"/>
      <c r="B29" s="111"/>
      <c r="D29" s="29">
        <f t="shared" si="1"/>
        <v>0</v>
      </c>
      <c r="E29">
        <f>COUNTIF(Vertices[Degree],"&gt;= "&amp;D29)-COUNTIF(Vertices[Degree],"&gt;="&amp;D30)</f>
        <v>0</v>
      </c>
      <c r="F29" s="36">
        <f t="shared" si="2"/>
        <v>16.676470588235286</v>
      </c>
      <c r="G29" s="37">
        <f>COUNTIF(Vertices[In-Degree],"&gt;= "&amp;F29)-COUNTIF(Vertices[In-Degree],"&gt;="&amp;F30)</f>
        <v>0</v>
      </c>
      <c r="H29" s="36">
        <f t="shared" si="3"/>
        <v>81.79411764705885</v>
      </c>
      <c r="I29" s="37">
        <f>COUNTIF(Vertices[Out-Degree],"&gt;= "&amp;H29)-COUNTIF(Vertices[Out-Degree],"&gt;="&amp;H30)</f>
        <v>0</v>
      </c>
      <c r="J29" s="36">
        <f t="shared" si="4"/>
        <v>43284.27434479414</v>
      </c>
      <c r="K29" s="37">
        <f>COUNTIF(Vertices[Betweenness Centrality],"&gt;= "&amp;J29)-COUNTIF(Vertices[Betweenness Centrality],"&gt;="&amp;J30)</f>
        <v>0</v>
      </c>
      <c r="L29" s="36">
        <f t="shared" si="5"/>
        <v>0.3756692647058821</v>
      </c>
      <c r="M29" s="37">
        <f>COUNTIF(Vertices[Closeness Centrality],"&gt;= "&amp;L29)-COUNTIF(Vertices[Closeness Centrality],"&gt;="&amp;L30)</f>
        <v>1</v>
      </c>
      <c r="N29" s="36">
        <f t="shared" si="6"/>
        <v>0.5006038235294116</v>
      </c>
      <c r="O29" s="37">
        <f>COUNTIF(Vertices[Eigenvector Centrality],"&gt;= "&amp;N29)-COUNTIF(Vertices[Eigenvector Centrality],"&gt;="&amp;N30)</f>
        <v>0</v>
      </c>
      <c r="P29" s="36">
        <f t="shared" si="7"/>
        <v>0.03291935294117646</v>
      </c>
      <c r="Q29" s="37">
        <f>COUNTIF(Vertices[PageRank],"&gt;= "&amp;P29)-COUNTIF(Vertices[PageRank],"&gt;="&amp;P30)</f>
        <v>0</v>
      </c>
      <c r="R29" s="36">
        <f t="shared" si="8"/>
        <v>0.7941176470588236</v>
      </c>
      <c r="S29" s="41">
        <f>COUNTIF(Vertices[Clustering Coefficient],"&gt;= "&amp;R29)-COUNTIF(Vertices[Clustering Coefficient],"&gt;="&amp;R30)</f>
        <v>10</v>
      </c>
      <c r="T29" s="36" t="e">
        <f ca="1" t="shared" si="9"/>
        <v>#REF!</v>
      </c>
      <c r="U29" s="37" t="e">
        <f ca="1" t="shared" si="10"/>
        <v>#REF!</v>
      </c>
    </row>
    <row r="30" spans="1:21" ht="15">
      <c r="A30" s="31" t="s">
        <v>156</v>
      </c>
      <c r="B30" s="31">
        <v>6</v>
      </c>
      <c r="D30" s="29">
        <f t="shared" si="1"/>
        <v>0</v>
      </c>
      <c r="E30">
        <f>COUNTIF(Vertices[Degree],"&gt;= "&amp;D30)-COUNTIF(Vertices[Degree],"&gt;="&amp;D31)</f>
        <v>0</v>
      </c>
      <c r="F30" s="34">
        <f t="shared" si="2"/>
        <v>17.294117647058815</v>
      </c>
      <c r="G30" s="35">
        <f>COUNTIF(Vertices[In-Degree],"&gt;= "&amp;F30)-COUNTIF(Vertices[In-Degree],"&gt;="&amp;F31)</f>
        <v>0</v>
      </c>
      <c r="H30" s="34">
        <f t="shared" si="3"/>
        <v>84.82352941176474</v>
      </c>
      <c r="I30" s="35">
        <f>COUNTIF(Vertices[Out-Degree],"&gt;= "&amp;H30)-COUNTIF(Vertices[Out-Degree],"&gt;="&amp;H31)</f>
        <v>0</v>
      </c>
      <c r="J30" s="34">
        <f t="shared" si="4"/>
        <v>44887.39561682355</v>
      </c>
      <c r="K30" s="35">
        <f>COUNTIF(Vertices[Betweenness Centrality],"&gt;= "&amp;J30)-COUNTIF(Vertices[Betweenness Centrality],"&gt;="&amp;J31)</f>
        <v>0</v>
      </c>
      <c r="L30" s="34">
        <f t="shared" si="5"/>
        <v>0.3895829411764703</v>
      </c>
      <c r="M30" s="35">
        <f>COUNTIF(Vertices[Closeness Centrality],"&gt;= "&amp;L30)-COUNTIF(Vertices[Closeness Centrality],"&gt;="&amp;L31)</f>
        <v>0</v>
      </c>
      <c r="N30" s="34">
        <f t="shared" si="6"/>
        <v>0.5191447058823527</v>
      </c>
      <c r="O30" s="35">
        <f>COUNTIF(Vertices[Eigenvector Centrality],"&gt;= "&amp;N30)-COUNTIF(Vertices[Eigenvector Centrality],"&gt;="&amp;N31)</f>
        <v>0</v>
      </c>
      <c r="P30" s="34">
        <f t="shared" si="7"/>
        <v>0.03413858823529411</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3.379372</v>
      </c>
      <c r="D31" s="29">
        <f t="shared" si="1"/>
        <v>0</v>
      </c>
      <c r="E31">
        <f>COUNTIF(Vertices[Degree],"&gt;= "&amp;D31)-COUNTIF(Vertices[Degree],"&gt;="&amp;D32)</f>
        <v>0</v>
      </c>
      <c r="F31" s="36">
        <f t="shared" si="2"/>
        <v>17.911764705882344</v>
      </c>
      <c r="G31" s="37">
        <f>COUNTIF(Vertices[In-Degree],"&gt;= "&amp;F31)-COUNTIF(Vertices[In-Degree],"&gt;="&amp;F32)</f>
        <v>0</v>
      </c>
      <c r="H31" s="36">
        <f t="shared" si="3"/>
        <v>87.85294117647062</v>
      </c>
      <c r="I31" s="37">
        <f>COUNTIF(Vertices[Out-Degree],"&gt;= "&amp;H31)-COUNTIF(Vertices[Out-Degree],"&gt;="&amp;H32)</f>
        <v>0</v>
      </c>
      <c r="J31" s="36">
        <f t="shared" si="4"/>
        <v>46490.516888852966</v>
      </c>
      <c r="K31" s="37">
        <f>COUNTIF(Vertices[Betweenness Centrality],"&gt;= "&amp;J31)-COUNTIF(Vertices[Betweenness Centrality],"&gt;="&amp;J32)</f>
        <v>0</v>
      </c>
      <c r="L31" s="36">
        <f t="shared" si="5"/>
        <v>0.4034966176470585</v>
      </c>
      <c r="M31" s="37">
        <f>COUNTIF(Vertices[Closeness Centrality],"&gt;= "&amp;L31)-COUNTIF(Vertices[Closeness Centrality],"&gt;="&amp;L32)</f>
        <v>0</v>
      </c>
      <c r="N31" s="36">
        <f t="shared" si="6"/>
        <v>0.5376855882352939</v>
      </c>
      <c r="O31" s="37">
        <f>COUNTIF(Vertices[Eigenvector Centrality],"&gt;= "&amp;N31)-COUNTIF(Vertices[Eigenvector Centrality],"&gt;="&amp;N32)</f>
        <v>0</v>
      </c>
      <c r="P31" s="36">
        <f t="shared" si="7"/>
        <v>0.035357823529411754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1"/>
      <c r="B32" s="111"/>
      <c r="D32" s="29">
        <f t="shared" si="1"/>
        <v>0</v>
      </c>
      <c r="E32">
        <f>COUNTIF(Vertices[Degree],"&gt;= "&amp;D32)-COUNTIF(Vertices[Degree],"&gt;="&amp;D33)</f>
        <v>0</v>
      </c>
      <c r="F32" s="34">
        <f t="shared" si="2"/>
        <v>18.529411764705873</v>
      </c>
      <c r="G32" s="35">
        <f>COUNTIF(Vertices[In-Degree],"&gt;= "&amp;F32)-COUNTIF(Vertices[In-Degree],"&gt;="&amp;F33)</f>
        <v>0</v>
      </c>
      <c r="H32" s="34">
        <f t="shared" si="3"/>
        <v>90.8823529411765</v>
      </c>
      <c r="I32" s="35">
        <f>COUNTIF(Vertices[Out-Degree],"&gt;= "&amp;H32)-COUNTIF(Vertices[Out-Degree],"&gt;="&amp;H33)</f>
        <v>0</v>
      </c>
      <c r="J32" s="34">
        <f t="shared" si="4"/>
        <v>48093.63816088238</v>
      </c>
      <c r="K32" s="35">
        <f>COUNTIF(Vertices[Betweenness Centrality],"&gt;= "&amp;J32)-COUNTIF(Vertices[Betweenness Centrality],"&gt;="&amp;J33)</f>
        <v>1</v>
      </c>
      <c r="L32" s="34">
        <f t="shared" si="5"/>
        <v>0.41741029411764674</v>
      </c>
      <c r="M32" s="35">
        <f>COUNTIF(Vertices[Closeness Centrality],"&gt;= "&amp;L32)-COUNTIF(Vertices[Closeness Centrality],"&gt;="&amp;L33)</f>
        <v>0</v>
      </c>
      <c r="N32" s="34">
        <f t="shared" si="6"/>
        <v>0.556226470588235</v>
      </c>
      <c r="O32" s="35">
        <f>COUNTIF(Vertices[Eigenvector Centrality],"&gt;= "&amp;N32)-COUNTIF(Vertices[Eigenvector Centrality],"&gt;="&amp;N33)</f>
        <v>0</v>
      </c>
      <c r="P32" s="34">
        <f t="shared" si="7"/>
        <v>0.0365770588235294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0.004199444017270953</v>
      </c>
      <c r="D33" s="29">
        <f t="shared" si="1"/>
        <v>0</v>
      </c>
      <c r="E33">
        <f>COUNTIF(Vertices[Degree],"&gt;= "&amp;D33)-COUNTIF(Vertices[Degree],"&gt;="&amp;D34)</f>
        <v>0</v>
      </c>
      <c r="F33" s="36">
        <f t="shared" si="2"/>
        <v>19.147058823529402</v>
      </c>
      <c r="G33" s="37">
        <f>COUNTIF(Vertices[In-Degree],"&gt;= "&amp;F33)-COUNTIF(Vertices[In-Degree],"&gt;="&amp;F34)</f>
        <v>0</v>
      </c>
      <c r="H33" s="36">
        <f t="shared" si="3"/>
        <v>93.91176470588239</v>
      </c>
      <c r="I33" s="37">
        <f>COUNTIF(Vertices[Out-Degree],"&gt;= "&amp;H33)-COUNTIF(Vertices[Out-Degree],"&gt;="&amp;H34)</f>
        <v>0</v>
      </c>
      <c r="J33" s="36">
        <f t="shared" si="4"/>
        <v>49696.75943291179</v>
      </c>
      <c r="K33" s="37">
        <f>COUNTIF(Vertices[Betweenness Centrality],"&gt;= "&amp;J33)-COUNTIF(Vertices[Betweenness Centrality],"&gt;="&amp;J34)</f>
        <v>0</v>
      </c>
      <c r="L33" s="36">
        <f t="shared" si="5"/>
        <v>0.43132397058823496</v>
      </c>
      <c r="M33" s="37">
        <f>COUNTIF(Vertices[Closeness Centrality],"&gt;= "&amp;L33)-COUNTIF(Vertices[Closeness Centrality],"&gt;="&amp;L34)</f>
        <v>0</v>
      </c>
      <c r="N33" s="36">
        <f t="shared" si="6"/>
        <v>0.5747673529411762</v>
      </c>
      <c r="O33" s="37">
        <f>COUNTIF(Vertices[Eigenvector Centrality],"&gt;= "&amp;N33)-COUNTIF(Vertices[Eigenvector Centrality],"&gt;="&amp;N34)</f>
        <v>0</v>
      </c>
      <c r="P33" s="36">
        <f t="shared" si="7"/>
        <v>0.037796294117647046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11204</v>
      </c>
      <c r="B34" s="31">
        <v>0.445083</v>
      </c>
      <c r="D34" s="29">
        <f t="shared" si="1"/>
        <v>0</v>
      </c>
      <c r="E34">
        <f>COUNTIF(Vertices[Degree],"&gt;= "&amp;D34)-COUNTIF(Vertices[Degree],"&gt;="&amp;D35)</f>
        <v>0</v>
      </c>
      <c r="F34" s="34">
        <f t="shared" si="2"/>
        <v>19.76470588235293</v>
      </c>
      <c r="G34" s="35">
        <f>COUNTIF(Vertices[In-Degree],"&gt;= "&amp;F34)-COUNTIF(Vertices[In-Degree],"&gt;="&amp;F35)</f>
        <v>0</v>
      </c>
      <c r="H34" s="34">
        <f t="shared" si="3"/>
        <v>96.94117647058827</v>
      </c>
      <c r="I34" s="35">
        <f>COUNTIF(Vertices[Out-Degree],"&gt;= "&amp;H34)-COUNTIF(Vertices[Out-Degree],"&gt;="&amp;H35)</f>
        <v>0</v>
      </c>
      <c r="J34" s="34">
        <f t="shared" si="4"/>
        <v>51299.880704941206</v>
      </c>
      <c r="K34" s="35">
        <f>COUNTIF(Vertices[Betweenness Centrality],"&gt;= "&amp;J34)-COUNTIF(Vertices[Betweenness Centrality],"&gt;="&amp;J35)</f>
        <v>0</v>
      </c>
      <c r="L34" s="34">
        <f t="shared" si="5"/>
        <v>0.4452376470588232</v>
      </c>
      <c r="M34" s="35">
        <f>COUNTIF(Vertices[Closeness Centrality],"&gt;= "&amp;L34)-COUNTIF(Vertices[Closeness Centrality],"&gt;="&amp;L35)</f>
        <v>1</v>
      </c>
      <c r="N34" s="34">
        <f t="shared" si="6"/>
        <v>0.5933082352941174</v>
      </c>
      <c r="O34" s="35">
        <f>COUNTIF(Vertices[Eigenvector Centrality],"&gt;= "&amp;N34)-COUNTIF(Vertices[Eigenvector Centrality],"&gt;="&amp;N35)</f>
        <v>0</v>
      </c>
      <c r="P34" s="34">
        <f t="shared" si="7"/>
        <v>0.03901552941176469</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20.38235294117646</v>
      </c>
      <c r="G35" s="37">
        <f>COUNTIF(Vertices[In-Degree],"&gt;= "&amp;F35)-COUNTIF(Vertices[In-Degree],"&gt;="&amp;F36)</f>
        <v>0</v>
      </c>
      <c r="H35" s="36">
        <f t="shared" si="3"/>
        <v>99.97058823529416</v>
      </c>
      <c r="I35" s="37">
        <f>COUNTIF(Vertices[Out-Degree],"&gt;= "&amp;H35)-COUNTIF(Vertices[Out-Degree],"&gt;="&amp;H36)</f>
        <v>0</v>
      </c>
      <c r="J35" s="36">
        <f t="shared" si="4"/>
        <v>52903.00197697062</v>
      </c>
      <c r="K35" s="37">
        <f>COUNTIF(Vertices[Betweenness Centrality],"&gt;= "&amp;J35)-COUNTIF(Vertices[Betweenness Centrality],"&gt;="&amp;J36)</f>
        <v>0</v>
      </c>
      <c r="L35" s="36">
        <f t="shared" si="5"/>
        <v>0.4591513235294114</v>
      </c>
      <c r="M35" s="37">
        <f>COUNTIF(Vertices[Closeness Centrality],"&gt;= "&amp;L35)-COUNTIF(Vertices[Closeness Centrality],"&gt;="&amp;L36)</f>
        <v>0</v>
      </c>
      <c r="N35" s="36">
        <f t="shared" si="6"/>
        <v>0.6118491176470585</v>
      </c>
      <c r="O35" s="37">
        <f>COUNTIF(Vertices[Eigenvector Centrality],"&gt;= "&amp;N35)-COUNTIF(Vertices[Eigenvector Centrality],"&gt;="&amp;N36)</f>
        <v>0</v>
      </c>
      <c r="P35" s="36">
        <f t="shared" si="7"/>
        <v>0.04023476470588234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11205</v>
      </c>
      <c r="B36" s="31" t="s">
        <v>11220</v>
      </c>
      <c r="D36" s="29">
        <f>MAX(Vertices[Degree])</f>
        <v>0</v>
      </c>
      <c r="E36">
        <f>COUNTIF(Vertices[Degree],"&gt;= "&amp;D36)-COUNTIF(Vertices[Degree],"&gt;="&amp;#REF!)</f>
        <v>0</v>
      </c>
      <c r="F36" s="38">
        <f>MAX(Vertices[In-Degree])</f>
        <v>21</v>
      </c>
      <c r="G36" s="39">
        <f>COUNTIF(Vertices[In-Degree],"&gt;= "&amp;F36)-COUNTIF(Vertices[In-Degree],"&gt;="&amp;#REF!)</f>
        <v>1</v>
      </c>
      <c r="H36" s="38">
        <f>MAX(Vertices[Out-Degree])</f>
        <v>103</v>
      </c>
      <c r="I36" s="39">
        <f>COUNTIF(Vertices[Out-Degree],"&gt;= "&amp;H36)-COUNTIF(Vertices[Out-Degree],"&gt;="&amp;#REF!)</f>
        <v>1</v>
      </c>
      <c r="J36" s="38">
        <f>MAX(Vertices[Betweenness Centrality])</f>
        <v>54506.123249</v>
      </c>
      <c r="K36" s="39">
        <f>COUNTIF(Vertices[Betweenness Centrality],"&gt;= "&amp;J36)-COUNTIF(Vertices[Betweenness Centrality],"&gt;="&amp;#REF!)</f>
        <v>1</v>
      </c>
      <c r="L36" s="38">
        <f>MAX(Vertices[Closeness Centrality])</f>
        <v>0.473065</v>
      </c>
      <c r="M36" s="39">
        <f>COUNTIF(Vertices[Closeness Centrality],"&gt;= "&amp;L36)-COUNTIF(Vertices[Closeness Centrality],"&gt;="&amp;#REF!)</f>
        <v>1</v>
      </c>
      <c r="N36" s="38">
        <f>MAX(Vertices[Eigenvector Centrality])</f>
        <v>0.63039</v>
      </c>
      <c r="O36" s="39">
        <f>COUNTIF(Vertices[Eigenvector Centrality],"&gt;= "&amp;N36)-COUNTIF(Vertices[Eigenvector Centrality],"&gt;="&amp;#REF!)</f>
        <v>1</v>
      </c>
      <c r="P36" s="38">
        <f>MAX(Vertices[PageRank])</f>
        <v>0.041454</v>
      </c>
      <c r="Q36" s="39">
        <f>COUNTIF(Vertices[PageRank],"&gt;= "&amp;P36)-COUNTIF(Vertices[PageRank],"&gt;="&amp;#REF!)</f>
        <v>1</v>
      </c>
      <c r="R36" s="38">
        <f>MAX(Vertices[Clustering Coefficient])</f>
        <v>1</v>
      </c>
      <c r="S36" s="42">
        <f>COUNTIF(Vertices[Clustering Coefficient],"&gt;= "&amp;R36)-COUNTIF(Vertices[Clustering Coefficient],"&gt;="&amp;#REF!)</f>
        <v>12</v>
      </c>
      <c r="T36" s="38" t="e">
        <f ca="1">MAX(INDIRECT(DynamicFilterSourceColumnRange))</f>
        <v>#REF!</v>
      </c>
      <c r="U36" s="39" t="e">
        <f ca="1">COUNTIF(INDIRECT(DynamicFilterSourceColumnRange),"&gt;= "&amp;T36)-COUNTIF(INDIRECT(DynamicFilterSourceColumnRange),"&gt;="&amp;#REF!)</f>
        <v>#REF!</v>
      </c>
    </row>
    <row r="37" spans="1:2" ht="15">
      <c r="A37" s="111"/>
      <c r="B37" s="111"/>
    </row>
    <row r="38" spans="1:2" ht="15">
      <c r="A38" s="31" t="s">
        <v>11206</v>
      </c>
      <c r="B38" s="31" t="s">
        <v>11713</v>
      </c>
    </row>
    <row r="39" spans="1:2" ht="15">
      <c r="A39" s="31" t="s">
        <v>11207</v>
      </c>
      <c r="B39" s="31" t="s">
        <v>11714</v>
      </c>
    </row>
    <row r="40" spans="1:2" ht="15">
      <c r="A40" s="111"/>
      <c r="B40" s="111"/>
    </row>
    <row r="41" spans="1:2" ht="15">
      <c r="A41" s="31" t="s">
        <v>11208</v>
      </c>
      <c r="B41" s="31" t="s">
        <v>11221</v>
      </c>
    </row>
    <row r="42" spans="1:2" ht="15">
      <c r="A42" s="31" t="s">
        <v>11209</v>
      </c>
      <c r="B42" s="31" t="s">
        <v>11222</v>
      </c>
    </row>
    <row r="43" spans="1:2" ht="409.5">
      <c r="A43" s="31" t="s">
        <v>11210</v>
      </c>
      <c r="B43" s="50" t="s">
        <v>11223</v>
      </c>
    </row>
    <row r="44" spans="1:2" ht="15">
      <c r="A44" s="31" t="s">
        <v>11211</v>
      </c>
      <c r="B44" s="31" t="s">
        <v>11712</v>
      </c>
    </row>
    <row r="45" spans="1:2" ht="15">
      <c r="A45" s="31" t="s">
        <v>11212</v>
      </c>
      <c r="B45" s="31" t="s">
        <v>11224</v>
      </c>
    </row>
    <row r="46" spans="1:2" ht="15">
      <c r="A46" s="31" t="s">
        <v>11213</v>
      </c>
      <c r="B46" s="31" t="s">
        <v>3012</v>
      </c>
    </row>
    <row r="47" spans="1:2" ht="15">
      <c r="A47" s="31" t="s">
        <v>11214</v>
      </c>
      <c r="B47" s="31" t="s">
        <v>3012</v>
      </c>
    </row>
    <row r="48" spans="1:2" ht="15">
      <c r="A48" s="31" t="s">
        <v>11215</v>
      </c>
      <c r="B48" s="31" t="s">
        <v>3012</v>
      </c>
    </row>
    <row r="49" spans="1:2" ht="15">
      <c r="A49" s="31" t="s">
        <v>11216</v>
      </c>
      <c r="B49" s="31"/>
    </row>
    <row r="50" spans="1:2" ht="15">
      <c r="A50" s="31" t="s">
        <v>21</v>
      </c>
      <c r="B50" s="31"/>
    </row>
    <row r="51" spans="1:2" ht="15">
      <c r="A51" s="31" t="s">
        <v>11217</v>
      </c>
      <c r="B51" s="31" t="s">
        <v>32</v>
      </c>
    </row>
    <row r="52" spans="1:2" ht="15">
      <c r="A52" s="31" t="s">
        <v>11218</v>
      </c>
      <c r="B52" s="31"/>
    </row>
    <row r="53" spans="1:2" ht="15">
      <c r="A53" s="31" t="s">
        <v>11219</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21</v>
      </c>
    </row>
    <row r="90" spans="1:2" ht="15">
      <c r="A90" s="30" t="s">
        <v>90</v>
      </c>
      <c r="B90" s="44">
        <f>_xlfn.IFERROR(AVERAGE(Vertices[In-Degree]),NoMetricMessage)</f>
        <v>1.3949843260188088</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103</v>
      </c>
    </row>
    <row r="104" spans="1:2" ht="15">
      <c r="A104" s="30" t="s">
        <v>96</v>
      </c>
      <c r="B104" s="44">
        <f>_xlfn.IFERROR(AVERAGE(Vertices[Out-Degree]),NoMetricMessage)</f>
        <v>1.3949843260188088</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54506.123249</v>
      </c>
    </row>
    <row r="118" spans="1:2" ht="15">
      <c r="A118" s="30" t="s">
        <v>102</v>
      </c>
      <c r="B118" s="44">
        <f>_xlfn.IFERROR(AVERAGE(Vertices[Betweenness Centrality]),NoMetricMessage)</f>
        <v>654.8777429435735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0.473065</v>
      </c>
    </row>
    <row r="132" spans="1:2" ht="15">
      <c r="A132" s="30" t="s">
        <v>108</v>
      </c>
      <c r="B132" s="44">
        <f>_xlfn.IFERROR(AVERAGE(Vertices[Closeness Centrality]),NoMetricMessage)</f>
        <v>0.2616147210031348</v>
      </c>
    </row>
    <row r="133" spans="1:2" ht="15">
      <c r="A133" s="30" t="s">
        <v>109</v>
      </c>
      <c r="B133" s="44">
        <f>_xlfn.IFERROR(MEDIAN(Vertices[Closeness Centrality]),NoMetricMessage)</f>
        <v>0.258196</v>
      </c>
    </row>
    <row r="144" spans="1:2" ht="15">
      <c r="A144" s="30" t="s">
        <v>112</v>
      </c>
      <c r="B144" s="44">
        <f>IF(COUNT(Vertices[Eigenvector Centrality])&gt;0,N2,NoMetricMessage)</f>
        <v>0</v>
      </c>
    </row>
    <row r="145" spans="1:2" ht="15">
      <c r="A145" s="30" t="s">
        <v>113</v>
      </c>
      <c r="B145" s="44">
        <f>IF(COUNT(Vertices[Eigenvector Centrality])&gt;0,N36,NoMetricMessage)</f>
        <v>0.63039</v>
      </c>
    </row>
    <row r="146" spans="1:2" ht="15">
      <c r="A146" s="30" t="s">
        <v>114</v>
      </c>
      <c r="B146" s="44">
        <f>_xlfn.IFERROR(AVERAGE(Vertices[Eigenvector Centrality]),NoMetricMessage)</f>
        <v>0.032147551724137996</v>
      </c>
    </row>
    <row r="147" spans="1:2" ht="15">
      <c r="A147" s="30" t="s">
        <v>115</v>
      </c>
      <c r="B147" s="44">
        <f>_xlfn.IFERROR(MEDIAN(Vertices[Eigenvector Centrality]),NoMetricMessage)</f>
        <v>0.025226</v>
      </c>
    </row>
    <row r="158" spans="1:2" ht="15">
      <c r="A158" s="30" t="s">
        <v>140</v>
      </c>
      <c r="B158" s="44">
        <f>IF(COUNT(Vertices[PageRank])&gt;0,P2,NoMetricMessage)</f>
        <v>0</v>
      </c>
    </row>
    <row r="159" spans="1:2" ht="15">
      <c r="A159" s="30" t="s">
        <v>141</v>
      </c>
      <c r="B159" s="44">
        <f>IF(COUNT(Vertices[PageRank])&gt;0,P36,NoMetricMessage)</f>
        <v>0.041454</v>
      </c>
    </row>
    <row r="160" spans="1:2" ht="15">
      <c r="A160" s="30" t="s">
        <v>142</v>
      </c>
      <c r="B160" s="44">
        <f>_xlfn.IFERROR(AVERAGE(Vertices[PageRank]),NoMetricMessage)</f>
        <v>0.003134905956112844</v>
      </c>
    </row>
    <row r="161" spans="1:2" ht="15">
      <c r="A161" s="30" t="s">
        <v>143</v>
      </c>
      <c r="B161" s="44">
        <f>_xlfn.IFERROR(MEDIAN(Vertices[PageRank]),NoMetricMessage)</f>
        <v>0.002759</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0.11259042957183657</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2977</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2978</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11710</v>
      </c>
    </row>
    <row r="8" spans="1:11" ht="409.5">
      <c r="A8"/>
      <c r="B8">
        <v>2</v>
      </c>
      <c r="C8">
        <v>2</v>
      </c>
      <c r="D8" t="s">
        <v>61</v>
      </c>
      <c r="E8" t="s">
        <v>61</v>
      </c>
      <c r="H8" t="s">
        <v>73</v>
      </c>
      <c r="J8" t="s">
        <v>175</v>
      </c>
      <c r="K8" s="7" t="s">
        <v>11711</v>
      </c>
    </row>
    <row r="9" spans="1:11" ht="409.5">
      <c r="A9"/>
      <c r="B9">
        <v>3</v>
      </c>
      <c r="C9">
        <v>4</v>
      </c>
      <c r="D9" t="s">
        <v>62</v>
      </c>
      <c r="E9" t="s">
        <v>62</v>
      </c>
      <c r="H9" t="s">
        <v>74</v>
      </c>
      <c r="J9" t="s">
        <v>2979</v>
      </c>
      <c r="K9" s="7" t="s">
        <v>2980</v>
      </c>
    </row>
    <row r="10" spans="1:11" ht="409.5">
      <c r="A10"/>
      <c r="B10">
        <v>4</v>
      </c>
      <c r="D10" t="s">
        <v>63</v>
      </c>
      <c r="E10" t="s">
        <v>63</v>
      </c>
      <c r="H10" t="s">
        <v>75</v>
      </c>
      <c r="J10" t="s">
        <v>2981</v>
      </c>
      <c r="K10" s="7" t="s">
        <v>2982</v>
      </c>
    </row>
    <row r="11" spans="1:11" ht="409.5">
      <c r="A11"/>
      <c r="B11">
        <v>5</v>
      </c>
      <c r="D11" t="s">
        <v>46</v>
      </c>
      <c r="E11">
        <v>1</v>
      </c>
      <c r="H11" t="s">
        <v>76</v>
      </c>
      <c r="J11" t="s">
        <v>2983</v>
      </c>
      <c r="K11" s="7" t="s">
        <v>2984</v>
      </c>
    </row>
    <row r="12" spans="1:11" ht="409.5">
      <c r="A12"/>
      <c r="B12"/>
      <c r="D12" t="s">
        <v>64</v>
      </c>
      <c r="E12">
        <v>2</v>
      </c>
      <c r="H12">
        <v>0</v>
      </c>
      <c r="J12" t="s">
        <v>2985</v>
      </c>
      <c r="K12" s="7" t="s">
        <v>2986</v>
      </c>
    </row>
    <row r="13" spans="1:11" ht="15">
      <c r="A13"/>
      <c r="B13"/>
      <c r="D13">
        <v>1</v>
      </c>
      <c r="E13">
        <v>3</v>
      </c>
      <c r="H13">
        <v>1</v>
      </c>
      <c r="J13" t="s">
        <v>2987</v>
      </c>
      <c r="K13" t="s">
        <v>2988</v>
      </c>
    </row>
    <row r="14" spans="4:11" ht="15">
      <c r="D14">
        <v>2</v>
      </c>
      <c r="E14">
        <v>4</v>
      </c>
      <c r="H14">
        <v>2</v>
      </c>
      <c r="J14" t="s">
        <v>2989</v>
      </c>
      <c r="K14" t="s">
        <v>2990</v>
      </c>
    </row>
    <row r="15" spans="4:11" ht="15">
      <c r="D15">
        <v>3</v>
      </c>
      <c r="E15">
        <v>5</v>
      </c>
      <c r="H15">
        <v>3</v>
      </c>
      <c r="J15" t="s">
        <v>2991</v>
      </c>
      <c r="K15" t="s">
        <v>2992</v>
      </c>
    </row>
    <row r="16" spans="4:11" ht="15">
      <c r="D16">
        <v>4</v>
      </c>
      <c r="E16">
        <v>6</v>
      </c>
      <c r="H16">
        <v>4</v>
      </c>
      <c r="J16" t="s">
        <v>2993</v>
      </c>
      <c r="K16" t="s">
        <v>2994</v>
      </c>
    </row>
    <row r="17" spans="4:11" ht="15">
      <c r="D17">
        <v>5</v>
      </c>
      <c r="E17">
        <v>7</v>
      </c>
      <c r="H17">
        <v>5</v>
      </c>
      <c r="J17" t="s">
        <v>2995</v>
      </c>
      <c r="K17" t="s">
        <v>2996</v>
      </c>
    </row>
    <row r="18" spans="4:11" ht="15">
      <c r="D18">
        <v>6</v>
      </c>
      <c r="E18">
        <v>8</v>
      </c>
      <c r="H18">
        <v>6</v>
      </c>
      <c r="J18" t="s">
        <v>2997</v>
      </c>
      <c r="K18" t="s">
        <v>2998</v>
      </c>
    </row>
    <row r="19" spans="4:11" ht="15">
      <c r="D19">
        <v>7</v>
      </c>
      <c r="E19">
        <v>9</v>
      </c>
      <c r="H19">
        <v>7</v>
      </c>
      <c r="J19" t="s">
        <v>2999</v>
      </c>
      <c r="K19" t="s">
        <v>3000</v>
      </c>
    </row>
    <row r="20" spans="4:11" ht="15">
      <c r="D20">
        <v>8</v>
      </c>
      <c r="H20">
        <v>8</v>
      </c>
      <c r="J20" t="s">
        <v>3001</v>
      </c>
      <c r="K20" t="s">
        <v>3002</v>
      </c>
    </row>
    <row r="21" spans="4:11" ht="15">
      <c r="D21">
        <v>9</v>
      </c>
      <c r="H21">
        <v>9</v>
      </c>
      <c r="J21" t="s">
        <v>3003</v>
      </c>
      <c r="K21" t="s">
        <v>3004</v>
      </c>
    </row>
    <row r="22" spans="4:11" ht="15">
      <c r="D22">
        <v>10</v>
      </c>
      <c r="J22" t="s">
        <v>3005</v>
      </c>
      <c r="K22" t="s">
        <v>3006</v>
      </c>
    </row>
    <row r="23" spans="4:11" ht="409.5">
      <c r="D23">
        <v>11</v>
      </c>
      <c r="J23" t="s">
        <v>3007</v>
      </c>
      <c r="K23" s="7" t="s">
        <v>3008</v>
      </c>
    </row>
    <row r="24" spans="10:11" ht="409.5">
      <c r="J24" t="s">
        <v>3009</v>
      </c>
      <c r="K24" s="7" t="s">
        <v>3010</v>
      </c>
    </row>
    <row r="25" spans="10:11" ht="409.5">
      <c r="J25" t="s">
        <v>3011</v>
      </c>
      <c r="K25" s="7" t="s">
        <v>11715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700F7-D742-42F0-B877-F78213CE6DD7}">
  <dimension ref="A1:G5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3043</v>
      </c>
      <c r="B1" s="7" t="s">
        <v>3224</v>
      </c>
      <c r="C1" s="7" t="s">
        <v>3228</v>
      </c>
      <c r="D1" s="7" t="s">
        <v>144</v>
      </c>
      <c r="E1" s="7" t="s">
        <v>3230</v>
      </c>
      <c r="F1" s="7" t="s">
        <v>3231</v>
      </c>
      <c r="G1" s="7" t="s">
        <v>3232</v>
      </c>
    </row>
    <row r="2" spans="1:7" ht="15">
      <c r="A2" s="76" t="s">
        <v>3044</v>
      </c>
      <c r="B2" s="76" t="s">
        <v>3225</v>
      </c>
      <c r="C2" s="106"/>
      <c r="D2" s="76"/>
      <c r="E2" s="76"/>
      <c r="F2" s="76"/>
      <c r="G2" s="76"/>
    </row>
    <row r="3" spans="1:7" ht="15">
      <c r="A3" s="77" t="s">
        <v>3045</v>
      </c>
      <c r="B3" s="76" t="s">
        <v>3226</v>
      </c>
      <c r="C3" s="106"/>
      <c r="D3" s="76"/>
      <c r="E3" s="76"/>
      <c r="F3" s="76"/>
      <c r="G3" s="76"/>
    </row>
    <row r="4" spans="1:7" ht="15">
      <c r="A4" s="77" t="s">
        <v>3046</v>
      </c>
      <c r="B4" s="76" t="s">
        <v>3227</v>
      </c>
      <c r="C4" s="106"/>
      <c r="D4" s="76"/>
      <c r="E4" s="76"/>
      <c r="F4" s="76"/>
      <c r="G4" s="76"/>
    </row>
    <row r="5" spans="1:7" ht="15">
      <c r="A5" s="77" t="s">
        <v>3047</v>
      </c>
      <c r="B5" s="76">
        <v>65</v>
      </c>
      <c r="C5" s="106">
        <v>0.02501924557351809</v>
      </c>
      <c r="D5" s="76"/>
      <c r="E5" s="76"/>
      <c r="F5" s="76"/>
      <c r="G5" s="76"/>
    </row>
    <row r="6" spans="1:7" ht="15">
      <c r="A6" s="77" t="s">
        <v>3048</v>
      </c>
      <c r="B6" s="76">
        <v>31</v>
      </c>
      <c r="C6" s="106">
        <v>0.01193225558121632</v>
      </c>
      <c r="D6" s="76"/>
      <c r="E6" s="76"/>
      <c r="F6" s="76"/>
      <c r="G6" s="76"/>
    </row>
    <row r="7" spans="1:7" ht="15">
      <c r="A7" s="77" t="s">
        <v>3049</v>
      </c>
      <c r="B7" s="76">
        <v>0</v>
      </c>
      <c r="C7" s="106">
        <v>0</v>
      </c>
      <c r="D7" s="76"/>
      <c r="E7" s="76"/>
      <c r="F7" s="76"/>
      <c r="G7" s="76"/>
    </row>
    <row r="8" spans="1:7" ht="15">
      <c r="A8" s="77" t="s">
        <v>3050</v>
      </c>
      <c r="B8" s="76">
        <v>1966</v>
      </c>
      <c r="C8" s="106">
        <v>0.7567359507313318</v>
      </c>
      <c r="D8" s="76"/>
      <c r="E8" s="76"/>
      <c r="F8" s="76"/>
      <c r="G8" s="76"/>
    </row>
    <row r="9" spans="1:7" ht="15">
      <c r="A9" s="77" t="s">
        <v>3051</v>
      </c>
      <c r="B9" s="76">
        <v>2598</v>
      </c>
      <c r="C9" s="106">
        <v>1</v>
      </c>
      <c r="D9" s="76"/>
      <c r="E9" s="76"/>
      <c r="F9" s="76"/>
      <c r="G9" s="76"/>
    </row>
    <row r="10" spans="1:7" ht="15">
      <c r="A10" s="81" t="s">
        <v>228</v>
      </c>
      <c r="B10" s="80">
        <v>107</v>
      </c>
      <c r="C10" s="107">
        <v>0.0039972195252361365</v>
      </c>
      <c r="D10" s="80" t="s">
        <v>3229</v>
      </c>
      <c r="E10" s="80" t="b">
        <v>0</v>
      </c>
      <c r="F10" s="80" t="b">
        <v>0</v>
      </c>
      <c r="G10" s="80" t="b">
        <v>0</v>
      </c>
    </row>
    <row r="11" spans="1:7" ht="15">
      <c r="A11" s="81" t="s">
        <v>3052</v>
      </c>
      <c r="B11" s="80">
        <v>24</v>
      </c>
      <c r="C11" s="107">
        <v>0.008256254422427051</v>
      </c>
      <c r="D11" s="80" t="s">
        <v>3229</v>
      </c>
      <c r="E11" s="80" t="b">
        <v>1</v>
      </c>
      <c r="F11" s="80" t="b">
        <v>0</v>
      </c>
      <c r="G11" s="80" t="b">
        <v>0</v>
      </c>
    </row>
    <row r="12" spans="1:7" ht="15">
      <c r="A12" s="81" t="s">
        <v>3053</v>
      </c>
      <c r="B12" s="80">
        <v>23</v>
      </c>
      <c r="C12" s="107">
        <v>0.008118311844256673</v>
      </c>
      <c r="D12" s="80" t="s">
        <v>3229</v>
      </c>
      <c r="E12" s="80" t="b">
        <v>0</v>
      </c>
      <c r="F12" s="80" t="b">
        <v>0</v>
      </c>
      <c r="G12" s="80" t="b">
        <v>0</v>
      </c>
    </row>
    <row r="13" spans="1:7" ht="15">
      <c r="A13" s="81" t="s">
        <v>3054</v>
      </c>
      <c r="B13" s="80">
        <v>21</v>
      </c>
      <c r="C13" s="107">
        <v>0.013352802269593232</v>
      </c>
      <c r="D13" s="80" t="s">
        <v>3229</v>
      </c>
      <c r="E13" s="80" t="b">
        <v>0</v>
      </c>
      <c r="F13" s="80" t="b">
        <v>0</v>
      </c>
      <c r="G13" s="80" t="b">
        <v>0</v>
      </c>
    </row>
    <row r="14" spans="1:7" ht="15">
      <c r="A14" s="81" t="s">
        <v>529</v>
      </c>
      <c r="B14" s="80">
        <v>15</v>
      </c>
      <c r="C14" s="107">
        <v>0.006644308185048837</v>
      </c>
      <c r="D14" s="80" t="s">
        <v>3229</v>
      </c>
      <c r="E14" s="80" t="b">
        <v>0</v>
      </c>
      <c r="F14" s="80" t="b">
        <v>0</v>
      </c>
      <c r="G14" s="80" t="b">
        <v>0</v>
      </c>
    </row>
    <row r="15" spans="1:7" ht="15">
      <c r="A15" s="81" t="s">
        <v>533</v>
      </c>
      <c r="B15" s="80">
        <v>15</v>
      </c>
      <c r="C15" s="107">
        <v>0.006644308185048837</v>
      </c>
      <c r="D15" s="80" t="s">
        <v>3229</v>
      </c>
      <c r="E15" s="80" t="b">
        <v>0</v>
      </c>
      <c r="F15" s="80" t="b">
        <v>0</v>
      </c>
      <c r="G15" s="80" t="b">
        <v>0</v>
      </c>
    </row>
    <row r="16" spans="1:7" ht="15">
      <c r="A16" s="81" t="s">
        <v>535</v>
      </c>
      <c r="B16" s="80">
        <v>15</v>
      </c>
      <c r="C16" s="107">
        <v>0.006644308185048837</v>
      </c>
      <c r="D16" s="80" t="s">
        <v>3229</v>
      </c>
      <c r="E16" s="80" t="b">
        <v>0</v>
      </c>
      <c r="F16" s="80" t="b">
        <v>0</v>
      </c>
      <c r="G16" s="80" t="b">
        <v>0</v>
      </c>
    </row>
    <row r="17" spans="1:7" ht="15">
      <c r="A17" s="81" t="s">
        <v>532</v>
      </c>
      <c r="B17" s="80">
        <v>15</v>
      </c>
      <c r="C17" s="107">
        <v>0.006644308185048837</v>
      </c>
      <c r="D17" s="80" t="s">
        <v>3229</v>
      </c>
      <c r="E17" s="80" t="b">
        <v>0</v>
      </c>
      <c r="F17" s="80" t="b">
        <v>0</v>
      </c>
      <c r="G17" s="80" t="b">
        <v>0</v>
      </c>
    </row>
    <row r="18" spans="1:7" ht="15">
      <c r="A18" s="81" t="s">
        <v>538</v>
      </c>
      <c r="B18" s="80">
        <v>15</v>
      </c>
      <c r="C18" s="107">
        <v>0.006644308185048837</v>
      </c>
      <c r="D18" s="80" t="s">
        <v>3229</v>
      </c>
      <c r="E18" s="80" t="b">
        <v>0</v>
      </c>
      <c r="F18" s="80" t="b">
        <v>0</v>
      </c>
      <c r="G18" s="80" t="b">
        <v>0</v>
      </c>
    </row>
    <row r="19" spans="1:7" ht="15">
      <c r="A19" s="81" t="s">
        <v>3055</v>
      </c>
      <c r="B19" s="80">
        <v>12</v>
      </c>
      <c r="C19" s="107">
        <v>0.006098957399599648</v>
      </c>
      <c r="D19" s="80" t="s">
        <v>3229</v>
      </c>
      <c r="E19" s="80" t="b">
        <v>0</v>
      </c>
      <c r="F19" s="80" t="b">
        <v>0</v>
      </c>
      <c r="G19" s="80" t="b">
        <v>0</v>
      </c>
    </row>
    <row r="20" spans="1:7" ht="15">
      <c r="A20" s="81" t="s">
        <v>530</v>
      </c>
      <c r="B20" s="80">
        <v>12</v>
      </c>
      <c r="C20" s="107">
        <v>0.005879149968347686</v>
      </c>
      <c r="D20" s="80" t="s">
        <v>3229</v>
      </c>
      <c r="E20" s="80" t="b">
        <v>0</v>
      </c>
      <c r="F20" s="80" t="b">
        <v>0</v>
      </c>
      <c r="G20" s="80" t="b">
        <v>0</v>
      </c>
    </row>
    <row r="21" spans="1:7" ht="15">
      <c r="A21" s="81" t="s">
        <v>537</v>
      </c>
      <c r="B21" s="80">
        <v>12</v>
      </c>
      <c r="C21" s="107">
        <v>0.005879149968347686</v>
      </c>
      <c r="D21" s="80" t="s">
        <v>3229</v>
      </c>
      <c r="E21" s="80" t="b">
        <v>0</v>
      </c>
      <c r="F21" s="80" t="b">
        <v>0</v>
      </c>
      <c r="G21" s="80" t="b">
        <v>0</v>
      </c>
    </row>
    <row r="22" spans="1:7" ht="15">
      <c r="A22" s="81" t="s">
        <v>531</v>
      </c>
      <c r="B22" s="80">
        <v>11</v>
      </c>
      <c r="C22" s="107">
        <v>0.005590710949633011</v>
      </c>
      <c r="D22" s="80" t="s">
        <v>3229</v>
      </c>
      <c r="E22" s="80" t="b">
        <v>0</v>
      </c>
      <c r="F22" s="80" t="b">
        <v>0</v>
      </c>
      <c r="G22" s="80" t="b">
        <v>0</v>
      </c>
    </row>
    <row r="23" spans="1:7" ht="15">
      <c r="A23" s="81" t="s">
        <v>376</v>
      </c>
      <c r="B23" s="80">
        <v>10</v>
      </c>
      <c r="C23" s="107">
        <v>0.006033965445589632</v>
      </c>
      <c r="D23" s="80" t="s">
        <v>3229</v>
      </c>
      <c r="E23" s="80" t="b">
        <v>0</v>
      </c>
      <c r="F23" s="80" t="b">
        <v>0</v>
      </c>
      <c r="G23" s="80" t="b">
        <v>0</v>
      </c>
    </row>
    <row r="24" spans="1:7" ht="15">
      <c r="A24" s="81" t="s">
        <v>534</v>
      </c>
      <c r="B24" s="80">
        <v>10</v>
      </c>
      <c r="C24" s="107">
        <v>0.005283107665726602</v>
      </c>
      <c r="D24" s="80" t="s">
        <v>3229</v>
      </c>
      <c r="E24" s="80" t="b">
        <v>0</v>
      </c>
      <c r="F24" s="80" t="b">
        <v>0</v>
      </c>
      <c r="G24" s="80" t="b">
        <v>0</v>
      </c>
    </row>
    <row r="25" spans="1:7" ht="15">
      <c r="A25" s="81" t="s">
        <v>528</v>
      </c>
      <c r="B25" s="80">
        <v>10</v>
      </c>
      <c r="C25" s="107">
        <v>0.005283107665726602</v>
      </c>
      <c r="D25" s="80" t="s">
        <v>3229</v>
      </c>
      <c r="E25" s="80" t="b">
        <v>0</v>
      </c>
      <c r="F25" s="80" t="b">
        <v>0</v>
      </c>
      <c r="G25" s="80" t="b">
        <v>0</v>
      </c>
    </row>
    <row r="26" spans="1:7" ht="15">
      <c r="A26" s="81" t="s">
        <v>3056</v>
      </c>
      <c r="B26" s="80">
        <v>10</v>
      </c>
      <c r="C26" s="107">
        <v>0.008671231777874051</v>
      </c>
      <c r="D26" s="80" t="s">
        <v>3229</v>
      </c>
      <c r="E26" s="80" t="b">
        <v>0</v>
      </c>
      <c r="F26" s="80" t="b">
        <v>0</v>
      </c>
      <c r="G26" s="80" t="b">
        <v>0</v>
      </c>
    </row>
    <row r="27" spans="1:7" ht="15">
      <c r="A27" s="81" t="s">
        <v>471</v>
      </c>
      <c r="B27" s="80">
        <v>10</v>
      </c>
      <c r="C27" s="107">
        <v>0.005504908395540829</v>
      </c>
      <c r="D27" s="80" t="s">
        <v>3229</v>
      </c>
      <c r="E27" s="80" t="b">
        <v>0</v>
      </c>
      <c r="F27" s="80" t="b">
        <v>0</v>
      </c>
      <c r="G27" s="80" t="b">
        <v>0</v>
      </c>
    </row>
    <row r="28" spans="1:7" ht="15">
      <c r="A28" s="81" t="s">
        <v>278</v>
      </c>
      <c r="B28" s="80">
        <v>10</v>
      </c>
      <c r="C28" s="107">
        <v>0.005283107665726602</v>
      </c>
      <c r="D28" s="80" t="s">
        <v>3229</v>
      </c>
      <c r="E28" s="80" t="b">
        <v>0</v>
      </c>
      <c r="F28" s="80" t="b">
        <v>0</v>
      </c>
      <c r="G28" s="80" t="b">
        <v>0</v>
      </c>
    </row>
    <row r="29" spans="1:7" ht="15">
      <c r="A29" s="81" t="s">
        <v>3057</v>
      </c>
      <c r="B29" s="80">
        <v>9</v>
      </c>
      <c r="C29" s="107">
        <v>0.004954417555986746</v>
      </c>
      <c r="D29" s="80" t="s">
        <v>3229</v>
      </c>
      <c r="E29" s="80" t="b">
        <v>0</v>
      </c>
      <c r="F29" s="80" t="b">
        <v>0</v>
      </c>
      <c r="G29" s="80" t="b">
        <v>0</v>
      </c>
    </row>
    <row r="30" spans="1:7" ht="15">
      <c r="A30" s="81" t="s">
        <v>3058</v>
      </c>
      <c r="B30" s="80">
        <v>8</v>
      </c>
      <c r="C30" s="107">
        <v>0.005086781816987899</v>
      </c>
      <c r="D30" s="80" t="s">
        <v>3229</v>
      </c>
      <c r="E30" s="80" t="b">
        <v>0</v>
      </c>
      <c r="F30" s="80" t="b">
        <v>0</v>
      </c>
      <c r="G30" s="80" t="b">
        <v>0</v>
      </c>
    </row>
    <row r="31" spans="1:7" ht="15">
      <c r="A31" s="81" t="s">
        <v>229</v>
      </c>
      <c r="B31" s="80">
        <v>8</v>
      </c>
      <c r="C31" s="107">
        <v>0.004602288412787026</v>
      </c>
      <c r="D31" s="80" t="s">
        <v>3229</v>
      </c>
      <c r="E31" s="80" t="b">
        <v>0</v>
      </c>
      <c r="F31" s="80" t="b">
        <v>0</v>
      </c>
      <c r="G31" s="80" t="b">
        <v>0</v>
      </c>
    </row>
    <row r="32" spans="1:7" ht="15">
      <c r="A32" s="81" t="s">
        <v>300</v>
      </c>
      <c r="B32" s="80">
        <v>8</v>
      </c>
      <c r="C32" s="107">
        <v>0.004827172356471706</v>
      </c>
      <c r="D32" s="80" t="s">
        <v>3229</v>
      </c>
      <c r="E32" s="80" t="b">
        <v>0</v>
      </c>
      <c r="F32" s="80" t="b">
        <v>0</v>
      </c>
      <c r="G32" s="80" t="b">
        <v>0</v>
      </c>
    </row>
    <row r="33" spans="1:7" ht="15">
      <c r="A33" s="81" t="s">
        <v>234</v>
      </c>
      <c r="B33" s="80">
        <v>8</v>
      </c>
      <c r="C33" s="107">
        <v>0.005393834637337389</v>
      </c>
      <c r="D33" s="80" t="s">
        <v>3229</v>
      </c>
      <c r="E33" s="80" t="b">
        <v>0</v>
      </c>
      <c r="F33" s="80" t="b">
        <v>0</v>
      </c>
      <c r="G33" s="80" t="b">
        <v>0</v>
      </c>
    </row>
    <row r="34" spans="1:7" ht="15">
      <c r="A34" s="81" t="s">
        <v>255</v>
      </c>
      <c r="B34" s="80">
        <v>8</v>
      </c>
      <c r="C34" s="107">
        <v>0.004602288412787026</v>
      </c>
      <c r="D34" s="80" t="s">
        <v>3229</v>
      </c>
      <c r="E34" s="80" t="b">
        <v>0</v>
      </c>
      <c r="F34" s="80" t="b">
        <v>0</v>
      </c>
      <c r="G34" s="80" t="b">
        <v>0</v>
      </c>
    </row>
    <row r="35" spans="1:7" ht="15">
      <c r="A35" s="81" t="s">
        <v>3059</v>
      </c>
      <c r="B35" s="80">
        <v>8</v>
      </c>
      <c r="C35" s="107">
        <v>0.005393834637337389</v>
      </c>
      <c r="D35" s="80" t="s">
        <v>3229</v>
      </c>
      <c r="E35" s="80" t="b">
        <v>0</v>
      </c>
      <c r="F35" s="80" t="b">
        <v>0</v>
      </c>
      <c r="G35" s="80" t="b">
        <v>0</v>
      </c>
    </row>
    <row r="36" spans="1:7" ht="15">
      <c r="A36" s="81" t="s">
        <v>3060</v>
      </c>
      <c r="B36" s="80">
        <v>8</v>
      </c>
      <c r="C36" s="107">
        <v>0.004827172356471706</v>
      </c>
      <c r="D36" s="80" t="s">
        <v>3229</v>
      </c>
      <c r="E36" s="80" t="b">
        <v>1</v>
      </c>
      <c r="F36" s="80" t="b">
        <v>0</v>
      </c>
      <c r="G36" s="80" t="b">
        <v>0</v>
      </c>
    </row>
    <row r="37" spans="1:7" ht="15">
      <c r="A37" s="81" t="s">
        <v>3061</v>
      </c>
      <c r="B37" s="80">
        <v>8</v>
      </c>
      <c r="C37" s="107">
        <v>0.004602288412787026</v>
      </c>
      <c r="D37" s="80" t="s">
        <v>3229</v>
      </c>
      <c r="E37" s="80" t="b">
        <v>0</v>
      </c>
      <c r="F37" s="80" t="b">
        <v>0</v>
      </c>
      <c r="G37" s="80" t="b">
        <v>0</v>
      </c>
    </row>
    <row r="38" spans="1:7" ht="15">
      <c r="A38" s="81" t="s">
        <v>3062</v>
      </c>
      <c r="B38" s="80">
        <v>7</v>
      </c>
      <c r="C38" s="107">
        <v>0.004719605307670216</v>
      </c>
      <c r="D38" s="80" t="s">
        <v>3229</v>
      </c>
      <c r="E38" s="80" t="b">
        <v>0</v>
      </c>
      <c r="F38" s="80" t="b">
        <v>0</v>
      </c>
      <c r="G38" s="80" t="b">
        <v>0</v>
      </c>
    </row>
    <row r="39" spans="1:7" ht="15">
      <c r="A39" s="81" t="s">
        <v>259</v>
      </c>
      <c r="B39" s="80">
        <v>7</v>
      </c>
      <c r="C39" s="107">
        <v>0.004450934089864411</v>
      </c>
      <c r="D39" s="80" t="s">
        <v>3229</v>
      </c>
      <c r="E39" s="80" t="b">
        <v>0</v>
      </c>
      <c r="F39" s="80" t="b">
        <v>0</v>
      </c>
      <c r="G39" s="80" t="b">
        <v>0</v>
      </c>
    </row>
    <row r="40" spans="1:7" ht="15">
      <c r="A40" s="81" t="s">
        <v>526</v>
      </c>
      <c r="B40" s="80">
        <v>7</v>
      </c>
      <c r="C40" s="107">
        <v>0.004223775811912743</v>
      </c>
      <c r="D40" s="80" t="s">
        <v>3229</v>
      </c>
      <c r="E40" s="80" t="b">
        <v>0</v>
      </c>
      <c r="F40" s="80" t="b">
        <v>0</v>
      </c>
      <c r="G40" s="80" t="b">
        <v>0</v>
      </c>
    </row>
    <row r="41" spans="1:7" ht="15">
      <c r="A41" s="81" t="s">
        <v>3063</v>
      </c>
      <c r="B41" s="80">
        <v>7</v>
      </c>
      <c r="C41" s="107">
        <v>0.004719605307670216</v>
      </c>
      <c r="D41" s="80" t="s">
        <v>3229</v>
      </c>
      <c r="E41" s="80" t="b">
        <v>0</v>
      </c>
      <c r="F41" s="80" t="b">
        <v>0</v>
      </c>
      <c r="G41" s="80" t="b">
        <v>0</v>
      </c>
    </row>
    <row r="42" spans="1:7" ht="15">
      <c r="A42" s="81" t="s">
        <v>536</v>
      </c>
      <c r="B42" s="80">
        <v>7</v>
      </c>
      <c r="C42" s="107">
        <v>0.004223775811912743</v>
      </c>
      <c r="D42" s="80" t="s">
        <v>3229</v>
      </c>
      <c r="E42" s="80" t="b">
        <v>0</v>
      </c>
      <c r="F42" s="80" t="b">
        <v>0</v>
      </c>
      <c r="G42" s="80" t="b">
        <v>0</v>
      </c>
    </row>
    <row r="43" spans="1:7" ht="15">
      <c r="A43" s="81" t="s">
        <v>3064</v>
      </c>
      <c r="B43" s="80">
        <v>6</v>
      </c>
      <c r="C43" s="107">
        <v>0.00432722768815735</v>
      </c>
      <c r="D43" s="80" t="s">
        <v>3229</v>
      </c>
      <c r="E43" s="80" t="b">
        <v>0</v>
      </c>
      <c r="F43" s="80" t="b">
        <v>0</v>
      </c>
      <c r="G43" s="80" t="b">
        <v>0</v>
      </c>
    </row>
    <row r="44" spans="1:7" ht="15">
      <c r="A44" s="81" t="s">
        <v>302</v>
      </c>
      <c r="B44" s="80">
        <v>6</v>
      </c>
      <c r="C44" s="107">
        <v>0.0038150863627409233</v>
      </c>
      <c r="D44" s="80" t="s">
        <v>3229</v>
      </c>
      <c r="E44" s="80" t="b">
        <v>0</v>
      </c>
      <c r="F44" s="80" t="b">
        <v>0</v>
      </c>
      <c r="G44" s="80" t="b">
        <v>0</v>
      </c>
    </row>
    <row r="45" spans="1:7" ht="15">
      <c r="A45" s="81" t="s">
        <v>253</v>
      </c>
      <c r="B45" s="80">
        <v>6</v>
      </c>
      <c r="C45" s="107">
        <v>0.0038150863627409233</v>
      </c>
      <c r="D45" s="80" t="s">
        <v>3229</v>
      </c>
      <c r="E45" s="80" t="b">
        <v>0</v>
      </c>
      <c r="F45" s="80" t="b">
        <v>0</v>
      </c>
      <c r="G45" s="80" t="b">
        <v>0</v>
      </c>
    </row>
    <row r="46" spans="1:7" ht="15">
      <c r="A46" s="81" t="s">
        <v>3065</v>
      </c>
      <c r="B46" s="80">
        <v>6</v>
      </c>
      <c r="C46" s="107">
        <v>0.00432722768815735</v>
      </c>
      <c r="D46" s="80" t="s">
        <v>3229</v>
      </c>
      <c r="E46" s="80" t="b">
        <v>0</v>
      </c>
      <c r="F46" s="80" t="b">
        <v>0</v>
      </c>
      <c r="G46" s="80" t="b">
        <v>0</v>
      </c>
    </row>
    <row r="47" spans="1:7" ht="15">
      <c r="A47" s="81" t="s">
        <v>290</v>
      </c>
      <c r="B47" s="80">
        <v>6</v>
      </c>
      <c r="C47" s="107">
        <v>0.004045375978003041</v>
      </c>
      <c r="D47" s="80" t="s">
        <v>3229</v>
      </c>
      <c r="E47" s="80" t="b">
        <v>0</v>
      </c>
      <c r="F47" s="80" t="b">
        <v>0</v>
      </c>
      <c r="G47" s="80" t="b">
        <v>0</v>
      </c>
    </row>
    <row r="48" spans="1:7" ht="15">
      <c r="A48" s="81" t="s">
        <v>724</v>
      </c>
      <c r="B48" s="80">
        <v>6</v>
      </c>
      <c r="C48" s="107">
        <v>0.0038150863627409233</v>
      </c>
      <c r="D48" s="80" t="s">
        <v>3229</v>
      </c>
      <c r="E48" s="80" t="b">
        <v>0</v>
      </c>
      <c r="F48" s="80" t="b">
        <v>0</v>
      </c>
      <c r="G48" s="80" t="b">
        <v>0</v>
      </c>
    </row>
    <row r="49" spans="1:7" ht="15">
      <c r="A49" s="81" t="s">
        <v>3066</v>
      </c>
      <c r="B49" s="80">
        <v>6</v>
      </c>
      <c r="C49" s="107">
        <v>0.00432722768815735</v>
      </c>
      <c r="D49" s="80" t="s">
        <v>3229</v>
      </c>
      <c r="E49" s="80" t="b">
        <v>0</v>
      </c>
      <c r="F49" s="80" t="b">
        <v>0</v>
      </c>
      <c r="G49" s="80" t="b">
        <v>0</v>
      </c>
    </row>
    <row r="50" spans="1:7" ht="15">
      <c r="A50" s="81" t="s">
        <v>414</v>
      </c>
      <c r="B50" s="80">
        <v>6</v>
      </c>
      <c r="C50" s="107">
        <v>0.0038150863627409233</v>
      </c>
      <c r="D50" s="80" t="s">
        <v>3229</v>
      </c>
      <c r="E50" s="80" t="b">
        <v>0</v>
      </c>
      <c r="F50" s="80" t="b">
        <v>0</v>
      </c>
      <c r="G50" s="80" t="b">
        <v>0</v>
      </c>
    </row>
    <row r="51" spans="1:7" ht="15">
      <c r="A51" s="81" t="s">
        <v>301</v>
      </c>
      <c r="B51" s="80">
        <v>6</v>
      </c>
      <c r="C51" s="107">
        <v>0.0038150863627409233</v>
      </c>
      <c r="D51" s="80" t="s">
        <v>3229</v>
      </c>
      <c r="E51" s="80" t="b">
        <v>0</v>
      </c>
      <c r="F51" s="80" t="b">
        <v>0</v>
      </c>
      <c r="G51" s="80" t="b">
        <v>0</v>
      </c>
    </row>
    <row r="52" spans="1:7" ht="15">
      <c r="A52" s="81" t="s">
        <v>527</v>
      </c>
      <c r="B52" s="80">
        <v>6</v>
      </c>
      <c r="C52" s="107">
        <v>0.0038150863627409233</v>
      </c>
      <c r="D52" s="80" t="s">
        <v>3229</v>
      </c>
      <c r="E52" s="80" t="b">
        <v>0</v>
      </c>
      <c r="F52" s="80" t="b">
        <v>0</v>
      </c>
      <c r="G52" s="80" t="b">
        <v>0</v>
      </c>
    </row>
    <row r="53" spans="1:7" ht="15">
      <c r="A53" s="81" t="s">
        <v>289</v>
      </c>
      <c r="B53" s="80">
        <v>5</v>
      </c>
      <c r="C53" s="107">
        <v>0.003371146648335868</v>
      </c>
      <c r="D53" s="80" t="s">
        <v>3229</v>
      </c>
      <c r="E53" s="80" t="b">
        <v>0</v>
      </c>
      <c r="F53" s="80" t="b">
        <v>0</v>
      </c>
      <c r="G53" s="80" t="b">
        <v>0</v>
      </c>
    </row>
    <row r="54" spans="1:7" ht="15">
      <c r="A54" s="81" t="s">
        <v>299</v>
      </c>
      <c r="B54" s="80">
        <v>5</v>
      </c>
      <c r="C54" s="107">
        <v>0.003371146648335868</v>
      </c>
      <c r="D54" s="80" t="s">
        <v>3229</v>
      </c>
      <c r="E54" s="80" t="b">
        <v>0</v>
      </c>
      <c r="F54" s="80" t="b">
        <v>0</v>
      </c>
      <c r="G54" s="80" t="b">
        <v>0</v>
      </c>
    </row>
    <row r="55" spans="1:7" ht="15">
      <c r="A55" s="81" t="s">
        <v>295</v>
      </c>
      <c r="B55" s="80">
        <v>5</v>
      </c>
      <c r="C55" s="107">
        <v>0.003371146648335868</v>
      </c>
      <c r="D55" s="80" t="s">
        <v>3229</v>
      </c>
      <c r="E55" s="80" t="b">
        <v>0</v>
      </c>
      <c r="F55" s="80" t="b">
        <v>0</v>
      </c>
      <c r="G55" s="80" t="b">
        <v>0</v>
      </c>
    </row>
    <row r="56" spans="1:7" ht="15">
      <c r="A56" s="81" t="s">
        <v>286</v>
      </c>
      <c r="B56" s="80">
        <v>5</v>
      </c>
      <c r="C56" s="107">
        <v>0.003371146648335868</v>
      </c>
      <c r="D56" s="80" t="s">
        <v>3229</v>
      </c>
      <c r="E56" s="80" t="b">
        <v>0</v>
      </c>
      <c r="F56" s="80" t="b">
        <v>0</v>
      </c>
      <c r="G56" s="80" t="b">
        <v>0</v>
      </c>
    </row>
    <row r="57" spans="1:7" ht="15">
      <c r="A57" s="81" t="s">
        <v>497</v>
      </c>
      <c r="B57" s="80">
        <v>5</v>
      </c>
      <c r="C57" s="107">
        <v>0.003371146648335868</v>
      </c>
      <c r="D57" s="80" t="s">
        <v>3229</v>
      </c>
      <c r="E57" s="80" t="b">
        <v>0</v>
      </c>
      <c r="F57" s="80" t="b">
        <v>0</v>
      </c>
      <c r="G57" s="80" t="b">
        <v>0</v>
      </c>
    </row>
    <row r="58" spans="1:7" ht="15">
      <c r="A58" s="81" t="s">
        <v>298</v>
      </c>
      <c r="B58" s="80">
        <v>5</v>
      </c>
      <c r="C58" s="107">
        <v>0.003371146648335868</v>
      </c>
      <c r="D58" s="80" t="s">
        <v>3229</v>
      </c>
      <c r="E58" s="80" t="b">
        <v>0</v>
      </c>
      <c r="F58" s="80" t="b">
        <v>0</v>
      </c>
      <c r="G58" s="80" t="b">
        <v>0</v>
      </c>
    </row>
    <row r="59" spans="1:7" ht="15">
      <c r="A59" s="81" t="s">
        <v>293</v>
      </c>
      <c r="B59" s="80">
        <v>5</v>
      </c>
      <c r="C59" s="107">
        <v>0.003371146648335868</v>
      </c>
      <c r="D59" s="80" t="s">
        <v>3229</v>
      </c>
      <c r="E59" s="80" t="b">
        <v>0</v>
      </c>
      <c r="F59" s="80" t="b">
        <v>0</v>
      </c>
      <c r="G59" s="80" t="b">
        <v>0</v>
      </c>
    </row>
    <row r="60" spans="1:7" ht="15">
      <c r="A60" s="81" t="s">
        <v>501</v>
      </c>
      <c r="B60" s="80">
        <v>5</v>
      </c>
      <c r="C60" s="107">
        <v>0.003371146648335868</v>
      </c>
      <c r="D60" s="80" t="s">
        <v>3229</v>
      </c>
      <c r="E60" s="80" t="b">
        <v>0</v>
      </c>
      <c r="F60" s="80" t="b">
        <v>0</v>
      </c>
      <c r="G60" s="80" t="b">
        <v>0</v>
      </c>
    </row>
    <row r="61" spans="1:7" ht="15">
      <c r="A61" s="81" t="s">
        <v>238</v>
      </c>
      <c r="B61" s="80">
        <v>5</v>
      </c>
      <c r="C61" s="107">
        <v>0.0036060230734644583</v>
      </c>
      <c r="D61" s="80" t="s">
        <v>3229</v>
      </c>
      <c r="E61" s="80" t="b">
        <v>0</v>
      </c>
      <c r="F61" s="80" t="b">
        <v>0</v>
      </c>
      <c r="G61" s="80" t="b">
        <v>0</v>
      </c>
    </row>
    <row r="62" spans="1:7" ht="15">
      <c r="A62" s="81" t="s">
        <v>496</v>
      </c>
      <c r="B62" s="80">
        <v>5</v>
      </c>
      <c r="C62" s="107">
        <v>0.003371146648335868</v>
      </c>
      <c r="D62" s="80" t="s">
        <v>3229</v>
      </c>
      <c r="E62" s="80" t="b">
        <v>0</v>
      </c>
      <c r="F62" s="80" t="b">
        <v>0</v>
      </c>
      <c r="G62" s="80" t="b">
        <v>0</v>
      </c>
    </row>
    <row r="63" spans="1:7" ht="15">
      <c r="A63" s="81" t="s">
        <v>3067</v>
      </c>
      <c r="B63" s="80">
        <v>5</v>
      </c>
      <c r="C63" s="107">
        <v>0.003371146648335868</v>
      </c>
      <c r="D63" s="80" t="s">
        <v>3229</v>
      </c>
      <c r="E63" s="80" t="b">
        <v>0</v>
      </c>
      <c r="F63" s="80" t="b">
        <v>0</v>
      </c>
      <c r="G63" s="80" t="b">
        <v>0</v>
      </c>
    </row>
    <row r="64" spans="1:7" ht="15">
      <c r="A64" s="81" t="s">
        <v>287</v>
      </c>
      <c r="B64" s="80">
        <v>5</v>
      </c>
      <c r="C64" s="107">
        <v>0.003371146648335868</v>
      </c>
      <c r="D64" s="80" t="s">
        <v>3229</v>
      </c>
      <c r="E64" s="80" t="b">
        <v>0</v>
      </c>
      <c r="F64" s="80" t="b">
        <v>0</v>
      </c>
      <c r="G64" s="80" t="b">
        <v>0</v>
      </c>
    </row>
    <row r="65" spans="1:7" ht="15">
      <c r="A65" s="81" t="s">
        <v>297</v>
      </c>
      <c r="B65" s="80">
        <v>5</v>
      </c>
      <c r="C65" s="107">
        <v>0.003371146648335868</v>
      </c>
      <c r="D65" s="80" t="s">
        <v>3229</v>
      </c>
      <c r="E65" s="80" t="b">
        <v>0</v>
      </c>
      <c r="F65" s="80" t="b">
        <v>0</v>
      </c>
      <c r="G65" s="80" t="b">
        <v>0</v>
      </c>
    </row>
    <row r="66" spans="1:7" ht="15">
      <c r="A66" s="81" t="s">
        <v>492</v>
      </c>
      <c r="B66" s="80">
        <v>5</v>
      </c>
      <c r="C66" s="107">
        <v>0.003371146648335868</v>
      </c>
      <c r="D66" s="80" t="s">
        <v>3229</v>
      </c>
      <c r="E66" s="80" t="b">
        <v>0</v>
      </c>
      <c r="F66" s="80" t="b">
        <v>0</v>
      </c>
      <c r="G66" s="80" t="b">
        <v>0</v>
      </c>
    </row>
    <row r="67" spans="1:7" ht="15">
      <c r="A67" s="81" t="s">
        <v>3068</v>
      </c>
      <c r="B67" s="80">
        <v>5</v>
      </c>
      <c r="C67" s="107">
        <v>0.003371146648335868</v>
      </c>
      <c r="D67" s="80" t="s">
        <v>3229</v>
      </c>
      <c r="E67" s="80" t="b">
        <v>0</v>
      </c>
      <c r="F67" s="80" t="b">
        <v>0</v>
      </c>
      <c r="G67" s="80" t="b">
        <v>0</v>
      </c>
    </row>
    <row r="68" spans="1:7" ht="15">
      <c r="A68" s="81" t="s">
        <v>495</v>
      </c>
      <c r="B68" s="80">
        <v>5</v>
      </c>
      <c r="C68" s="107">
        <v>0.003371146648335868</v>
      </c>
      <c r="D68" s="80" t="s">
        <v>3229</v>
      </c>
      <c r="E68" s="80" t="b">
        <v>0</v>
      </c>
      <c r="F68" s="80" t="b">
        <v>0</v>
      </c>
      <c r="G68" s="80" t="b">
        <v>0</v>
      </c>
    </row>
    <row r="69" spans="1:7" ht="15">
      <c r="A69" s="81" t="s">
        <v>499</v>
      </c>
      <c r="B69" s="80">
        <v>5</v>
      </c>
      <c r="C69" s="107">
        <v>0.003371146648335868</v>
      </c>
      <c r="D69" s="80" t="s">
        <v>3229</v>
      </c>
      <c r="E69" s="80" t="b">
        <v>0</v>
      </c>
      <c r="F69" s="80" t="b">
        <v>0</v>
      </c>
      <c r="G69" s="80" t="b">
        <v>0</v>
      </c>
    </row>
    <row r="70" spans="1:7" ht="15">
      <c r="A70" s="81" t="s">
        <v>296</v>
      </c>
      <c r="B70" s="80">
        <v>5</v>
      </c>
      <c r="C70" s="107">
        <v>0.003371146648335868</v>
      </c>
      <c r="D70" s="80" t="s">
        <v>3229</v>
      </c>
      <c r="E70" s="80" t="b">
        <v>0</v>
      </c>
      <c r="F70" s="80" t="b">
        <v>0</v>
      </c>
      <c r="G70" s="80" t="b">
        <v>0</v>
      </c>
    </row>
    <row r="71" spans="1:7" ht="15">
      <c r="A71" s="81" t="s">
        <v>500</v>
      </c>
      <c r="B71" s="80">
        <v>5</v>
      </c>
      <c r="C71" s="107">
        <v>0.003371146648335868</v>
      </c>
      <c r="D71" s="80" t="s">
        <v>3229</v>
      </c>
      <c r="E71" s="80" t="b">
        <v>0</v>
      </c>
      <c r="F71" s="80" t="b">
        <v>0</v>
      </c>
      <c r="G71" s="80" t="b">
        <v>0</v>
      </c>
    </row>
    <row r="72" spans="1:7" ht="15">
      <c r="A72" s="81" t="s">
        <v>292</v>
      </c>
      <c r="B72" s="80">
        <v>5</v>
      </c>
      <c r="C72" s="107">
        <v>0.003371146648335868</v>
      </c>
      <c r="D72" s="80" t="s">
        <v>3229</v>
      </c>
      <c r="E72" s="80" t="b">
        <v>0</v>
      </c>
      <c r="F72" s="80" t="b">
        <v>0</v>
      </c>
      <c r="G72" s="80" t="b">
        <v>0</v>
      </c>
    </row>
    <row r="73" spans="1:7" ht="15">
      <c r="A73" s="81" t="s">
        <v>294</v>
      </c>
      <c r="B73" s="80">
        <v>5</v>
      </c>
      <c r="C73" s="107">
        <v>0.003371146648335868</v>
      </c>
      <c r="D73" s="80" t="s">
        <v>3229</v>
      </c>
      <c r="E73" s="80" t="b">
        <v>0</v>
      </c>
      <c r="F73" s="80" t="b">
        <v>0</v>
      </c>
      <c r="G73" s="80" t="b">
        <v>0</v>
      </c>
    </row>
    <row r="74" spans="1:7" ht="15">
      <c r="A74" s="81" t="s">
        <v>498</v>
      </c>
      <c r="B74" s="80">
        <v>5</v>
      </c>
      <c r="C74" s="107">
        <v>0.003371146648335868</v>
      </c>
      <c r="D74" s="80" t="s">
        <v>3229</v>
      </c>
      <c r="E74" s="80" t="b">
        <v>0</v>
      </c>
      <c r="F74" s="80" t="b">
        <v>0</v>
      </c>
      <c r="G74" s="80" t="b">
        <v>0</v>
      </c>
    </row>
    <row r="75" spans="1:7" ht="15">
      <c r="A75" s="81" t="s">
        <v>493</v>
      </c>
      <c r="B75" s="80">
        <v>5</v>
      </c>
      <c r="C75" s="107">
        <v>0.003371146648335868</v>
      </c>
      <c r="D75" s="80" t="s">
        <v>3229</v>
      </c>
      <c r="E75" s="80" t="b">
        <v>0</v>
      </c>
      <c r="F75" s="80" t="b">
        <v>0</v>
      </c>
      <c r="G75" s="80" t="b">
        <v>0</v>
      </c>
    </row>
    <row r="76" spans="1:7" ht="15">
      <c r="A76" s="81" t="s">
        <v>494</v>
      </c>
      <c r="B76" s="80">
        <v>5</v>
      </c>
      <c r="C76" s="107">
        <v>0.003371146648335868</v>
      </c>
      <c r="D76" s="80" t="s">
        <v>3229</v>
      </c>
      <c r="E76" s="80" t="b">
        <v>0</v>
      </c>
      <c r="F76" s="80" t="b">
        <v>0</v>
      </c>
      <c r="G76" s="80" t="b">
        <v>0</v>
      </c>
    </row>
    <row r="77" spans="1:7" ht="15">
      <c r="A77" s="81" t="s">
        <v>252</v>
      </c>
      <c r="B77" s="80">
        <v>5</v>
      </c>
      <c r="C77" s="107">
        <v>0.003371146648335868</v>
      </c>
      <c r="D77" s="80" t="s">
        <v>3229</v>
      </c>
      <c r="E77" s="80" t="b">
        <v>0</v>
      </c>
      <c r="F77" s="80" t="b">
        <v>0</v>
      </c>
      <c r="G77" s="80" t="b">
        <v>0</v>
      </c>
    </row>
    <row r="78" spans="1:7" ht="15">
      <c r="A78" s="81" t="s">
        <v>288</v>
      </c>
      <c r="B78" s="80">
        <v>5</v>
      </c>
      <c r="C78" s="107">
        <v>0.003371146648335868</v>
      </c>
      <c r="D78" s="80" t="s">
        <v>3229</v>
      </c>
      <c r="E78" s="80" t="b">
        <v>0</v>
      </c>
      <c r="F78" s="80" t="b">
        <v>0</v>
      </c>
      <c r="G78" s="80" t="b">
        <v>0</v>
      </c>
    </row>
    <row r="79" spans="1:7" ht="15">
      <c r="A79" s="81" t="s">
        <v>291</v>
      </c>
      <c r="B79" s="80">
        <v>5</v>
      </c>
      <c r="C79" s="107">
        <v>0.003371146648335868</v>
      </c>
      <c r="D79" s="80" t="s">
        <v>3229</v>
      </c>
      <c r="E79" s="80" t="b">
        <v>0</v>
      </c>
      <c r="F79" s="80" t="b">
        <v>0</v>
      </c>
      <c r="G79" s="80" t="b">
        <v>0</v>
      </c>
    </row>
    <row r="80" spans="1:7" ht="15">
      <c r="A80" s="81" t="s">
        <v>3069</v>
      </c>
      <c r="B80" s="80">
        <v>5</v>
      </c>
      <c r="C80" s="107">
        <v>0.0036060230734644583</v>
      </c>
      <c r="D80" s="80" t="s">
        <v>3229</v>
      </c>
      <c r="E80" s="80" t="b">
        <v>0</v>
      </c>
      <c r="F80" s="80" t="b">
        <v>0</v>
      </c>
      <c r="G80" s="80" t="b">
        <v>0</v>
      </c>
    </row>
    <row r="81" spans="1:7" ht="15">
      <c r="A81" s="81" t="s">
        <v>3070</v>
      </c>
      <c r="B81" s="80">
        <v>5</v>
      </c>
      <c r="C81" s="107">
        <v>0.003371146648335868</v>
      </c>
      <c r="D81" s="80" t="s">
        <v>3229</v>
      </c>
      <c r="E81" s="80" t="b">
        <v>0</v>
      </c>
      <c r="F81" s="80" t="b">
        <v>0</v>
      </c>
      <c r="G81" s="80" t="b">
        <v>0</v>
      </c>
    </row>
    <row r="82" spans="1:7" ht="15">
      <c r="A82" s="81" t="s">
        <v>3071</v>
      </c>
      <c r="B82" s="80">
        <v>4</v>
      </c>
      <c r="C82" s="107">
        <v>0.0034684927111496206</v>
      </c>
      <c r="D82" s="80" t="s">
        <v>3229</v>
      </c>
      <c r="E82" s="80" t="b">
        <v>0</v>
      </c>
      <c r="F82" s="80" t="b">
        <v>0</v>
      </c>
      <c r="G82" s="80" t="b">
        <v>0</v>
      </c>
    </row>
    <row r="83" spans="1:7" ht="15">
      <c r="A83" s="81" t="s">
        <v>372</v>
      </c>
      <c r="B83" s="80">
        <v>4</v>
      </c>
      <c r="C83" s="107">
        <v>0.0028848184587715667</v>
      </c>
      <c r="D83" s="80" t="s">
        <v>3229</v>
      </c>
      <c r="E83" s="80" t="b">
        <v>0</v>
      </c>
      <c r="F83" s="80" t="b">
        <v>0</v>
      </c>
      <c r="G83" s="80" t="b">
        <v>0</v>
      </c>
    </row>
    <row r="84" spans="1:7" ht="15">
      <c r="A84" s="81" t="s">
        <v>235</v>
      </c>
      <c r="B84" s="80">
        <v>4</v>
      </c>
      <c r="C84" s="107">
        <v>0.0028848184587715667</v>
      </c>
      <c r="D84" s="80" t="s">
        <v>3229</v>
      </c>
      <c r="E84" s="80" t="b">
        <v>0</v>
      </c>
      <c r="F84" s="80" t="b">
        <v>0</v>
      </c>
      <c r="G84" s="80" t="b">
        <v>0</v>
      </c>
    </row>
    <row r="85" spans="1:7" ht="15">
      <c r="A85" s="81" t="s">
        <v>3072</v>
      </c>
      <c r="B85" s="80">
        <v>4</v>
      </c>
      <c r="C85" s="107">
        <v>0.0028848184587715667</v>
      </c>
      <c r="D85" s="80" t="s">
        <v>3229</v>
      </c>
      <c r="E85" s="80" t="b">
        <v>0</v>
      </c>
      <c r="F85" s="80" t="b">
        <v>0</v>
      </c>
      <c r="G85" s="80" t="b">
        <v>0</v>
      </c>
    </row>
    <row r="86" spans="1:7" ht="15">
      <c r="A86" s="81" t="s">
        <v>3073</v>
      </c>
      <c r="B86" s="80">
        <v>4</v>
      </c>
      <c r="C86" s="107">
        <v>0.0028848184587715667</v>
      </c>
      <c r="D86" s="80" t="s">
        <v>3229</v>
      </c>
      <c r="E86" s="80" t="b">
        <v>0</v>
      </c>
      <c r="F86" s="80" t="b">
        <v>0</v>
      </c>
      <c r="G86" s="80" t="b">
        <v>0</v>
      </c>
    </row>
    <row r="87" spans="1:7" ht="15">
      <c r="A87" s="81" t="s">
        <v>262</v>
      </c>
      <c r="B87" s="80">
        <v>4</v>
      </c>
      <c r="C87" s="107">
        <v>0.0028848184587715667</v>
      </c>
      <c r="D87" s="80" t="s">
        <v>3229</v>
      </c>
      <c r="E87" s="80" t="b">
        <v>0</v>
      </c>
      <c r="F87" s="80" t="b">
        <v>0</v>
      </c>
      <c r="G87" s="80" t="b">
        <v>0</v>
      </c>
    </row>
    <row r="88" spans="1:7" ht="15">
      <c r="A88" s="81" t="s">
        <v>3074</v>
      </c>
      <c r="B88" s="80">
        <v>4</v>
      </c>
      <c r="C88" s="107">
        <v>0.0028848184587715667</v>
      </c>
      <c r="D88" s="80" t="s">
        <v>3229</v>
      </c>
      <c r="E88" s="80" t="b">
        <v>0</v>
      </c>
      <c r="F88" s="80" t="b">
        <v>0</v>
      </c>
      <c r="G88" s="80" t="b">
        <v>0</v>
      </c>
    </row>
    <row r="89" spans="1:7" ht="15">
      <c r="A89" s="81" t="s">
        <v>374</v>
      </c>
      <c r="B89" s="80">
        <v>4</v>
      </c>
      <c r="C89" s="107">
        <v>0.0028848184587715667</v>
      </c>
      <c r="D89" s="80" t="s">
        <v>3229</v>
      </c>
      <c r="E89" s="80" t="b">
        <v>0</v>
      </c>
      <c r="F89" s="80" t="b">
        <v>0</v>
      </c>
      <c r="G89" s="80" t="b">
        <v>0</v>
      </c>
    </row>
    <row r="90" spans="1:7" ht="15">
      <c r="A90" s="81" t="s">
        <v>258</v>
      </c>
      <c r="B90" s="80">
        <v>4</v>
      </c>
      <c r="C90" s="107">
        <v>0.0028848184587715667</v>
      </c>
      <c r="D90" s="80" t="s">
        <v>3229</v>
      </c>
      <c r="E90" s="80" t="b">
        <v>0</v>
      </c>
      <c r="F90" s="80" t="b">
        <v>0</v>
      </c>
      <c r="G90" s="80" t="b">
        <v>0</v>
      </c>
    </row>
    <row r="91" spans="1:7" ht="15">
      <c r="A91" s="81" t="s">
        <v>369</v>
      </c>
      <c r="B91" s="80">
        <v>4</v>
      </c>
      <c r="C91" s="107">
        <v>0.0028848184587715667</v>
      </c>
      <c r="D91" s="80" t="s">
        <v>3229</v>
      </c>
      <c r="E91" s="80" t="b">
        <v>0</v>
      </c>
      <c r="F91" s="80" t="b">
        <v>0</v>
      </c>
      <c r="G91" s="80" t="b">
        <v>0</v>
      </c>
    </row>
    <row r="92" spans="1:7" ht="15">
      <c r="A92" s="81" t="s">
        <v>3075</v>
      </c>
      <c r="B92" s="80">
        <v>4</v>
      </c>
      <c r="C92" s="107">
        <v>0.0028848184587715667</v>
      </c>
      <c r="D92" s="80" t="s">
        <v>3229</v>
      </c>
      <c r="E92" s="80" t="b">
        <v>0</v>
      </c>
      <c r="F92" s="80" t="b">
        <v>0</v>
      </c>
      <c r="G92" s="80" t="b">
        <v>0</v>
      </c>
    </row>
    <row r="93" spans="1:7" ht="15">
      <c r="A93" s="81" t="s">
        <v>370</v>
      </c>
      <c r="B93" s="80">
        <v>4</v>
      </c>
      <c r="C93" s="107">
        <v>0.0028848184587715667</v>
      </c>
      <c r="D93" s="80" t="s">
        <v>3229</v>
      </c>
      <c r="E93" s="80" t="b">
        <v>0</v>
      </c>
      <c r="F93" s="80" t="b">
        <v>0</v>
      </c>
      <c r="G93" s="80" t="b">
        <v>0</v>
      </c>
    </row>
    <row r="94" spans="1:7" ht="15">
      <c r="A94" s="81" t="s">
        <v>3076</v>
      </c>
      <c r="B94" s="80">
        <v>4</v>
      </c>
      <c r="C94" s="107">
        <v>0.003127065160872003</v>
      </c>
      <c r="D94" s="80" t="s">
        <v>3229</v>
      </c>
      <c r="E94" s="80" t="b">
        <v>0</v>
      </c>
      <c r="F94" s="80" t="b">
        <v>0</v>
      </c>
      <c r="G94" s="80" t="b">
        <v>0</v>
      </c>
    </row>
    <row r="95" spans="1:7" ht="15">
      <c r="A95" s="81" t="s">
        <v>3077</v>
      </c>
      <c r="B95" s="80">
        <v>4</v>
      </c>
      <c r="C95" s="107">
        <v>0.0028848184587715667</v>
      </c>
      <c r="D95" s="80" t="s">
        <v>3229</v>
      </c>
      <c r="E95" s="80" t="b">
        <v>0</v>
      </c>
      <c r="F95" s="80" t="b">
        <v>0</v>
      </c>
      <c r="G95" s="80" t="b">
        <v>0</v>
      </c>
    </row>
    <row r="96" spans="1:7" ht="15">
      <c r="A96" s="81" t="s">
        <v>373</v>
      </c>
      <c r="B96" s="80">
        <v>4</v>
      </c>
      <c r="C96" s="107">
        <v>0.0028848184587715667</v>
      </c>
      <c r="D96" s="80" t="s">
        <v>3229</v>
      </c>
      <c r="E96" s="80" t="b">
        <v>0</v>
      </c>
      <c r="F96" s="80" t="b">
        <v>0</v>
      </c>
      <c r="G96" s="80" t="b">
        <v>0</v>
      </c>
    </row>
    <row r="97" spans="1:7" ht="15">
      <c r="A97" s="81" t="s">
        <v>3078</v>
      </c>
      <c r="B97" s="80">
        <v>4</v>
      </c>
      <c r="C97" s="107">
        <v>0.004052166963527675</v>
      </c>
      <c r="D97" s="80" t="s">
        <v>3229</v>
      </c>
      <c r="E97" s="80" t="b">
        <v>0</v>
      </c>
      <c r="F97" s="80" t="b">
        <v>0</v>
      </c>
      <c r="G97" s="80" t="b">
        <v>0</v>
      </c>
    </row>
    <row r="98" spans="1:7" ht="15">
      <c r="A98" s="81" t="s">
        <v>260</v>
      </c>
      <c r="B98" s="80">
        <v>4</v>
      </c>
      <c r="C98" s="107">
        <v>0.0028848184587715667</v>
      </c>
      <c r="D98" s="80" t="s">
        <v>3229</v>
      </c>
      <c r="E98" s="80" t="b">
        <v>0</v>
      </c>
      <c r="F98" s="80" t="b">
        <v>0</v>
      </c>
      <c r="G98" s="80" t="b">
        <v>0</v>
      </c>
    </row>
    <row r="99" spans="1:7" ht="15">
      <c r="A99" s="81" t="s">
        <v>375</v>
      </c>
      <c r="B99" s="80">
        <v>4</v>
      </c>
      <c r="C99" s="107">
        <v>0.0028848184587715667</v>
      </c>
      <c r="D99" s="80" t="s">
        <v>3229</v>
      </c>
      <c r="E99" s="80" t="b">
        <v>0</v>
      </c>
      <c r="F99" s="80" t="b">
        <v>0</v>
      </c>
      <c r="G99" s="80" t="b">
        <v>0</v>
      </c>
    </row>
    <row r="100" spans="1:7" ht="15">
      <c r="A100" s="81" t="s">
        <v>371</v>
      </c>
      <c r="B100" s="80">
        <v>4</v>
      </c>
      <c r="C100" s="107">
        <v>0.0028848184587715667</v>
      </c>
      <c r="D100" s="80" t="s">
        <v>3229</v>
      </c>
      <c r="E100" s="80" t="b">
        <v>0</v>
      </c>
      <c r="F100" s="80" t="b">
        <v>0</v>
      </c>
      <c r="G100" s="80" t="b">
        <v>0</v>
      </c>
    </row>
    <row r="101" spans="1:7" ht="15">
      <c r="A101" s="81" t="s">
        <v>3079</v>
      </c>
      <c r="B101" s="80">
        <v>4</v>
      </c>
      <c r="C101" s="107">
        <v>0.004052166963527675</v>
      </c>
      <c r="D101" s="80" t="s">
        <v>3229</v>
      </c>
      <c r="E101" s="80" t="b">
        <v>0</v>
      </c>
      <c r="F101" s="80" t="b">
        <v>0</v>
      </c>
      <c r="G101" s="80" t="b">
        <v>0</v>
      </c>
    </row>
    <row r="102" spans="1:7" ht="15">
      <c r="A102" s="81" t="s">
        <v>3080</v>
      </c>
      <c r="B102" s="80">
        <v>4</v>
      </c>
      <c r="C102" s="107">
        <v>0.0028848184587715667</v>
      </c>
      <c r="D102" s="80" t="s">
        <v>3229</v>
      </c>
      <c r="E102" s="80" t="b">
        <v>0</v>
      </c>
      <c r="F102" s="80" t="b">
        <v>0</v>
      </c>
      <c r="G102" s="80" t="b">
        <v>0</v>
      </c>
    </row>
    <row r="103" spans="1:7" ht="15">
      <c r="A103" s="81" t="s">
        <v>261</v>
      </c>
      <c r="B103" s="80">
        <v>4</v>
      </c>
      <c r="C103" s="107">
        <v>0.0028848184587715667</v>
      </c>
      <c r="D103" s="80" t="s">
        <v>3229</v>
      </c>
      <c r="E103" s="80" t="b">
        <v>0</v>
      </c>
      <c r="F103" s="80" t="b">
        <v>0</v>
      </c>
      <c r="G103" s="80" t="b">
        <v>0</v>
      </c>
    </row>
    <row r="104" spans="1:7" ht="15">
      <c r="A104" s="81" t="s">
        <v>417</v>
      </c>
      <c r="B104" s="80">
        <v>4</v>
      </c>
      <c r="C104" s="107">
        <v>0.0028848184587715667</v>
      </c>
      <c r="D104" s="80" t="s">
        <v>3229</v>
      </c>
      <c r="E104" s="80" t="b">
        <v>0</v>
      </c>
      <c r="F104" s="80" t="b">
        <v>0</v>
      </c>
      <c r="G104" s="80" t="b">
        <v>0</v>
      </c>
    </row>
    <row r="105" spans="1:7" ht="15">
      <c r="A105" s="81" t="s">
        <v>3081</v>
      </c>
      <c r="B105" s="80">
        <v>4</v>
      </c>
      <c r="C105" s="107">
        <v>0.003127065160872003</v>
      </c>
      <c r="D105" s="80" t="s">
        <v>3229</v>
      </c>
      <c r="E105" s="80" t="b">
        <v>0</v>
      </c>
      <c r="F105" s="80" t="b">
        <v>0</v>
      </c>
      <c r="G105" s="80" t="b">
        <v>0</v>
      </c>
    </row>
    <row r="106" spans="1:7" ht="15">
      <c r="A106" s="81" t="s">
        <v>3082</v>
      </c>
      <c r="B106" s="80">
        <v>4</v>
      </c>
      <c r="C106" s="107">
        <v>0.0028848184587715667</v>
      </c>
      <c r="D106" s="80" t="s">
        <v>3229</v>
      </c>
      <c r="E106" s="80" t="b">
        <v>0</v>
      </c>
      <c r="F106" s="80" t="b">
        <v>0</v>
      </c>
      <c r="G106" s="80" t="b">
        <v>0</v>
      </c>
    </row>
    <row r="107" spans="1:7" ht="15">
      <c r="A107" s="81" t="s">
        <v>3083</v>
      </c>
      <c r="B107" s="80">
        <v>3</v>
      </c>
      <c r="C107" s="107">
        <v>0.002345298870654002</v>
      </c>
      <c r="D107" s="80" t="s">
        <v>3229</v>
      </c>
      <c r="E107" s="80" t="b">
        <v>0</v>
      </c>
      <c r="F107" s="80" t="b">
        <v>0</v>
      </c>
      <c r="G107" s="80" t="b">
        <v>0</v>
      </c>
    </row>
    <row r="108" spans="1:7" ht="15">
      <c r="A108" s="81" t="s">
        <v>3084</v>
      </c>
      <c r="B108" s="80">
        <v>3</v>
      </c>
      <c r="C108" s="107">
        <v>0.002601369533362215</v>
      </c>
      <c r="D108" s="80" t="s">
        <v>3229</v>
      </c>
      <c r="E108" s="80" t="b">
        <v>0</v>
      </c>
      <c r="F108" s="80" t="b">
        <v>0</v>
      </c>
      <c r="G108" s="80" t="b">
        <v>0</v>
      </c>
    </row>
    <row r="109" spans="1:7" ht="15">
      <c r="A109" s="81" t="s">
        <v>3085</v>
      </c>
      <c r="B109" s="80">
        <v>3</v>
      </c>
      <c r="C109" s="107">
        <v>0.002345298870654002</v>
      </c>
      <c r="D109" s="80" t="s">
        <v>3229</v>
      </c>
      <c r="E109" s="80" t="b">
        <v>0</v>
      </c>
      <c r="F109" s="80" t="b">
        <v>0</v>
      </c>
      <c r="G109" s="80" t="b">
        <v>0</v>
      </c>
    </row>
    <row r="110" spans="1:7" ht="15">
      <c r="A110" s="81" t="s">
        <v>3086</v>
      </c>
      <c r="B110" s="80">
        <v>3</v>
      </c>
      <c r="C110" s="107">
        <v>0.0030391252226457557</v>
      </c>
      <c r="D110" s="80" t="s">
        <v>3229</v>
      </c>
      <c r="E110" s="80" t="b">
        <v>0</v>
      </c>
      <c r="F110" s="80" t="b">
        <v>0</v>
      </c>
      <c r="G110" s="80" t="b">
        <v>0</v>
      </c>
    </row>
    <row r="111" spans="1:7" ht="15">
      <c r="A111" s="81" t="s">
        <v>266</v>
      </c>
      <c r="B111" s="80">
        <v>3</v>
      </c>
      <c r="C111" s="107">
        <v>0.002345298870654002</v>
      </c>
      <c r="D111" s="80" t="s">
        <v>3229</v>
      </c>
      <c r="E111" s="80" t="b">
        <v>0</v>
      </c>
      <c r="F111" s="80" t="b">
        <v>0</v>
      </c>
      <c r="G111" s="80" t="b">
        <v>0</v>
      </c>
    </row>
    <row r="112" spans="1:7" ht="15">
      <c r="A112" s="81" t="s">
        <v>3087</v>
      </c>
      <c r="B112" s="80">
        <v>3</v>
      </c>
      <c r="C112" s="107">
        <v>0.002601369533362215</v>
      </c>
      <c r="D112" s="80" t="s">
        <v>3229</v>
      </c>
      <c r="E112" s="80" t="b">
        <v>0</v>
      </c>
      <c r="F112" s="80" t="b">
        <v>0</v>
      </c>
      <c r="G112" s="80" t="b">
        <v>0</v>
      </c>
    </row>
    <row r="113" spans="1:7" ht="15">
      <c r="A113" s="81" t="s">
        <v>3088</v>
      </c>
      <c r="B113" s="80">
        <v>3</v>
      </c>
      <c r="C113" s="107">
        <v>0.002345298870654002</v>
      </c>
      <c r="D113" s="80" t="s">
        <v>3229</v>
      </c>
      <c r="E113" s="80" t="b">
        <v>0</v>
      </c>
      <c r="F113" s="80" t="b">
        <v>0</v>
      </c>
      <c r="G113" s="80" t="b">
        <v>0</v>
      </c>
    </row>
    <row r="114" spans="1:7" ht="15">
      <c r="A114" s="81" t="s">
        <v>3089</v>
      </c>
      <c r="B114" s="80">
        <v>3</v>
      </c>
      <c r="C114" s="107">
        <v>0.002345298870654002</v>
      </c>
      <c r="D114" s="80" t="s">
        <v>3229</v>
      </c>
      <c r="E114" s="80" t="b">
        <v>0</v>
      </c>
      <c r="F114" s="80" t="b">
        <v>0</v>
      </c>
      <c r="G114" s="80" t="b">
        <v>0</v>
      </c>
    </row>
    <row r="115" spans="1:7" ht="15">
      <c r="A115" s="81" t="s">
        <v>273</v>
      </c>
      <c r="B115" s="80">
        <v>3</v>
      </c>
      <c r="C115" s="107">
        <v>0.002345298870654002</v>
      </c>
      <c r="D115" s="80" t="s">
        <v>3229</v>
      </c>
      <c r="E115" s="80" t="b">
        <v>0</v>
      </c>
      <c r="F115" s="80" t="b">
        <v>0</v>
      </c>
      <c r="G115" s="80" t="b">
        <v>0</v>
      </c>
    </row>
    <row r="116" spans="1:7" ht="15">
      <c r="A116" s="81" t="s">
        <v>452</v>
      </c>
      <c r="B116" s="80">
        <v>3</v>
      </c>
      <c r="C116" s="107">
        <v>0.002601369533362215</v>
      </c>
      <c r="D116" s="80" t="s">
        <v>3229</v>
      </c>
      <c r="E116" s="80" t="b">
        <v>0</v>
      </c>
      <c r="F116" s="80" t="b">
        <v>0</v>
      </c>
      <c r="G116" s="80" t="b">
        <v>0</v>
      </c>
    </row>
    <row r="117" spans="1:7" ht="15">
      <c r="A117" s="81" t="s">
        <v>3090</v>
      </c>
      <c r="B117" s="80">
        <v>3</v>
      </c>
      <c r="C117" s="107">
        <v>0.002601369533362215</v>
      </c>
      <c r="D117" s="80" t="s">
        <v>3229</v>
      </c>
      <c r="E117" s="80" t="b">
        <v>0</v>
      </c>
      <c r="F117" s="80" t="b">
        <v>0</v>
      </c>
      <c r="G117" s="80" t="b">
        <v>0</v>
      </c>
    </row>
    <row r="118" spans="1:7" ht="15">
      <c r="A118" s="81" t="s">
        <v>366</v>
      </c>
      <c r="B118" s="80">
        <v>3</v>
      </c>
      <c r="C118" s="107">
        <v>0.002345298870654002</v>
      </c>
      <c r="D118" s="80" t="s">
        <v>3229</v>
      </c>
      <c r="E118" s="80" t="b">
        <v>0</v>
      </c>
      <c r="F118" s="80" t="b">
        <v>0</v>
      </c>
      <c r="G118" s="80" t="b">
        <v>0</v>
      </c>
    </row>
    <row r="119" spans="1:7" ht="15">
      <c r="A119" s="81" t="s">
        <v>3091</v>
      </c>
      <c r="B119" s="80">
        <v>3</v>
      </c>
      <c r="C119" s="107">
        <v>0.002601369533362215</v>
      </c>
      <c r="D119" s="80" t="s">
        <v>3229</v>
      </c>
      <c r="E119" s="80" t="b">
        <v>1</v>
      </c>
      <c r="F119" s="80" t="b">
        <v>0</v>
      </c>
      <c r="G119" s="80" t="b">
        <v>0</v>
      </c>
    </row>
    <row r="120" spans="1:7" ht="15">
      <c r="A120" s="81" t="s">
        <v>3092</v>
      </c>
      <c r="B120" s="80">
        <v>3</v>
      </c>
      <c r="C120" s="107">
        <v>0.002345298870654002</v>
      </c>
      <c r="D120" s="80" t="s">
        <v>3229</v>
      </c>
      <c r="E120" s="80" t="b">
        <v>0</v>
      </c>
      <c r="F120" s="80" t="b">
        <v>0</v>
      </c>
      <c r="G120" s="80" t="b">
        <v>0</v>
      </c>
    </row>
    <row r="121" spans="1:7" ht="15">
      <c r="A121" s="81" t="s">
        <v>3093</v>
      </c>
      <c r="B121" s="80">
        <v>3</v>
      </c>
      <c r="C121" s="107">
        <v>0.002345298870654002</v>
      </c>
      <c r="D121" s="80" t="s">
        <v>3229</v>
      </c>
      <c r="E121" s="80" t="b">
        <v>0</v>
      </c>
      <c r="F121" s="80" t="b">
        <v>0</v>
      </c>
      <c r="G121" s="80" t="b">
        <v>0</v>
      </c>
    </row>
    <row r="122" spans="1:7" ht="15">
      <c r="A122" s="81" t="s">
        <v>368</v>
      </c>
      <c r="B122" s="80">
        <v>3</v>
      </c>
      <c r="C122" s="107">
        <v>0.002601369533362215</v>
      </c>
      <c r="D122" s="80" t="s">
        <v>3229</v>
      </c>
      <c r="E122" s="80" t="b">
        <v>0</v>
      </c>
      <c r="F122" s="80" t="b">
        <v>0</v>
      </c>
      <c r="G122" s="80" t="b">
        <v>0</v>
      </c>
    </row>
    <row r="123" spans="1:7" ht="15">
      <c r="A123" s="81" t="s">
        <v>3094</v>
      </c>
      <c r="B123" s="80">
        <v>3</v>
      </c>
      <c r="C123" s="107">
        <v>0.002345298870654002</v>
      </c>
      <c r="D123" s="80" t="s">
        <v>3229</v>
      </c>
      <c r="E123" s="80" t="b">
        <v>0</v>
      </c>
      <c r="F123" s="80" t="b">
        <v>0</v>
      </c>
      <c r="G123" s="80" t="b">
        <v>0</v>
      </c>
    </row>
    <row r="124" spans="1:7" ht="15">
      <c r="A124" s="81" t="s">
        <v>3095</v>
      </c>
      <c r="B124" s="80">
        <v>3</v>
      </c>
      <c r="C124" s="107">
        <v>0.0030391252226457557</v>
      </c>
      <c r="D124" s="80" t="s">
        <v>3229</v>
      </c>
      <c r="E124" s="80" t="b">
        <v>0</v>
      </c>
      <c r="F124" s="80" t="b">
        <v>0</v>
      </c>
      <c r="G124" s="80" t="b">
        <v>0</v>
      </c>
    </row>
    <row r="125" spans="1:7" ht="15">
      <c r="A125" s="81" t="s">
        <v>3096</v>
      </c>
      <c r="B125" s="80">
        <v>3</v>
      </c>
      <c r="C125" s="107">
        <v>0.002345298870654002</v>
      </c>
      <c r="D125" s="80" t="s">
        <v>3229</v>
      </c>
      <c r="E125" s="80" t="b">
        <v>0</v>
      </c>
      <c r="F125" s="80" t="b">
        <v>0</v>
      </c>
      <c r="G125" s="80" t="b">
        <v>0</v>
      </c>
    </row>
    <row r="126" spans="1:7" ht="15">
      <c r="A126" s="81" t="s">
        <v>303</v>
      </c>
      <c r="B126" s="80">
        <v>3</v>
      </c>
      <c r="C126" s="107">
        <v>0.002345298870654002</v>
      </c>
      <c r="D126" s="80" t="s">
        <v>3229</v>
      </c>
      <c r="E126" s="80" t="b">
        <v>0</v>
      </c>
      <c r="F126" s="80" t="b">
        <v>0</v>
      </c>
      <c r="G126" s="80" t="b">
        <v>0</v>
      </c>
    </row>
    <row r="127" spans="1:7" ht="15">
      <c r="A127" s="81" t="s">
        <v>3097</v>
      </c>
      <c r="B127" s="80">
        <v>3</v>
      </c>
      <c r="C127" s="107">
        <v>0.002601369533362215</v>
      </c>
      <c r="D127" s="80" t="s">
        <v>3229</v>
      </c>
      <c r="E127" s="80" t="b">
        <v>0</v>
      </c>
      <c r="F127" s="80" t="b">
        <v>0</v>
      </c>
      <c r="G127" s="80" t="b">
        <v>0</v>
      </c>
    </row>
    <row r="128" spans="1:7" ht="15">
      <c r="A128" s="81" t="s">
        <v>285</v>
      </c>
      <c r="B128" s="80">
        <v>3</v>
      </c>
      <c r="C128" s="107">
        <v>0.002345298870654002</v>
      </c>
      <c r="D128" s="80" t="s">
        <v>3229</v>
      </c>
      <c r="E128" s="80" t="b">
        <v>0</v>
      </c>
      <c r="F128" s="80" t="b">
        <v>0</v>
      </c>
      <c r="G128" s="80" t="b">
        <v>0</v>
      </c>
    </row>
    <row r="129" spans="1:7" ht="15">
      <c r="A129" s="81" t="s">
        <v>3098</v>
      </c>
      <c r="B129" s="80">
        <v>3</v>
      </c>
      <c r="C129" s="107">
        <v>0.002601369533362215</v>
      </c>
      <c r="D129" s="80" t="s">
        <v>3229</v>
      </c>
      <c r="E129" s="80" t="b">
        <v>0</v>
      </c>
      <c r="F129" s="80" t="b">
        <v>0</v>
      </c>
      <c r="G129" s="80" t="b">
        <v>0</v>
      </c>
    </row>
    <row r="130" spans="1:7" ht="15">
      <c r="A130" s="81" t="s">
        <v>3099</v>
      </c>
      <c r="B130" s="80">
        <v>3</v>
      </c>
      <c r="C130" s="107">
        <v>0.002601369533362215</v>
      </c>
      <c r="D130" s="80" t="s">
        <v>3229</v>
      </c>
      <c r="E130" s="80" t="b">
        <v>0</v>
      </c>
      <c r="F130" s="80" t="b">
        <v>0</v>
      </c>
      <c r="G130" s="80" t="b">
        <v>0</v>
      </c>
    </row>
    <row r="131" spans="1:7" ht="15">
      <c r="A131" s="81" t="s">
        <v>268</v>
      </c>
      <c r="B131" s="80">
        <v>3</v>
      </c>
      <c r="C131" s="107">
        <v>0.002345298870654002</v>
      </c>
      <c r="D131" s="80" t="s">
        <v>3229</v>
      </c>
      <c r="E131" s="80" t="b">
        <v>0</v>
      </c>
      <c r="F131" s="80" t="b">
        <v>0</v>
      </c>
      <c r="G131" s="80" t="b">
        <v>0</v>
      </c>
    </row>
    <row r="132" spans="1:7" ht="15">
      <c r="A132" s="81" t="s">
        <v>362</v>
      </c>
      <c r="B132" s="80">
        <v>3</v>
      </c>
      <c r="C132" s="107">
        <v>0.002345298870654002</v>
      </c>
      <c r="D132" s="80" t="s">
        <v>3229</v>
      </c>
      <c r="E132" s="80" t="b">
        <v>0</v>
      </c>
      <c r="F132" s="80" t="b">
        <v>0</v>
      </c>
      <c r="G132" s="80" t="b">
        <v>0</v>
      </c>
    </row>
    <row r="133" spans="1:7" ht="15">
      <c r="A133" s="81" t="s">
        <v>509</v>
      </c>
      <c r="B133" s="80">
        <v>3</v>
      </c>
      <c r="C133" s="107">
        <v>0.002345298870654002</v>
      </c>
      <c r="D133" s="80" t="s">
        <v>3229</v>
      </c>
      <c r="E133" s="80" t="b">
        <v>0</v>
      </c>
      <c r="F133" s="80" t="b">
        <v>0</v>
      </c>
      <c r="G133" s="80" t="b">
        <v>0</v>
      </c>
    </row>
    <row r="134" spans="1:7" ht="15">
      <c r="A134" s="81" t="s">
        <v>3100</v>
      </c>
      <c r="B134" s="80">
        <v>3</v>
      </c>
      <c r="C134" s="107">
        <v>0.002345298870654002</v>
      </c>
      <c r="D134" s="80" t="s">
        <v>3229</v>
      </c>
      <c r="E134" s="80" t="b">
        <v>0</v>
      </c>
      <c r="F134" s="80" t="b">
        <v>0</v>
      </c>
      <c r="G134" s="80" t="b">
        <v>0</v>
      </c>
    </row>
    <row r="135" spans="1:7" ht="15">
      <c r="A135" s="81" t="s">
        <v>3101</v>
      </c>
      <c r="B135" s="80">
        <v>3</v>
      </c>
      <c r="C135" s="107">
        <v>0.002345298870654002</v>
      </c>
      <c r="D135" s="80" t="s">
        <v>3229</v>
      </c>
      <c r="E135" s="80" t="b">
        <v>0</v>
      </c>
      <c r="F135" s="80" t="b">
        <v>0</v>
      </c>
      <c r="G135" s="80" t="b">
        <v>0</v>
      </c>
    </row>
    <row r="136" spans="1:7" ht="15">
      <c r="A136" s="81" t="s">
        <v>3102</v>
      </c>
      <c r="B136" s="80">
        <v>3</v>
      </c>
      <c r="C136" s="107">
        <v>0.002601369533362215</v>
      </c>
      <c r="D136" s="80" t="s">
        <v>3229</v>
      </c>
      <c r="E136" s="80" t="b">
        <v>0</v>
      </c>
      <c r="F136" s="80" t="b">
        <v>0</v>
      </c>
      <c r="G136" s="80" t="b">
        <v>0</v>
      </c>
    </row>
    <row r="137" spans="1:7" ht="15">
      <c r="A137" s="81" t="s">
        <v>3103</v>
      </c>
      <c r="B137" s="80">
        <v>3</v>
      </c>
      <c r="C137" s="107">
        <v>0.002345298870654002</v>
      </c>
      <c r="D137" s="80" t="s">
        <v>3229</v>
      </c>
      <c r="E137" s="80" t="b">
        <v>0</v>
      </c>
      <c r="F137" s="80" t="b">
        <v>0</v>
      </c>
      <c r="G137" s="80" t="b">
        <v>0</v>
      </c>
    </row>
    <row r="138" spans="1:7" ht="15">
      <c r="A138" s="81" t="s">
        <v>3104</v>
      </c>
      <c r="B138" s="80">
        <v>3</v>
      </c>
      <c r="C138" s="107">
        <v>0.002345298870654002</v>
      </c>
      <c r="D138" s="80" t="s">
        <v>3229</v>
      </c>
      <c r="E138" s="80" t="b">
        <v>0</v>
      </c>
      <c r="F138" s="80" t="b">
        <v>0</v>
      </c>
      <c r="G138" s="80" t="b">
        <v>0</v>
      </c>
    </row>
    <row r="139" spans="1:7" ht="15">
      <c r="A139" s="81" t="s">
        <v>3105</v>
      </c>
      <c r="B139" s="80">
        <v>3</v>
      </c>
      <c r="C139" s="107">
        <v>0.002345298870654002</v>
      </c>
      <c r="D139" s="80" t="s">
        <v>3229</v>
      </c>
      <c r="E139" s="80" t="b">
        <v>0</v>
      </c>
      <c r="F139" s="80" t="b">
        <v>0</v>
      </c>
      <c r="G139" s="80" t="b">
        <v>0</v>
      </c>
    </row>
    <row r="140" spans="1:7" ht="15">
      <c r="A140" s="81" t="s">
        <v>272</v>
      </c>
      <c r="B140" s="80">
        <v>3</v>
      </c>
      <c r="C140" s="107">
        <v>0.002345298870654002</v>
      </c>
      <c r="D140" s="80" t="s">
        <v>3229</v>
      </c>
      <c r="E140" s="80" t="b">
        <v>0</v>
      </c>
      <c r="F140" s="80" t="b">
        <v>0</v>
      </c>
      <c r="G140" s="80" t="b">
        <v>0</v>
      </c>
    </row>
    <row r="141" spans="1:7" ht="15">
      <c r="A141" s="81" t="s">
        <v>3106</v>
      </c>
      <c r="B141" s="80">
        <v>3</v>
      </c>
      <c r="C141" s="107">
        <v>0.002345298870654002</v>
      </c>
      <c r="D141" s="80" t="s">
        <v>3229</v>
      </c>
      <c r="E141" s="80" t="b">
        <v>0</v>
      </c>
      <c r="F141" s="80" t="b">
        <v>0</v>
      </c>
      <c r="G141" s="80" t="b">
        <v>0</v>
      </c>
    </row>
    <row r="142" spans="1:7" ht="15">
      <c r="A142" s="81" t="s">
        <v>3107</v>
      </c>
      <c r="B142" s="80">
        <v>3</v>
      </c>
      <c r="C142" s="107">
        <v>0.002345298870654002</v>
      </c>
      <c r="D142" s="80" t="s">
        <v>3229</v>
      </c>
      <c r="E142" s="80" t="b">
        <v>0</v>
      </c>
      <c r="F142" s="80" t="b">
        <v>0</v>
      </c>
      <c r="G142" s="80" t="b">
        <v>0</v>
      </c>
    </row>
    <row r="143" spans="1:7" ht="15">
      <c r="A143" s="81" t="s">
        <v>3108</v>
      </c>
      <c r="B143" s="80">
        <v>3</v>
      </c>
      <c r="C143" s="107">
        <v>0.002601369533362215</v>
      </c>
      <c r="D143" s="80" t="s">
        <v>3229</v>
      </c>
      <c r="E143" s="80" t="b">
        <v>0</v>
      </c>
      <c r="F143" s="80" t="b">
        <v>0</v>
      </c>
      <c r="G143" s="80" t="b">
        <v>0</v>
      </c>
    </row>
    <row r="144" spans="1:7" ht="15">
      <c r="A144" s="81" t="s">
        <v>3109</v>
      </c>
      <c r="B144" s="80">
        <v>3</v>
      </c>
      <c r="C144" s="107">
        <v>0.0030391252226457557</v>
      </c>
      <c r="D144" s="80" t="s">
        <v>3229</v>
      </c>
      <c r="E144" s="80" t="b">
        <v>0</v>
      </c>
      <c r="F144" s="80" t="b">
        <v>0</v>
      </c>
      <c r="G144" s="80" t="b">
        <v>0</v>
      </c>
    </row>
    <row r="145" spans="1:7" ht="15">
      <c r="A145" s="81" t="s">
        <v>267</v>
      </c>
      <c r="B145" s="80">
        <v>3</v>
      </c>
      <c r="C145" s="107">
        <v>0.002345298870654002</v>
      </c>
      <c r="D145" s="80" t="s">
        <v>3229</v>
      </c>
      <c r="E145" s="80" t="b">
        <v>0</v>
      </c>
      <c r="F145" s="80" t="b">
        <v>0</v>
      </c>
      <c r="G145" s="80" t="b">
        <v>0</v>
      </c>
    </row>
    <row r="146" spans="1:7" ht="15">
      <c r="A146" s="81" t="s">
        <v>3110</v>
      </c>
      <c r="B146" s="80">
        <v>3</v>
      </c>
      <c r="C146" s="107">
        <v>0.002601369533362215</v>
      </c>
      <c r="D146" s="80" t="s">
        <v>3229</v>
      </c>
      <c r="E146" s="80" t="b">
        <v>0</v>
      </c>
      <c r="F146" s="80" t="b">
        <v>0</v>
      </c>
      <c r="G146" s="80" t="b">
        <v>0</v>
      </c>
    </row>
    <row r="147" spans="1:7" ht="15">
      <c r="A147" s="81" t="s">
        <v>3111</v>
      </c>
      <c r="B147" s="80">
        <v>2</v>
      </c>
      <c r="C147" s="107">
        <v>0.0020260834817638373</v>
      </c>
      <c r="D147" s="80" t="s">
        <v>3229</v>
      </c>
      <c r="E147" s="80" t="b">
        <v>0</v>
      </c>
      <c r="F147" s="80" t="b">
        <v>0</v>
      </c>
      <c r="G147" s="80" t="b">
        <v>0</v>
      </c>
    </row>
    <row r="148" spans="1:7" ht="15">
      <c r="A148" s="81" t="s">
        <v>269</v>
      </c>
      <c r="B148" s="80">
        <v>2</v>
      </c>
      <c r="C148" s="107">
        <v>0.0017342463555748103</v>
      </c>
      <c r="D148" s="80" t="s">
        <v>3229</v>
      </c>
      <c r="E148" s="80" t="b">
        <v>0</v>
      </c>
      <c r="F148" s="80" t="b">
        <v>0</v>
      </c>
      <c r="G148" s="80" t="b">
        <v>0</v>
      </c>
    </row>
    <row r="149" spans="1:7" ht="15">
      <c r="A149" s="81" t="s">
        <v>416</v>
      </c>
      <c r="B149" s="80">
        <v>2</v>
      </c>
      <c r="C149" s="107">
        <v>0.0017342463555748103</v>
      </c>
      <c r="D149" s="80" t="s">
        <v>3229</v>
      </c>
      <c r="E149" s="80" t="b">
        <v>0</v>
      </c>
      <c r="F149" s="80" t="b">
        <v>0</v>
      </c>
      <c r="G149" s="80" t="b">
        <v>0</v>
      </c>
    </row>
    <row r="150" spans="1:7" ht="15">
      <c r="A150" s="81" t="s">
        <v>3112</v>
      </c>
      <c r="B150" s="80">
        <v>2</v>
      </c>
      <c r="C150" s="107">
        <v>0.0017342463555748103</v>
      </c>
      <c r="D150" s="80" t="s">
        <v>3229</v>
      </c>
      <c r="E150" s="80" t="b">
        <v>0</v>
      </c>
      <c r="F150" s="80" t="b">
        <v>0</v>
      </c>
      <c r="G150" s="80" t="b">
        <v>0</v>
      </c>
    </row>
    <row r="151" spans="1:7" ht="15">
      <c r="A151" s="81" t="s">
        <v>3113</v>
      </c>
      <c r="B151" s="80">
        <v>2</v>
      </c>
      <c r="C151" s="107">
        <v>0.0017342463555748103</v>
      </c>
      <c r="D151" s="80" t="s">
        <v>3229</v>
      </c>
      <c r="E151" s="80" t="b">
        <v>0</v>
      </c>
      <c r="F151" s="80" t="b">
        <v>0</v>
      </c>
      <c r="G151" s="80" t="b">
        <v>0</v>
      </c>
    </row>
    <row r="152" spans="1:7" ht="15">
      <c r="A152" s="81" t="s">
        <v>3114</v>
      </c>
      <c r="B152" s="80">
        <v>2</v>
      </c>
      <c r="C152" s="107">
        <v>0.0017342463555748103</v>
      </c>
      <c r="D152" s="80" t="s">
        <v>3229</v>
      </c>
      <c r="E152" s="80" t="b">
        <v>0</v>
      </c>
      <c r="F152" s="80" t="b">
        <v>0</v>
      </c>
      <c r="G152" s="80" t="b">
        <v>0</v>
      </c>
    </row>
    <row r="153" spans="1:7" ht="15">
      <c r="A153" s="81" t="s">
        <v>3115</v>
      </c>
      <c r="B153" s="80">
        <v>2</v>
      </c>
      <c r="C153" s="107">
        <v>0.0017342463555748103</v>
      </c>
      <c r="D153" s="80" t="s">
        <v>3229</v>
      </c>
      <c r="E153" s="80" t="b">
        <v>0</v>
      </c>
      <c r="F153" s="80" t="b">
        <v>0</v>
      </c>
      <c r="G153" s="80" t="b">
        <v>0</v>
      </c>
    </row>
    <row r="154" spans="1:7" ht="15">
      <c r="A154" s="81" t="s">
        <v>3116</v>
      </c>
      <c r="B154" s="80">
        <v>2</v>
      </c>
      <c r="C154" s="107">
        <v>0.0017342463555748103</v>
      </c>
      <c r="D154" s="80" t="s">
        <v>3229</v>
      </c>
      <c r="E154" s="80" t="b">
        <v>0</v>
      </c>
      <c r="F154" s="80" t="b">
        <v>0</v>
      </c>
      <c r="G154" s="80" t="b">
        <v>0</v>
      </c>
    </row>
    <row r="155" spans="1:7" ht="15">
      <c r="A155" s="81" t="s">
        <v>3117</v>
      </c>
      <c r="B155" s="80">
        <v>2</v>
      </c>
      <c r="C155" s="107">
        <v>0.0017342463555748103</v>
      </c>
      <c r="D155" s="80" t="s">
        <v>3229</v>
      </c>
      <c r="E155" s="80" t="b">
        <v>0</v>
      </c>
      <c r="F155" s="80" t="b">
        <v>0</v>
      </c>
      <c r="G155" s="80" t="b">
        <v>0</v>
      </c>
    </row>
    <row r="156" spans="1:7" ht="15">
      <c r="A156" s="81" t="s">
        <v>3118</v>
      </c>
      <c r="B156" s="80">
        <v>2</v>
      </c>
      <c r="C156" s="107">
        <v>0.0017342463555748103</v>
      </c>
      <c r="D156" s="80" t="s">
        <v>3229</v>
      </c>
      <c r="E156" s="80" t="b">
        <v>0</v>
      </c>
      <c r="F156" s="80" t="b">
        <v>0</v>
      </c>
      <c r="G156" s="80" t="b">
        <v>0</v>
      </c>
    </row>
    <row r="157" spans="1:7" ht="15">
      <c r="A157" s="81" t="s">
        <v>443</v>
      </c>
      <c r="B157" s="80">
        <v>2</v>
      </c>
      <c r="C157" s="107">
        <v>0.0017342463555748103</v>
      </c>
      <c r="D157" s="80" t="s">
        <v>3229</v>
      </c>
      <c r="E157" s="80" t="b">
        <v>0</v>
      </c>
      <c r="F157" s="80" t="b">
        <v>0</v>
      </c>
      <c r="G157" s="80" t="b">
        <v>0</v>
      </c>
    </row>
    <row r="158" spans="1:7" ht="15">
      <c r="A158" s="81" t="s">
        <v>3119</v>
      </c>
      <c r="B158" s="80">
        <v>2</v>
      </c>
      <c r="C158" s="107">
        <v>0.0017342463555748103</v>
      </c>
      <c r="D158" s="80" t="s">
        <v>3229</v>
      </c>
      <c r="E158" s="80" t="b">
        <v>0</v>
      </c>
      <c r="F158" s="80" t="b">
        <v>0</v>
      </c>
      <c r="G158" s="80" t="b">
        <v>0</v>
      </c>
    </row>
    <row r="159" spans="1:7" ht="15">
      <c r="A159" s="81" t="s">
        <v>271</v>
      </c>
      <c r="B159" s="80">
        <v>2</v>
      </c>
      <c r="C159" s="107">
        <v>0.0017342463555748103</v>
      </c>
      <c r="D159" s="80" t="s">
        <v>3229</v>
      </c>
      <c r="E159" s="80" t="b">
        <v>0</v>
      </c>
      <c r="F159" s="80" t="b">
        <v>0</v>
      </c>
      <c r="G159" s="80" t="b">
        <v>0</v>
      </c>
    </row>
    <row r="160" spans="1:7" ht="15">
      <c r="A160" s="81" t="s">
        <v>3120</v>
      </c>
      <c r="B160" s="80">
        <v>2</v>
      </c>
      <c r="C160" s="107">
        <v>0.0020260834817638373</v>
      </c>
      <c r="D160" s="80" t="s">
        <v>3229</v>
      </c>
      <c r="E160" s="80" t="b">
        <v>0</v>
      </c>
      <c r="F160" s="80" t="b">
        <v>0</v>
      </c>
      <c r="G160" s="80" t="b">
        <v>0</v>
      </c>
    </row>
    <row r="161" spans="1:7" ht="15">
      <c r="A161" s="81" t="s">
        <v>3121</v>
      </c>
      <c r="B161" s="80">
        <v>2</v>
      </c>
      <c r="C161" s="107">
        <v>0.0017342463555748103</v>
      </c>
      <c r="D161" s="80" t="s">
        <v>3229</v>
      </c>
      <c r="E161" s="80" t="b">
        <v>0</v>
      </c>
      <c r="F161" s="80" t="b">
        <v>0</v>
      </c>
      <c r="G161" s="80" t="b">
        <v>0</v>
      </c>
    </row>
    <row r="162" spans="1:7" ht="15">
      <c r="A162" s="81" t="s">
        <v>464</v>
      </c>
      <c r="B162" s="80">
        <v>2</v>
      </c>
      <c r="C162" s="107">
        <v>0.0017342463555748103</v>
      </c>
      <c r="D162" s="80" t="s">
        <v>3229</v>
      </c>
      <c r="E162" s="80" t="b">
        <v>0</v>
      </c>
      <c r="F162" s="80" t="b">
        <v>0</v>
      </c>
      <c r="G162" s="80" t="b">
        <v>0</v>
      </c>
    </row>
    <row r="163" spans="1:7" ht="15">
      <c r="A163" s="81" t="s">
        <v>3122</v>
      </c>
      <c r="B163" s="80">
        <v>2</v>
      </c>
      <c r="C163" s="107">
        <v>0.0020260834817638373</v>
      </c>
      <c r="D163" s="80" t="s">
        <v>3229</v>
      </c>
      <c r="E163" s="80" t="b">
        <v>0</v>
      </c>
      <c r="F163" s="80" t="b">
        <v>0</v>
      </c>
      <c r="G163" s="80" t="b">
        <v>0</v>
      </c>
    </row>
    <row r="164" spans="1:7" ht="15">
      <c r="A164" s="81" t="s">
        <v>378</v>
      </c>
      <c r="B164" s="80">
        <v>2</v>
      </c>
      <c r="C164" s="107">
        <v>0.0017342463555748103</v>
      </c>
      <c r="D164" s="80" t="s">
        <v>3229</v>
      </c>
      <c r="E164" s="80" t="b">
        <v>0</v>
      </c>
      <c r="F164" s="80" t="b">
        <v>0</v>
      </c>
      <c r="G164" s="80" t="b">
        <v>0</v>
      </c>
    </row>
    <row r="165" spans="1:7" ht="15">
      <c r="A165" s="81" t="s">
        <v>3123</v>
      </c>
      <c r="B165" s="80">
        <v>2</v>
      </c>
      <c r="C165" s="107">
        <v>0.0017342463555748103</v>
      </c>
      <c r="D165" s="80" t="s">
        <v>3229</v>
      </c>
      <c r="E165" s="80" t="b">
        <v>0</v>
      </c>
      <c r="F165" s="80" t="b">
        <v>0</v>
      </c>
      <c r="G165" s="80" t="b">
        <v>0</v>
      </c>
    </row>
    <row r="166" spans="1:7" ht="15">
      <c r="A166" s="81" t="s">
        <v>3124</v>
      </c>
      <c r="B166" s="80">
        <v>2</v>
      </c>
      <c r="C166" s="107">
        <v>0.0020260834817638373</v>
      </c>
      <c r="D166" s="80" t="s">
        <v>3229</v>
      </c>
      <c r="E166" s="80" t="b">
        <v>0</v>
      </c>
      <c r="F166" s="80" t="b">
        <v>0</v>
      </c>
      <c r="G166" s="80" t="b">
        <v>0</v>
      </c>
    </row>
    <row r="167" spans="1:7" ht="15">
      <c r="A167" s="81" t="s">
        <v>3125</v>
      </c>
      <c r="B167" s="80">
        <v>2</v>
      </c>
      <c r="C167" s="107">
        <v>0.0017342463555748103</v>
      </c>
      <c r="D167" s="80" t="s">
        <v>3229</v>
      </c>
      <c r="E167" s="80" t="b">
        <v>0</v>
      </c>
      <c r="F167" s="80" t="b">
        <v>0</v>
      </c>
      <c r="G167" s="80" t="b">
        <v>0</v>
      </c>
    </row>
    <row r="168" spans="1:7" ht="15">
      <c r="A168" s="81" t="s">
        <v>3126</v>
      </c>
      <c r="B168" s="80">
        <v>2</v>
      </c>
      <c r="C168" s="107">
        <v>0.0017342463555748103</v>
      </c>
      <c r="D168" s="80" t="s">
        <v>3229</v>
      </c>
      <c r="E168" s="80" t="b">
        <v>0</v>
      </c>
      <c r="F168" s="80" t="b">
        <v>1</v>
      </c>
      <c r="G168" s="80" t="b">
        <v>0</v>
      </c>
    </row>
    <row r="169" spans="1:7" ht="15">
      <c r="A169" s="81" t="s">
        <v>3127</v>
      </c>
      <c r="B169" s="80">
        <v>2</v>
      </c>
      <c r="C169" s="107">
        <v>0.0017342463555748103</v>
      </c>
      <c r="D169" s="80" t="s">
        <v>3229</v>
      </c>
      <c r="E169" s="80" t="b">
        <v>0</v>
      </c>
      <c r="F169" s="80" t="b">
        <v>0</v>
      </c>
      <c r="G169" s="80" t="b">
        <v>0</v>
      </c>
    </row>
    <row r="170" spans="1:7" ht="15">
      <c r="A170" s="81" t="s">
        <v>463</v>
      </c>
      <c r="B170" s="80">
        <v>2</v>
      </c>
      <c r="C170" s="107">
        <v>0.0017342463555748103</v>
      </c>
      <c r="D170" s="80" t="s">
        <v>3229</v>
      </c>
      <c r="E170" s="80" t="b">
        <v>0</v>
      </c>
      <c r="F170" s="80" t="b">
        <v>0</v>
      </c>
      <c r="G170" s="80" t="b">
        <v>0</v>
      </c>
    </row>
    <row r="171" spans="1:7" ht="15">
      <c r="A171" s="81" t="s">
        <v>3128</v>
      </c>
      <c r="B171" s="80">
        <v>2</v>
      </c>
      <c r="C171" s="107">
        <v>0.0020260834817638373</v>
      </c>
      <c r="D171" s="80" t="s">
        <v>3229</v>
      </c>
      <c r="E171" s="80" t="b">
        <v>0</v>
      </c>
      <c r="F171" s="80" t="b">
        <v>0</v>
      </c>
      <c r="G171" s="80" t="b">
        <v>0</v>
      </c>
    </row>
    <row r="172" spans="1:7" ht="15">
      <c r="A172" s="81" t="s">
        <v>3129</v>
      </c>
      <c r="B172" s="80">
        <v>2</v>
      </c>
      <c r="C172" s="107">
        <v>0.0017342463555748103</v>
      </c>
      <c r="D172" s="80" t="s">
        <v>3229</v>
      </c>
      <c r="E172" s="80" t="b">
        <v>0</v>
      </c>
      <c r="F172" s="80" t="b">
        <v>0</v>
      </c>
      <c r="G172" s="80" t="b">
        <v>0</v>
      </c>
    </row>
    <row r="173" spans="1:7" ht="15">
      <c r="A173" s="81" t="s">
        <v>3130</v>
      </c>
      <c r="B173" s="80">
        <v>2</v>
      </c>
      <c r="C173" s="107">
        <v>0.0017342463555748103</v>
      </c>
      <c r="D173" s="80" t="s">
        <v>3229</v>
      </c>
      <c r="E173" s="80" t="b">
        <v>0</v>
      </c>
      <c r="F173" s="80" t="b">
        <v>0</v>
      </c>
      <c r="G173" s="80" t="b">
        <v>0</v>
      </c>
    </row>
    <row r="174" spans="1:7" ht="15">
      <c r="A174" s="81" t="s">
        <v>3131</v>
      </c>
      <c r="B174" s="80">
        <v>2</v>
      </c>
      <c r="C174" s="107">
        <v>0.0020260834817638373</v>
      </c>
      <c r="D174" s="80" t="s">
        <v>3229</v>
      </c>
      <c r="E174" s="80" t="b">
        <v>0</v>
      </c>
      <c r="F174" s="80" t="b">
        <v>0</v>
      </c>
      <c r="G174" s="80" t="b">
        <v>0</v>
      </c>
    </row>
    <row r="175" spans="1:7" ht="15">
      <c r="A175" s="81" t="s">
        <v>3132</v>
      </c>
      <c r="B175" s="80">
        <v>2</v>
      </c>
      <c r="C175" s="107">
        <v>0.0020260834817638373</v>
      </c>
      <c r="D175" s="80" t="s">
        <v>3229</v>
      </c>
      <c r="E175" s="80" t="b">
        <v>0</v>
      </c>
      <c r="F175" s="80" t="b">
        <v>0</v>
      </c>
      <c r="G175" s="80" t="b">
        <v>0</v>
      </c>
    </row>
    <row r="176" spans="1:7" ht="15">
      <c r="A176" s="81" t="s">
        <v>3133</v>
      </c>
      <c r="B176" s="80">
        <v>2</v>
      </c>
      <c r="C176" s="107">
        <v>0.0017342463555748103</v>
      </c>
      <c r="D176" s="80" t="s">
        <v>3229</v>
      </c>
      <c r="E176" s="80" t="b">
        <v>1</v>
      </c>
      <c r="F176" s="80" t="b">
        <v>0</v>
      </c>
      <c r="G176" s="80" t="b">
        <v>0</v>
      </c>
    </row>
    <row r="177" spans="1:7" ht="15">
      <c r="A177" s="81" t="s">
        <v>3134</v>
      </c>
      <c r="B177" s="80">
        <v>2</v>
      </c>
      <c r="C177" s="107">
        <v>0.0017342463555748103</v>
      </c>
      <c r="D177" s="80" t="s">
        <v>3229</v>
      </c>
      <c r="E177" s="80" t="b">
        <v>0</v>
      </c>
      <c r="F177" s="80" t="b">
        <v>0</v>
      </c>
      <c r="G177" s="80" t="b">
        <v>0</v>
      </c>
    </row>
    <row r="178" spans="1:7" ht="15">
      <c r="A178" s="81" t="s">
        <v>3135</v>
      </c>
      <c r="B178" s="80">
        <v>2</v>
      </c>
      <c r="C178" s="107">
        <v>0.0020260834817638373</v>
      </c>
      <c r="D178" s="80" t="s">
        <v>3229</v>
      </c>
      <c r="E178" s="80" t="b">
        <v>0</v>
      </c>
      <c r="F178" s="80" t="b">
        <v>0</v>
      </c>
      <c r="G178" s="80" t="b">
        <v>0</v>
      </c>
    </row>
    <row r="179" spans="1:7" ht="15">
      <c r="A179" s="81" t="s">
        <v>3136</v>
      </c>
      <c r="B179" s="80">
        <v>2</v>
      </c>
      <c r="C179" s="107">
        <v>0.0017342463555748103</v>
      </c>
      <c r="D179" s="80" t="s">
        <v>3229</v>
      </c>
      <c r="E179" s="80" t="b">
        <v>0</v>
      </c>
      <c r="F179" s="80" t="b">
        <v>0</v>
      </c>
      <c r="G179" s="80" t="b">
        <v>0</v>
      </c>
    </row>
    <row r="180" spans="1:7" ht="15">
      <c r="A180" s="81" t="s">
        <v>3137</v>
      </c>
      <c r="B180" s="80">
        <v>2</v>
      </c>
      <c r="C180" s="107">
        <v>0.0017342463555748103</v>
      </c>
      <c r="D180" s="80" t="s">
        <v>3229</v>
      </c>
      <c r="E180" s="80" t="b">
        <v>0</v>
      </c>
      <c r="F180" s="80" t="b">
        <v>0</v>
      </c>
      <c r="G180" s="80" t="b">
        <v>0</v>
      </c>
    </row>
    <row r="181" spans="1:7" ht="15">
      <c r="A181" s="81" t="s">
        <v>3138</v>
      </c>
      <c r="B181" s="80">
        <v>2</v>
      </c>
      <c r="C181" s="107">
        <v>0.0017342463555748103</v>
      </c>
      <c r="D181" s="80" t="s">
        <v>3229</v>
      </c>
      <c r="E181" s="80" t="b">
        <v>0</v>
      </c>
      <c r="F181" s="80" t="b">
        <v>0</v>
      </c>
      <c r="G181" s="80" t="b">
        <v>0</v>
      </c>
    </row>
    <row r="182" spans="1:7" ht="15">
      <c r="A182" s="81" t="s">
        <v>3139</v>
      </c>
      <c r="B182" s="80">
        <v>2</v>
      </c>
      <c r="C182" s="107">
        <v>0.0017342463555748103</v>
      </c>
      <c r="D182" s="80" t="s">
        <v>3229</v>
      </c>
      <c r="E182" s="80" t="b">
        <v>0</v>
      </c>
      <c r="F182" s="80" t="b">
        <v>0</v>
      </c>
      <c r="G182" s="80" t="b">
        <v>0</v>
      </c>
    </row>
    <row r="183" spans="1:7" ht="15">
      <c r="A183" s="81" t="s">
        <v>3140</v>
      </c>
      <c r="B183" s="80">
        <v>2</v>
      </c>
      <c r="C183" s="107">
        <v>0.0017342463555748103</v>
      </c>
      <c r="D183" s="80" t="s">
        <v>3229</v>
      </c>
      <c r="E183" s="80" t="b">
        <v>0</v>
      </c>
      <c r="F183" s="80" t="b">
        <v>0</v>
      </c>
      <c r="G183" s="80" t="b">
        <v>0</v>
      </c>
    </row>
    <row r="184" spans="1:7" ht="15">
      <c r="A184" s="81" t="s">
        <v>3141</v>
      </c>
      <c r="B184" s="80">
        <v>2</v>
      </c>
      <c r="C184" s="107">
        <v>0.0020260834817638373</v>
      </c>
      <c r="D184" s="80" t="s">
        <v>3229</v>
      </c>
      <c r="E184" s="80" t="b">
        <v>0</v>
      </c>
      <c r="F184" s="80" t="b">
        <v>0</v>
      </c>
      <c r="G184" s="80" t="b">
        <v>0</v>
      </c>
    </row>
    <row r="185" spans="1:7" ht="15">
      <c r="A185" s="81" t="s">
        <v>3142</v>
      </c>
      <c r="B185" s="80">
        <v>2</v>
      </c>
      <c r="C185" s="107">
        <v>0.0017342463555748103</v>
      </c>
      <c r="D185" s="80" t="s">
        <v>3229</v>
      </c>
      <c r="E185" s="80" t="b">
        <v>0</v>
      </c>
      <c r="F185" s="80" t="b">
        <v>0</v>
      </c>
      <c r="G185" s="80" t="b">
        <v>0</v>
      </c>
    </row>
    <row r="186" spans="1:7" ht="15">
      <c r="A186" s="81" t="s">
        <v>421</v>
      </c>
      <c r="B186" s="80">
        <v>2</v>
      </c>
      <c r="C186" s="107">
        <v>0.0017342463555748103</v>
      </c>
      <c r="D186" s="80" t="s">
        <v>3229</v>
      </c>
      <c r="E186" s="80" t="b">
        <v>0</v>
      </c>
      <c r="F186" s="80" t="b">
        <v>0</v>
      </c>
      <c r="G186" s="80" t="b">
        <v>0</v>
      </c>
    </row>
    <row r="187" spans="1:7" ht="15">
      <c r="A187" s="81" t="s">
        <v>470</v>
      </c>
      <c r="B187" s="80">
        <v>2</v>
      </c>
      <c r="C187" s="107">
        <v>0.0017342463555748103</v>
      </c>
      <c r="D187" s="80" t="s">
        <v>3229</v>
      </c>
      <c r="E187" s="80" t="b">
        <v>0</v>
      </c>
      <c r="F187" s="80" t="b">
        <v>0</v>
      </c>
      <c r="G187" s="80" t="b">
        <v>0</v>
      </c>
    </row>
    <row r="188" spans="1:7" ht="15">
      <c r="A188" s="81" t="s">
        <v>3143</v>
      </c>
      <c r="B188" s="80">
        <v>2</v>
      </c>
      <c r="C188" s="107">
        <v>0.0020260834817638373</v>
      </c>
      <c r="D188" s="80" t="s">
        <v>3229</v>
      </c>
      <c r="E188" s="80" t="b">
        <v>0</v>
      </c>
      <c r="F188" s="80" t="b">
        <v>0</v>
      </c>
      <c r="G188" s="80" t="b">
        <v>0</v>
      </c>
    </row>
    <row r="189" spans="1:7" ht="15">
      <c r="A189" s="81" t="s">
        <v>3144</v>
      </c>
      <c r="B189" s="80">
        <v>2</v>
      </c>
      <c r="C189" s="107">
        <v>0.0017342463555748103</v>
      </c>
      <c r="D189" s="80" t="s">
        <v>3229</v>
      </c>
      <c r="E189" s="80" t="b">
        <v>0</v>
      </c>
      <c r="F189" s="80" t="b">
        <v>0</v>
      </c>
      <c r="G189" s="80" t="b">
        <v>0</v>
      </c>
    </row>
    <row r="190" spans="1:7" ht="15">
      <c r="A190" s="81" t="s">
        <v>3145</v>
      </c>
      <c r="B190" s="80">
        <v>2</v>
      </c>
      <c r="C190" s="107">
        <v>0.0017342463555748103</v>
      </c>
      <c r="D190" s="80" t="s">
        <v>3229</v>
      </c>
      <c r="E190" s="80" t="b">
        <v>0</v>
      </c>
      <c r="F190" s="80" t="b">
        <v>0</v>
      </c>
      <c r="G190" s="80" t="b">
        <v>0</v>
      </c>
    </row>
    <row r="191" spans="1:7" ht="15">
      <c r="A191" s="81" t="s">
        <v>3146</v>
      </c>
      <c r="B191" s="80">
        <v>2</v>
      </c>
      <c r="C191" s="107">
        <v>0.0017342463555748103</v>
      </c>
      <c r="D191" s="80" t="s">
        <v>3229</v>
      </c>
      <c r="E191" s="80" t="b">
        <v>0</v>
      </c>
      <c r="F191" s="80" t="b">
        <v>0</v>
      </c>
      <c r="G191" s="80" t="b">
        <v>0</v>
      </c>
    </row>
    <row r="192" spans="1:7" ht="15">
      <c r="A192" s="81" t="s">
        <v>3147</v>
      </c>
      <c r="B192" s="80">
        <v>2</v>
      </c>
      <c r="C192" s="107">
        <v>0.0020260834817638373</v>
      </c>
      <c r="D192" s="80" t="s">
        <v>3229</v>
      </c>
      <c r="E192" s="80" t="b">
        <v>0</v>
      </c>
      <c r="F192" s="80" t="b">
        <v>0</v>
      </c>
      <c r="G192" s="80" t="b">
        <v>0</v>
      </c>
    </row>
    <row r="193" spans="1:7" ht="15">
      <c r="A193" s="81" t="s">
        <v>3148</v>
      </c>
      <c r="B193" s="80">
        <v>2</v>
      </c>
      <c r="C193" s="107">
        <v>0.0017342463555748103</v>
      </c>
      <c r="D193" s="80" t="s">
        <v>3229</v>
      </c>
      <c r="E193" s="80" t="b">
        <v>0</v>
      </c>
      <c r="F193" s="80" t="b">
        <v>0</v>
      </c>
      <c r="G193" s="80" t="b">
        <v>0</v>
      </c>
    </row>
    <row r="194" spans="1:7" ht="15">
      <c r="A194" s="81" t="s">
        <v>3149</v>
      </c>
      <c r="B194" s="80">
        <v>2</v>
      </c>
      <c r="C194" s="107">
        <v>0.0017342463555748103</v>
      </c>
      <c r="D194" s="80" t="s">
        <v>3229</v>
      </c>
      <c r="E194" s="80" t="b">
        <v>0</v>
      </c>
      <c r="F194" s="80" t="b">
        <v>0</v>
      </c>
      <c r="G194" s="80" t="b">
        <v>0</v>
      </c>
    </row>
    <row r="195" spans="1:7" ht="15">
      <c r="A195" s="81" t="s">
        <v>3150</v>
      </c>
      <c r="B195" s="80">
        <v>2</v>
      </c>
      <c r="C195" s="107">
        <v>0.0020260834817638373</v>
      </c>
      <c r="D195" s="80" t="s">
        <v>3229</v>
      </c>
      <c r="E195" s="80" t="b">
        <v>0</v>
      </c>
      <c r="F195" s="80" t="b">
        <v>0</v>
      </c>
      <c r="G195" s="80" t="b">
        <v>0</v>
      </c>
    </row>
    <row r="196" spans="1:7" ht="15">
      <c r="A196" s="81" t="s">
        <v>3151</v>
      </c>
      <c r="B196" s="80">
        <v>2</v>
      </c>
      <c r="C196" s="107">
        <v>0.0020260834817638373</v>
      </c>
      <c r="D196" s="80" t="s">
        <v>3229</v>
      </c>
      <c r="E196" s="80" t="b">
        <v>0</v>
      </c>
      <c r="F196" s="80" t="b">
        <v>0</v>
      </c>
      <c r="G196" s="80" t="b">
        <v>0</v>
      </c>
    </row>
    <row r="197" spans="1:7" ht="15">
      <c r="A197" s="81" t="s">
        <v>3152</v>
      </c>
      <c r="B197" s="80">
        <v>2</v>
      </c>
      <c r="C197" s="107">
        <v>0.0020260834817638373</v>
      </c>
      <c r="D197" s="80" t="s">
        <v>3229</v>
      </c>
      <c r="E197" s="80" t="b">
        <v>0</v>
      </c>
      <c r="F197" s="80" t="b">
        <v>0</v>
      </c>
      <c r="G197" s="80" t="b">
        <v>0</v>
      </c>
    </row>
    <row r="198" spans="1:7" ht="15">
      <c r="A198" s="81" t="s">
        <v>3153</v>
      </c>
      <c r="B198" s="80">
        <v>2</v>
      </c>
      <c r="C198" s="107">
        <v>0.0020260834817638373</v>
      </c>
      <c r="D198" s="80" t="s">
        <v>3229</v>
      </c>
      <c r="E198" s="80" t="b">
        <v>0</v>
      </c>
      <c r="F198" s="80" t="b">
        <v>0</v>
      </c>
      <c r="G198" s="80" t="b">
        <v>0</v>
      </c>
    </row>
    <row r="199" spans="1:7" ht="15">
      <c r="A199" s="81" t="s">
        <v>3154</v>
      </c>
      <c r="B199" s="80">
        <v>2</v>
      </c>
      <c r="C199" s="107">
        <v>0.0017342463555748103</v>
      </c>
      <c r="D199" s="80" t="s">
        <v>3229</v>
      </c>
      <c r="E199" s="80" t="b">
        <v>0</v>
      </c>
      <c r="F199" s="80" t="b">
        <v>0</v>
      </c>
      <c r="G199" s="80" t="b">
        <v>0</v>
      </c>
    </row>
    <row r="200" spans="1:7" ht="15">
      <c r="A200" s="81" t="s">
        <v>3155</v>
      </c>
      <c r="B200" s="80">
        <v>2</v>
      </c>
      <c r="C200" s="107">
        <v>0.0017342463555748103</v>
      </c>
      <c r="D200" s="80" t="s">
        <v>3229</v>
      </c>
      <c r="E200" s="80" t="b">
        <v>0</v>
      </c>
      <c r="F200" s="80" t="b">
        <v>0</v>
      </c>
      <c r="G200" s="80" t="b">
        <v>0</v>
      </c>
    </row>
    <row r="201" spans="1:7" ht="15">
      <c r="A201" s="81" t="s">
        <v>467</v>
      </c>
      <c r="B201" s="80">
        <v>2</v>
      </c>
      <c r="C201" s="107">
        <v>0.0017342463555748103</v>
      </c>
      <c r="D201" s="80" t="s">
        <v>3229</v>
      </c>
      <c r="E201" s="80" t="b">
        <v>0</v>
      </c>
      <c r="F201" s="80" t="b">
        <v>0</v>
      </c>
      <c r="G201" s="80" t="b">
        <v>0</v>
      </c>
    </row>
    <row r="202" spans="1:7" ht="15">
      <c r="A202" s="81" t="s">
        <v>3156</v>
      </c>
      <c r="B202" s="80">
        <v>2</v>
      </c>
      <c r="C202" s="107">
        <v>0.0017342463555748103</v>
      </c>
      <c r="D202" s="80" t="s">
        <v>3229</v>
      </c>
      <c r="E202" s="80" t="b">
        <v>0</v>
      </c>
      <c r="F202" s="80" t="b">
        <v>0</v>
      </c>
      <c r="G202" s="80" t="b">
        <v>0</v>
      </c>
    </row>
    <row r="203" spans="1:7" ht="15">
      <c r="A203" s="81" t="s">
        <v>3157</v>
      </c>
      <c r="B203" s="80">
        <v>2</v>
      </c>
      <c r="C203" s="107">
        <v>0.0020260834817638373</v>
      </c>
      <c r="D203" s="80" t="s">
        <v>3229</v>
      </c>
      <c r="E203" s="80" t="b">
        <v>0</v>
      </c>
      <c r="F203" s="80" t="b">
        <v>0</v>
      </c>
      <c r="G203" s="80" t="b">
        <v>0</v>
      </c>
    </row>
    <row r="204" spans="1:7" ht="15">
      <c r="A204" s="81" t="s">
        <v>3158</v>
      </c>
      <c r="B204" s="80">
        <v>2</v>
      </c>
      <c r="C204" s="107">
        <v>0.0017342463555748103</v>
      </c>
      <c r="D204" s="80" t="s">
        <v>3229</v>
      </c>
      <c r="E204" s="80" t="b">
        <v>0</v>
      </c>
      <c r="F204" s="80" t="b">
        <v>0</v>
      </c>
      <c r="G204" s="80" t="b">
        <v>0</v>
      </c>
    </row>
    <row r="205" spans="1:7" ht="15">
      <c r="A205" s="81" t="s">
        <v>3159</v>
      </c>
      <c r="B205" s="80">
        <v>2</v>
      </c>
      <c r="C205" s="107">
        <v>0.0020260834817638373</v>
      </c>
      <c r="D205" s="80" t="s">
        <v>3229</v>
      </c>
      <c r="E205" s="80" t="b">
        <v>0</v>
      </c>
      <c r="F205" s="80" t="b">
        <v>0</v>
      </c>
      <c r="G205" s="80" t="b">
        <v>0</v>
      </c>
    </row>
    <row r="206" spans="1:7" ht="15">
      <c r="A206" s="81" t="s">
        <v>3160</v>
      </c>
      <c r="B206" s="80">
        <v>2</v>
      </c>
      <c r="C206" s="107">
        <v>0.0017342463555748103</v>
      </c>
      <c r="D206" s="80" t="s">
        <v>3229</v>
      </c>
      <c r="E206" s="80" t="b">
        <v>0</v>
      </c>
      <c r="F206" s="80" t="b">
        <v>0</v>
      </c>
      <c r="G206" s="80" t="b">
        <v>0</v>
      </c>
    </row>
    <row r="207" spans="1:7" ht="15">
      <c r="A207" s="81" t="s">
        <v>3161</v>
      </c>
      <c r="B207" s="80">
        <v>2</v>
      </c>
      <c r="C207" s="107">
        <v>0.0017342463555748103</v>
      </c>
      <c r="D207" s="80" t="s">
        <v>3229</v>
      </c>
      <c r="E207" s="80" t="b">
        <v>0</v>
      </c>
      <c r="F207" s="80" t="b">
        <v>0</v>
      </c>
      <c r="G207" s="80" t="b">
        <v>0</v>
      </c>
    </row>
    <row r="208" spans="1:7" ht="15">
      <c r="A208" s="81" t="s">
        <v>380</v>
      </c>
      <c r="B208" s="80">
        <v>2</v>
      </c>
      <c r="C208" s="107">
        <v>0.0017342463555748103</v>
      </c>
      <c r="D208" s="80" t="s">
        <v>3229</v>
      </c>
      <c r="E208" s="80" t="b">
        <v>0</v>
      </c>
      <c r="F208" s="80" t="b">
        <v>0</v>
      </c>
      <c r="G208" s="80" t="b">
        <v>0</v>
      </c>
    </row>
    <row r="209" spans="1:7" ht="15">
      <c r="A209" s="81" t="s">
        <v>282</v>
      </c>
      <c r="B209" s="80">
        <v>2</v>
      </c>
      <c r="C209" s="107">
        <v>0.0017342463555748103</v>
      </c>
      <c r="D209" s="80" t="s">
        <v>3229</v>
      </c>
      <c r="E209" s="80" t="b">
        <v>0</v>
      </c>
      <c r="F209" s="80" t="b">
        <v>0</v>
      </c>
      <c r="G209" s="80" t="b">
        <v>0</v>
      </c>
    </row>
    <row r="210" spans="1:7" ht="15">
      <c r="A210" s="81" t="s">
        <v>3162</v>
      </c>
      <c r="B210" s="80">
        <v>2</v>
      </c>
      <c r="C210" s="107">
        <v>0.0017342463555748103</v>
      </c>
      <c r="D210" s="80" t="s">
        <v>3229</v>
      </c>
      <c r="E210" s="80" t="b">
        <v>1</v>
      </c>
      <c r="F210" s="80" t="b">
        <v>0</v>
      </c>
      <c r="G210" s="80" t="b">
        <v>0</v>
      </c>
    </row>
    <row r="211" spans="1:7" ht="15">
      <c r="A211" s="81" t="s">
        <v>3163</v>
      </c>
      <c r="B211" s="80">
        <v>2</v>
      </c>
      <c r="C211" s="107">
        <v>0.0017342463555748103</v>
      </c>
      <c r="D211" s="80" t="s">
        <v>3229</v>
      </c>
      <c r="E211" s="80" t="b">
        <v>0</v>
      </c>
      <c r="F211" s="80" t="b">
        <v>0</v>
      </c>
      <c r="G211" s="80" t="b">
        <v>0</v>
      </c>
    </row>
    <row r="212" spans="1:7" ht="15">
      <c r="A212" s="81" t="s">
        <v>3164</v>
      </c>
      <c r="B212" s="80">
        <v>2</v>
      </c>
      <c r="C212" s="107">
        <v>0.0017342463555748103</v>
      </c>
      <c r="D212" s="80" t="s">
        <v>3229</v>
      </c>
      <c r="E212" s="80" t="b">
        <v>0</v>
      </c>
      <c r="F212" s="80" t="b">
        <v>0</v>
      </c>
      <c r="G212" s="80" t="b">
        <v>0</v>
      </c>
    </row>
    <row r="213" spans="1:7" ht="15">
      <c r="A213" s="81" t="s">
        <v>3165</v>
      </c>
      <c r="B213" s="80">
        <v>2</v>
      </c>
      <c r="C213" s="107">
        <v>0.0017342463555748103</v>
      </c>
      <c r="D213" s="80" t="s">
        <v>3229</v>
      </c>
      <c r="E213" s="80" t="b">
        <v>0</v>
      </c>
      <c r="F213" s="80" t="b">
        <v>0</v>
      </c>
      <c r="G213" s="80" t="b">
        <v>0</v>
      </c>
    </row>
    <row r="214" spans="1:7" ht="15">
      <c r="A214" s="81" t="s">
        <v>521</v>
      </c>
      <c r="B214" s="80">
        <v>2</v>
      </c>
      <c r="C214" s="107">
        <v>0.0017342463555748103</v>
      </c>
      <c r="D214" s="80" t="s">
        <v>3229</v>
      </c>
      <c r="E214" s="80" t="b">
        <v>0</v>
      </c>
      <c r="F214" s="80" t="b">
        <v>0</v>
      </c>
      <c r="G214" s="80" t="b">
        <v>0</v>
      </c>
    </row>
    <row r="215" spans="1:7" ht="15">
      <c r="A215" s="81" t="s">
        <v>3166</v>
      </c>
      <c r="B215" s="80">
        <v>2</v>
      </c>
      <c r="C215" s="107">
        <v>0.0017342463555748103</v>
      </c>
      <c r="D215" s="80" t="s">
        <v>3229</v>
      </c>
      <c r="E215" s="80" t="b">
        <v>0</v>
      </c>
      <c r="F215" s="80" t="b">
        <v>0</v>
      </c>
      <c r="G215" s="80" t="b">
        <v>0</v>
      </c>
    </row>
    <row r="216" spans="1:7" ht="15">
      <c r="A216" s="81" t="s">
        <v>420</v>
      </c>
      <c r="B216" s="80">
        <v>2</v>
      </c>
      <c r="C216" s="107">
        <v>0.0017342463555748103</v>
      </c>
      <c r="D216" s="80" t="s">
        <v>3229</v>
      </c>
      <c r="E216" s="80" t="b">
        <v>0</v>
      </c>
      <c r="F216" s="80" t="b">
        <v>0</v>
      </c>
      <c r="G216" s="80" t="b">
        <v>0</v>
      </c>
    </row>
    <row r="217" spans="1:7" ht="15">
      <c r="A217" s="81" t="s">
        <v>466</v>
      </c>
      <c r="B217" s="80">
        <v>2</v>
      </c>
      <c r="C217" s="107">
        <v>0.0017342463555748103</v>
      </c>
      <c r="D217" s="80" t="s">
        <v>3229</v>
      </c>
      <c r="E217" s="80" t="b">
        <v>0</v>
      </c>
      <c r="F217" s="80" t="b">
        <v>0</v>
      </c>
      <c r="G217" s="80" t="b">
        <v>0</v>
      </c>
    </row>
    <row r="218" spans="1:7" ht="15">
      <c r="A218" s="81" t="s">
        <v>3167</v>
      </c>
      <c r="B218" s="80">
        <v>2</v>
      </c>
      <c r="C218" s="107">
        <v>0.0017342463555748103</v>
      </c>
      <c r="D218" s="80" t="s">
        <v>3229</v>
      </c>
      <c r="E218" s="80" t="b">
        <v>0</v>
      </c>
      <c r="F218" s="80" t="b">
        <v>0</v>
      </c>
      <c r="G218" s="80" t="b">
        <v>0</v>
      </c>
    </row>
    <row r="219" spans="1:7" ht="15">
      <c r="A219" s="81" t="s">
        <v>3168</v>
      </c>
      <c r="B219" s="80">
        <v>2</v>
      </c>
      <c r="C219" s="107">
        <v>0.0017342463555748103</v>
      </c>
      <c r="D219" s="80" t="s">
        <v>3229</v>
      </c>
      <c r="E219" s="80" t="b">
        <v>0</v>
      </c>
      <c r="F219" s="80" t="b">
        <v>0</v>
      </c>
      <c r="G219" s="80" t="b">
        <v>0</v>
      </c>
    </row>
    <row r="220" spans="1:7" ht="15">
      <c r="A220" s="81" t="s">
        <v>3169</v>
      </c>
      <c r="B220" s="80">
        <v>2</v>
      </c>
      <c r="C220" s="107">
        <v>0.0017342463555748103</v>
      </c>
      <c r="D220" s="80" t="s">
        <v>3229</v>
      </c>
      <c r="E220" s="80" t="b">
        <v>0</v>
      </c>
      <c r="F220" s="80" t="b">
        <v>0</v>
      </c>
      <c r="G220" s="80" t="b">
        <v>0</v>
      </c>
    </row>
    <row r="221" spans="1:7" ht="15">
      <c r="A221" s="81" t="s">
        <v>3170</v>
      </c>
      <c r="B221" s="80">
        <v>2</v>
      </c>
      <c r="C221" s="107">
        <v>0.0017342463555748103</v>
      </c>
      <c r="D221" s="80" t="s">
        <v>3229</v>
      </c>
      <c r="E221" s="80" t="b">
        <v>0</v>
      </c>
      <c r="F221" s="80" t="b">
        <v>0</v>
      </c>
      <c r="G221" s="80" t="b">
        <v>0</v>
      </c>
    </row>
    <row r="222" spans="1:7" ht="15">
      <c r="A222" s="81" t="s">
        <v>3171</v>
      </c>
      <c r="B222" s="80">
        <v>2</v>
      </c>
      <c r="C222" s="107">
        <v>0.0017342463555748103</v>
      </c>
      <c r="D222" s="80" t="s">
        <v>3229</v>
      </c>
      <c r="E222" s="80" t="b">
        <v>0</v>
      </c>
      <c r="F222" s="80" t="b">
        <v>0</v>
      </c>
      <c r="G222" s="80" t="b">
        <v>0</v>
      </c>
    </row>
    <row r="223" spans="1:7" ht="15">
      <c r="A223" s="81" t="s">
        <v>3172</v>
      </c>
      <c r="B223" s="80">
        <v>2</v>
      </c>
      <c r="C223" s="107">
        <v>0.0017342463555748103</v>
      </c>
      <c r="D223" s="80" t="s">
        <v>3229</v>
      </c>
      <c r="E223" s="80" t="b">
        <v>0</v>
      </c>
      <c r="F223" s="80" t="b">
        <v>0</v>
      </c>
      <c r="G223" s="80" t="b">
        <v>0</v>
      </c>
    </row>
    <row r="224" spans="1:7" ht="15">
      <c r="A224" s="81" t="s">
        <v>3173</v>
      </c>
      <c r="B224" s="80">
        <v>2</v>
      </c>
      <c r="C224" s="107">
        <v>0.0020260834817638373</v>
      </c>
      <c r="D224" s="80" t="s">
        <v>3229</v>
      </c>
      <c r="E224" s="80" t="b">
        <v>0</v>
      </c>
      <c r="F224" s="80" t="b">
        <v>0</v>
      </c>
      <c r="G224" s="80" t="b">
        <v>0</v>
      </c>
    </row>
    <row r="225" spans="1:7" ht="15">
      <c r="A225" s="81" t="s">
        <v>281</v>
      </c>
      <c r="B225" s="80">
        <v>2</v>
      </c>
      <c r="C225" s="107">
        <v>0.0017342463555748103</v>
      </c>
      <c r="D225" s="80" t="s">
        <v>3229</v>
      </c>
      <c r="E225" s="80" t="b">
        <v>0</v>
      </c>
      <c r="F225" s="80" t="b">
        <v>0</v>
      </c>
      <c r="G225" s="80" t="b">
        <v>0</v>
      </c>
    </row>
    <row r="226" spans="1:7" ht="15">
      <c r="A226" s="81" t="s">
        <v>379</v>
      </c>
      <c r="B226" s="80">
        <v>2</v>
      </c>
      <c r="C226" s="107">
        <v>0.0017342463555748103</v>
      </c>
      <c r="D226" s="80" t="s">
        <v>3229</v>
      </c>
      <c r="E226" s="80" t="b">
        <v>0</v>
      </c>
      <c r="F226" s="80" t="b">
        <v>0</v>
      </c>
      <c r="G226" s="80" t="b">
        <v>0</v>
      </c>
    </row>
    <row r="227" spans="1:7" ht="15">
      <c r="A227" s="81" t="s">
        <v>3174</v>
      </c>
      <c r="B227" s="80">
        <v>2</v>
      </c>
      <c r="C227" s="107">
        <v>0.0017342463555748103</v>
      </c>
      <c r="D227" s="80" t="s">
        <v>3229</v>
      </c>
      <c r="E227" s="80" t="b">
        <v>0</v>
      </c>
      <c r="F227" s="80" t="b">
        <v>1</v>
      </c>
      <c r="G227" s="80" t="b">
        <v>0</v>
      </c>
    </row>
    <row r="228" spans="1:7" ht="15">
      <c r="A228" s="81" t="s">
        <v>3175</v>
      </c>
      <c r="B228" s="80">
        <v>2</v>
      </c>
      <c r="C228" s="107">
        <v>0.0017342463555748103</v>
      </c>
      <c r="D228" s="80" t="s">
        <v>3229</v>
      </c>
      <c r="E228" s="80" t="b">
        <v>0</v>
      </c>
      <c r="F228" s="80" t="b">
        <v>0</v>
      </c>
      <c r="G228" s="80" t="b">
        <v>0</v>
      </c>
    </row>
    <row r="229" spans="1:7" ht="15">
      <c r="A229" s="81" t="s">
        <v>3176</v>
      </c>
      <c r="B229" s="80">
        <v>2</v>
      </c>
      <c r="C229" s="107">
        <v>0.0020260834817638373</v>
      </c>
      <c r="D229" s="80" t="s">
        <v>3229</v>
      </c>
      <c r="E229" s="80" t="b">
        <v>0</v>
      </c>
      <c r="F229" s="80" t="b">
        <v>0</v>
      </c>
      <c r="G229" s="80" t="b">
        <v>0</v>
      </c>
    </row>
    <row r="230" spans="1:7" ht="15">
      <c r="A230" s="81" t="s">
        <v>230</v>
      </c>
      <c r="B230" s="80">
        <v>2</v>
      </c>
      <c r="C230" s="107">
        <v>0.0017342463555748103</v>
      </c>
      <c r="D230" s="80" t="s">
        <v>3229</v>
      </c>
      <c r="E230" s="80" t="b">
        <v>0</v>
      </c>
      <c r="F230" s="80" t="b">
        <v>0</v>
      </c>
      <c r="G230" s="80" t="b">
        <v>0</v>
      </c>
    </row>
    <row r="231" spans="1:7" ht="15">
      <c r="A231" s="81" t="s">
        <v>3177</v>
      </c>
      <c r="B231" s="80">
        <v>2</v>
      </c>
      <c r="C231" s="107">
        <v>0.0017342463555748103</v>
      </c>
      <c r="D231" s="80" t="s">
        <v>3229</v>
      </c>
      <c r="E231" s="80" t="b">
        <v>0</v>
      </c>
      <c r="F231" s="80" t="b">
        <v>0</v>
      </c>
      <c r="G231" s="80" t="b">
        <v>0</v>
      </c>
    </row>
    <row r="232" spans="1:7" ht="15">
      <c r="A232" s="81" t="s">
        <v>3178</v>
      </c>
      <c r="B232" s="80">
        <v>2</v>
      </c>
      <c r="C232" s="107">
        <v>0.0017342463555748103</v>
      </c>
      <c r="D232" s="80" t="s">
        <v>3229</v>
      </c>
      <c r="E232" s="80" t="b">
        <v>0</v>
      </c>
      <c r="F232" s="80" t="b">
        <v>0</v>
      </c>
      <c r="G232" s="80" t="b">
        <v>0</v>
      </c>
    </row>
    <row r="233" spans="1:7" ht="15">
      <c r="A233" s="81" t="s">
        <v>3179</v>
      </c>
      <c r="B233" s="80">
        <v>2</v>
      </c>
      <c r="C233" s="107">
        <v>0.0017342463555748103</v>
      </c>
      <c r="D233" s="80" t="s">
        <v>3229</v>
      </c>
      <c r="E233" s="80" t="b">
        <v>0</v>
      </c>
      <c r="F233" s="80" t="b">
        <v>0</v>
      </c>
      <c r="G233" s="80" t="b">
        <v>0</v>
      </c>
    </row>
    <row r="234" spans="1:7" ht="15">
      <c r="A234" s="81" t="s">
        <v>520</v>
      </c>
      <c r="B234" s="80">
        <v>2</v>
      </c>
      <c r="C234" s="107">
        <v>0.0017342463555748103</v>
      </c>
      <c r="D234" s="80" t="s">
        <v>3229</v>
      </c>
      <c r="E234" s="80" t="b">
        <v>0</v>
      </c>
      <c r="F234" s="80" t="b">
        <v>0</v>
      </c>
      <c r="G234" s="80" t="b">
        <v>0</v>
      </c>
    </row>
    <row r="235" spans="1:7" ht="15">
      <c r="A235" s="81" t="s">
        <v>3180</v>
      </c>
      <c r="B235" s="80">
        <v>2</v>
      </c>
      <c r="C235" s="107">
        <v>0.0020260834817638373</v>
      </c>
      <c r="D235" s="80" t="s">
        <v>3229</v>
      </c>
      <c r="E235" s="80" t="b">
        <v>0</v>
      </c>
      <c r="F235" s="80" t="b">
        <v>0</v>
      </c>
      <c r="G235" s="80" t="b">
        <v>0</v>
      </c>
    </row>
    <row r="236" spans="1:7" ht="15">
      <c r="A236" s="81" t="s">
        <v>3181</v>
      </c>
      <c r="B236" s="80">
        <v>2</v>
      </c>
      <c r="C236" s="107">
        <v>0.0017342463555748103</v>
      </c>
      <c r="D236" s="80" t="s">
        <v>3229</v>
      </c>
      <c r="E236" s="80" t="b">
        <v>0</v>
      </c>
      <c r="F236" s="80" t="b">
        <v>0</v>
      </c>
      <c r="G236" s="80" t="b">
        <v>0</v>
      </c>
    </row>
    <row r="237" spans="1:7" ht="15">
      <c r="A237" s="81" t="s">
        <v>3182</v>
      </c>
      <c r="B237" s="80">
        <v>2</v>
      </c>
      <c r="C237" s="107">
        <v>0.0017342463555748103</v>
      </c>
      <c r="D237" s="80" t="s">
        <v>3229</v>
      </c>
      <c r="E237" s="80" t="b">
        <v>0</v>
      </c>
      <c r="F237" s="80" t="b">
        <v>0</v>
      </c>
      <c r="G237" s="80" t="b">
        <v>0</v>
      </c>
    </row>
    <row r="238" spans="1:7" ht="15">
      <c r="A238" s="81" t="s">
        <v>3183</v>
      </c>
      <c r="B238" s="80">
        <v>2</v>
      </c>
      <c r="C238" s="107">
        <v>0.0017342463555748103</v>
      </c>
      <c r="D238" s="80" t="s">
        <v>3229</v>
      </c>
      <c r="E238" s="80" t="b">
        <v>0</v>
      </c>
      <c r="F238" s="80" t="b">
        <v>0</v>
      </c>
      <c r="G238" s="80" t="b">
        <v>0</v>
      </c>
    </row>
    <row r="239" spans="1:7" ht="15">
      <c r="A239" s="81" t="s">
        <v>3184</v>
      </c>
      <c r="B239" s="80">
        <v>2</v>
      </c>
      <c r="C239" s="107">
        <v>0.0017342463555748103</v>
      </c>
      <c r="D239" s="80" t="s">
        <v>3229</v>
      </c>
      <c r="E239" s="80" t="b">
        <v>0</v>
      </c>
      <c r="F239" s="80" t="b">
        <v>0</v>
      </c>
      <c r="G239" s="80" t="b">
        <v>0</v>
      </c>
    </row>
    <row r="240" spans="1:7" ht="15">
      <c r="A240" s="81" t="s">
        <v>465</v>
      </c>
      <c r="B240" s="80">
        <v>2</v>
      </c>
      <c r="C240" s="107">
        <v>0.0017342463555748103</v>
      </c>
      <c r="D240" s="80" t="s">
        <v>3229</v>
      </c>
      <c r="E240" s="80" t="b">
        <v>0</v>
      </c>
      <c r="F240" s="80" t="b">
        <v>0</v>
      </c>
      <c r="G240" s="80" t="b">
        <v>0</v>
      </c>
    </row>
    <row r="241" spans="1:7" ht="15">
      <c r="A241" s="81" t="s">
        <v>3185</v>
      </c>
      <c r="B241" s="80">
        <v>2</v>
      </c>
      <c r="C241" s="107">
        <v>0.0017342463555748103</v>
      </c>
      <c r="D241" s="80" t="s">
        <v>3229</v>
      </c>
      <c r="E241" s="80" t="b">
        <v>0</v>
      </c>
      <c r="F241" s="80" t="b">
        <v>0</v>
      </c>
      <c r="G241" s="80" t="b">
        <v>0</v>
      </c>
    </row>
    <row r="242" spans="1:7" ht="15">
      <c r="A242" s="81" t="s">
        <v>3186</v>
      </c>
      <c r="B242" s="80">
        <v>2</v>
      </c>
      <c r="C242" s="107">
        <v>0.0017342463555748103</v>
      </c>
      <c r="D242" s="80" t="s">
        <v>3229</v>
      </c>
      <c r="E242" s="80" t="b">
        <v>0</v>
      </c>
      <c r="F242" s="80" t="b">
        <v>0</v>
      </c>
      <c r="G242" s="80" t="b">
        <v>0</v>
      </c>
    </row>
    <row r="243" spans="1:7" ht="15">
      <c r="A243" s="81" t="s">
        <v>3187</v>
      </c>
      <c r="B243" s="80">
        <v>2</v>
      </c>
      <c r="C243" s="107">
        <v>0.0020260834817638373</v>
      </c>
      <c r="D243" s="80" t="s">
        <v>3229</v>
      </c>
      <c r="E243" s="80" t="b">
        <v>0</v>
      </c>
      <c r="F243" s="80" t="b">
        <v>0</v>
      </c>
      <c r="G243" s="80" t="b">
        <v>0</v>
      </c>
    </row>
    <row r="244" spans="1:7" ht="15">
      <c r="A244" s="81" t="s">
        <v>3188</v>
      </c>
      <c r="B244" s="80">
        <v>2</v>
      </c>
      <c r="C244" s="107">
        <v>0.0017342463555748103</v>
      </c>
      <c r="D244" s="80" t="s">
        <v>3229</v>
      </c>
      <c r="E244" s="80" t="b">
        <v>0</v>
      </c>
      <c r="F244" s="80" t="b">
        <v>0</v>
      </c>
      <c r="G244" s="80" t="b">
        <v>0</v>
      </c>
    </row>
    <row r="245" spans="1:7" ht="15">
      <c r="A245" s="81" t="s">
        <v>248</v>
      </c>
      <c r="B245" s="80">
        <v>2</v>
      </c>
      <c r="C245" s="107">
        <v>0.0017342463555748103</v>
      </c>
      <c r="D245" s="80" t="s">
        <v>3229</v>
      </c>
      <c r="E245" s="80" t="b">
        <v>0</v>
      </c>
      <c r="F245" s="80" t="b">
        <v>0</v>
      </c>
      <c r="G245" s="80" t="b">
        <v>0</v>
      </c>
    </row>
    <row r="246" spans="1:7" ht="15">
      <c r="A246" s="81" t="s">
        <v>3189</v>
      </c>
      <c r="B246" s="80">
        <v>2</v>
      </c>
      <c r="C246" s="107">
        <v>0.0017342463555748103</v>
      </c>
      <c r="D246" s="80" t="s">
        <v>3229</v>
      </c>
      <c r="E246" s="80" t="b">
        <v>0</v>
      </c>
      <c r="F246" s="80" t="b">
        <v>0</v>
      </c>
      <c r="G246" s="80" t="b">
        <v>0</v>
      </c>
    </row>
    <row r="247" spans="1:7" ht="15">
      <c r="A247" s="81" t="s">
        <v>3190</v>
      </c>
      <c r="B247" s="80">
        <v>2</v>
      </c>
      <c r="C247" s="107">
        <v>0.0017342463555748103</v>
      </c>
      <c r="D247" s="80" t="s">
        <v>3229</v>
      </c>
      <c r="E247" s="80" t="b">
        <v>0</v>
      </c>
      <c r="F247" s="80" t="b">
        <v>0</v>
      </c>
      <c r="G247" s="80" t="b">
        <v>0</v>
      </c>
    </row>
    <row r="248" spans="1:7" ht="15">
      <c r="A248" s="81" t="s">
        <v>3191</v>
      </c>
      <c r="B248" s="80">
        <v>2</v>
      </c>
      <c r="C248" s="107">
        <v>0.0017342463555748103</v>
      </c>
      <c r="D248" s="80" t="s">
        <v>3229</v>
      </c>
      <c r="E248" s="80" t="b">
        <v>0</v>
      </c>
      <c r="F248" s="80" t="b">
        <v>0</v>
      </c>
      <c r="G248" s="80" t="b">
        <v>0</v>
      </c>
    </row>
    <row r="249" spans="1:7" ht="15">
      <c r="A249" s="81" t="s">
        <v>3192</v>
      </c>
      <c r="B249" s="80">
        <v>2</v>
      </c>
      <c r="C249" s="107">
        <v>0.0020260834817638373</v>
      </c>
      <c r="D249" s="80" t="s">
        <v>3229</v>
      </c>
      <c r="E249" s="80" t="b">
        <v>0</v>
      </c>
      <c r="F249" s="80" t="b">
        <v>0</v>
      </c>
      <c r="G249" s="80" t="b">
        <v>0</v>
      </c>
    </row>
    <row r="250" spans="1:7" ht="15">
      <c r="A250" s="81" t="s">
        <v>468</v>
      </c>
      <c r="B250" s="80">
        <v>2</v>
      </c>
      <c r="C250" s="107">
        <v>0.0017342463555748103</v>
      </c>
      <c r="D250" s="80" t="s">
        <v>3229</v>
      </c>
      <c r="E250" s="80" t="b">
        <v>0</v>
      </c>
      <c r="F250" s="80" t="b">
        <v>0</v>
      </c>
      <c r="G250" s="80" t="b">
        <v>0</v>
      </c>
    </row>
    <row r="251" spans="1:7" ht="15">
      <c r="A251" s="81" t="s">
        <v>3193</v>
      </c>
      <c r="B251" s="80">
        <v>2</v>
      </c>
      <c r="C251" s="107">
        <v>0.0017342463555748103</v>
      </c>
      <c r="D251" s="80" t="s">
        <v>3229</v>
      </c>
      <c r="E251" s="80" t="b">
        <v>0</v>
      </c>
      <c r="F251" s="80" t="b">
        <v>0</v>
      </c>
      <c r="G251" s="80" t="b">
        <v>0</v>
      </c>
    </row>
    <row r="252" spans="1:7" ht="15">
      <c r="A252" s="81" t="s">
        <v>364</v>
      </c>
      <c r="B252" s="80">
        <v>2</v>
      </c>
      <c r="C252" s="107">
        <v>0.0017342463555748103</v>
      </c>
      <c r="D252" s="80" t="s">
        <v>3229</v>
      </c>
      <c r="E252" s="80" t="b">
        <v>0</v>
      </c>
      <c r="F252" s="80" t="b">
        <v>0</v>
      </c>
      <c r="G252" s="80" t="b">
        <v>0</v>
      </c>
    </row>
    <row r="253" spans="1:7" ht="15">
      <c r="A253" s="81" t="s">
        <v>3194</v>
      </c>
      <c r="B253" s="80">
        <v>2</v>
      </c>
      <c r="C253" s="107">
        <v>0.0017342463555748103</v>
      </c>
      <c r="D253" s="80" t="s">
        <v>3229</v>
      </c>
      <c r="E253" s="80" t="b">
        <v>0</v>
      </c>
      <c r="F253" s="80" t="b">
        <v>0</v>
      </c>
      <c r="G253" s="80" t="b">
        <v>0</v>
      </c>
    </row>
    <row r="254" spans="1:7" ht="15">
      <c r="A254" s="81" t="s">
        <v>3195</v>
      </c>
      <c r="B254" s="80">
        <v>2</v>
      </c>
      <c r="C254" s="107">
        <v>0.0017342463555748103</v>
      </c>
      <c r="D254" s="80" t="s">
        <v>3229</v>
      </c>
      <c r="E254" s="80" t="b">
        <v>0</v>
      </c>
      <c r="F254" s="80" t="b">
        <v>0</v>
      </c>
      <c r="G254" s="80" t="b">
        <v>0</v>
      </c>
    </row>
    <row r="255" spans="1:7" ht="15">
      <c r="A255" s="81" t="s">
        <v>377</v>
      </c>
      <c r="B255" s="80">
        <v>2</v>
      </c>
      <c r="C255" s="107">
        <v>0.0017342463555748103</v>
      </c>
      <c r="D255" s="80" t="s">
        <v>3229</v>
      </c>
      <c r="E255" s="80" t="b">
        <v>0</v>
      </c>
      <c r="F255" s="80" t="b">
        <v>0</v>
      </c>
      <c r="G255" s="80" t="b">
        <v>0</v>
      </c>
    </row>
    <row r="256" spans="1:7" ht="15">
      <c r="A256" s="81" t="s">
        <v>3196</v>
      </c>
      <c r="B256" s="80">
        <v>2</v>
      </c>
      <c r="C256" s="107">
        <v>0.0020260834817638373</v>
      </c>
      <c r="D256" s="80" t="s">
        <v>3229</v>
      </c>
      <c r="E256" s="80" t="b">
        <v>0</v>
      </c>
      <c r="F256" s="80" t="b">
        <v>0</v>
      </c>
      <c r="G256" s="80" t="b">
        <v>0</v>
      </c>
    </row>
    <row r="257" spans="1:7" ht="15">
      <c r="A257" s="81" t="s">
        <v>3197</v>
      </c>
      <c r="B257" s="80">
        <v>2</v>
      </c>
      <c r="C257" s="107">
        <v>0.0017342463555748103</v>
      </c>
      <c r="D257" s="80" t="s">
        <v>3229</v>
      </c>
      <c r="E257" s="80" t="b">
        <v>0</v>
      </c>
      <c r="F257" s="80" t="b">
        <v>0</v>
      </c>
      <c r="G257" s="80" t="b">
        <v>0</v>
      </c>
    </row>
    <row r="258" spans="1:7" ht="15">
      <c r="A258" s="81" t="s">
        <v>3198</v>
      </c>
      <c r="B258" s="80">
        <v>2</v>
      </c>
      <c r="C258" s="107">
        <v>0.0017342463555748103</v>
      </c>
      <c r="D258" s="80" t="s">
        <v>3229</v>
      </c>
      <c r="E258" s="80" t="b">
        <v>0</v>
      </c>
      <c r="F258" s="80" t="b">
        <v>0</v>
      </c>
      <c r="G258" s="80" t="b">
        <v>0</v>
      </c>
    </row>
    <row r="259" spans="1:7" ht="15">
      <c r="A259" s="81" t="s">
        <v>3199</v>
      </c>
      <c r="B259" s="80">
        <v>2</v>
      </c>
      <c r="C259" s="107">
        <v>0.0017342463555748103</v>
      </c>
      <c r="D259" s="80" t="s">
        <v>3229</v>
      </c>
      <c r="E259" s="80" t="b">
        <v>0</v>
      </c>
      <c r="F259" s="80" t="b">
        <v>0</v>
      </c>
      <c r="G259" s="80" t="b">
        <v>0</v>
      </c>
    </row>
    <row r="260" spans="1:7" ht="15">
      <c r="A260" s="81" t="s">
        <v>3200</v>
      </c>
      <c r="B260" s="80">
        <v>2</v>
      </c>
      <c r="C260" s="107">
        <v>0.0020260834817638373</v>
      </c>
      <c r="D260" s="80" t="s">
        <v>3229</v>
      </c>
      <c r="E260" s="80" t="b">
        <v>0</v>
      </c>
      <c r="F260" s="80" t="b">
        <v>0</v>
      </c>
      <c r="G260" s="80" t="b">
        <v>0</v>
      </c>
    </row>
    <row r="261" spans="1:7" ht="15">
      <c r="A261" s="81" t="s">
        <v>3201</v>
      </c>
      <c r="B261" s="80">
        <v>2</v>
      </c>
      <c r="C261" s="107">
        <v>0.0017342463555748103</v>
      </c>
      <c r="D261" s="80" t="s">
        <v>3229</v>
      </c>
      <c r="E261" s="80" t="b">
        <v>0</v>
      </c>
      <c r="F261" s="80" t="b">
        <v>1</v>
      </c>
      <c r="G261" s="80" t="b">
        <v>0</v>
      </c>
    </row>
    <row r="262" spans="1:7" ht="15">
      <c r="A262" s="81" t="s">
        <v>382</v>
      </c>
      <c r="B262" s="80">
        <v>2</v>
      </c>
      <c r="C262" s="107">
        <v>0.0017342463555748103</v>
      </c>
      <c r="D262" s="80" t="s">
        <v>3229</v>
      </c>
      <c r="E262" s="80" t="b">
        <v>0</v>
      </c>
      <c r="F262" s="80" t="b">
        <v>0</v>
      </c>
      <c r="G262" s="80" t="b">
        <v>0</v>
      </c>
    </row>
    <row r="263" spans="1:7" ht="15">
      <c r="A263" s="81" t="s">
        <v>3202</v>
      </c>
      <c r="B263" s="80">
        <v>2</v>
      </c>
      <c r="C263" s="107">
        <v>0.0020260834817638373</v>
      </c>
      <c r="D263" s="80" t="s">
        <v>3229</v>
      </c>
      <c r="E263" s="80" t="b">
        <v>0</v>
      </c>
      <c r="F263" s="80" t="b">
        <v>0</v>
      </c>
      <c r="G263" s="80" t="b">
        <v>0</v>
      </c>
    </row>
    <row r="264" spans="1:7" ht="15">
      <c r="A264" s="81" t="s">
        <v>3203</v>
      </c>
      <c r="B264" s="80">
        <v>2</v>
      </c>
      <c r="C264" s="107">
        <v>0.0017342463555748103</v>
      </c>
      <c r="D264" s="80" t="s">
        <v>3229</v>
      </c>
      <c r="E264" s="80" t="b">
        <v>0</v>
      </c>
      <c r="F264" s="80" t="b">
        <v>0</v>
      </c>
      <c r="G264" s="80" t="b">
        <v>0</v>
      </c>
    </row>
    <row r="265" spans="1:7" ht="15">
      <c r="A265" s="81" t="s">
        <v>3204</v>
      </c>
      <c r="B265" s="80">
        <v>2</v>
      </c>
      <c r="C265" s="107">
        <v>0.0017342463555748103</v>
      </c>
      <c r="D265" s="80" t="s">
        <v>3229</v>
      </c>
      <c r="E265" s="80" t="b">
        <v>0</v>
      </c>
      <c r="F265" s="80" t="b">
        <v>0</v>
      </c>
      <c r="G265" s="80" t="b">
        <v>0</v>
      </c>
    </row>
    <row r="266" spans="1:7" ht="15">
      <c r="A266" s="81" t="s">
        <v>3205</v>
      </c>
      <c r="B266" s="80">
        <v>2</v>
      </c>
      <c r="C266" s="107">
        <v>0.0017342463555748103</v>
      </c>
      <c r="D266" s="80" t="s">
        <v>3229</v>
      </c>
      <c r="E266" s="80" t="b">
        <v>0</v>
      </c>
      <c r="F266" s="80" t="b">
        <v>0</v>
      </c>
      <c r="G266" s="80" t="b">
        <v>0</v>
      </c>
    </row>
    <row r="267" spans="1:7" ht="15">
      <c r="A267" s="81" t="s">
        <v>3206</v>
      </c>
      <c r="B267" s="80">
        <v>2</v>
      </c>
      <c r="C267" s="107">
        <v>0.0017342463555748103</v>
      </c>
      <c r="D267" s="80" t="s">
        <v>3229</v>
      </c>
      <c r="E267" s="80" t="b">
        <v>0</v>
      </c>
      <c r="F267" s="80" t="b">
        <v>0</v>
      </c>
      <c r="G267" s="80" t="b">
        <v>0</v>
      </c>
    </row>
    <row r="268" spans="1:7" ht="15">
      <c r="A268" s="81" t="s">
        <v>3207</v>
      </c>
      <c r="B268" s="80">
        <v>2</v>
      </c>
      <c r="C268" s="107">
        <v>0.0020260834817638373</v>
      </c>
      <c r="D268" s="80" t="s">
        <v>3229</v>
      </c>
      <c r="E268" s="80" t="b">
        <v>0</v>
      </c>
      <c r="F268" s="80" t="b">
        <v>0</v>
      </c>
      <c r="G268" s="80" t="b">
        <v>0</v>
      </c>
    </row>
    <row r="269" spans="1:7" ht="15">
      <c r="A269" s="81" t="s">
        <v>3208</v>
      </c>
      <c r="B269" s="80">
        <v>2</v>
      </c>
      <c r="C269" s="107">
        <v>0.0020260834817638373</v>
      </c>
      <c r="D269" s="80" t="s">
        <v>3229</v>
      </c>
      <c r="E269" s="80" t="b">
        <v>0</v>
      </c>
      <c r="F269" s="80" t="b">
        <v>0</v>
      </c>
      <c r="G269" s="80" t="b">
        <v>0</v>
      </c>
    </row>
    <row r="270" spans="1:7" ht="15">
      <c r="A270" s="81" t="s">
        <v>3209</v>
      </c>
      <c r="B270" s="80">
        <v>2</v>
      </c>
      <c r="C270" s="107">
        <v>0.0017342463555748103</v>
      </c>
      <c r="D270" s="80" t="s">
        <v>3229</v>
      </c>
      <c r="E270" s="80" t="b">
        <v>0</v>
      </c>
      <c r="F270" s="80" t="b">
        <v>0</v>
      </c>
      <c r="G270" s="80" t="b">
        <v>0</v>
      </c>
    </row>
    <row r="271" spans="1:7" ht="15">
      <c r="A271" s="81" t="s">
        <v>265</v>
      </c>
      <c r="B271" s="80">
        <v>2</v>
      </c>
      <c r="C271" s="107">
        <v>0.0017342463555748103</v>
      </c>
      <c r="D271" s="80" t="s">
        <v>3229</v>
      </c>
      <c r="E271" s="80" t="b">
        <v>0</v>
      </c>
      <c r="F271" s="80" t="b">
        <v>0</v>
      </c>
      <c r="G271" s="80" t="b">
        <v>0</v>
      </c>
    </row>
    <row r="272" spans="1:7" ht="15">
      <c r="A272" s="81" t="s">
        <v>3210</v>
      </c>
      <c r="B272" s="80">
        <v>2</v>
      </c>
      <c r="C272" s="107">
        <v>0.0020260834817638373</v>
      </c>
      <c r="D272" s="80" t="s">
        <v>3229</v>
      </c>
      <c r="E272" s="80" t="b">
        <v>0</v>
      </c>
      <c r="F272" s="80" t="b">
        <v>0</v>
      </c>
      <c r="G272" s="80" t="b">
        <v>0</v>
      </c>
    </row>
    <row r="273" spans="1:7" ht="15">
      <c r="A273" s="81" t="s">
        <v>469</v>
      </c>
      <c r="B273" s="80">
        <v>2</v>
      </c>
      <c r="C273" s="107">
        <v>0.0017342463555748103</v>
      </c>
      <c r="D273" s="80" t="s">
        <v>3229</v>
      </c>
      <c r="E273" s="80" t="b">
        <v>0</v>
      </c>
      <c r="F273" s="80" t="b">
        <v>0</v>
      </c>
      <c r="G273" s="80" t="b">
        <v>0</v>
      </c>
    </row>
    <row r="274" spans="1:7" ht="15">
      <c r="A274" s="81" t="s">
        <v>3211</v>
      </c>
      <c r="B274" s="80">
        <v>2</v>
      </c>
      <c r="C274" s="107">
        <v>0.0017342463555748103</v>
      </c>
      <c r="D274" s="80" t="s">
        <v>3229</v>
      </c>
      <c r="E274" s="80" t="b">
        <v>0</v>
      </c>
      <c r="F274" s="80" t="b">
        <v>0</v>
      </c>
      <c r="G274" s="80" t="b">
        <v>0</v>
      </c>
    </row>
    <row r="275" spans="1:7" ht="15">
      <c r="A275" s="81" t="s">
        <v>3212</v>
      </c>
      <c r="B275" s="80">
        <v>2</v>
      </c>
      <c r="C275" s="107">
        <v>0.0017342463555748103</v>
      </c>
      <c r="D275" s="80" t="s">
        <v>3229</v>
      </c>
      <c r="E275" s="80" t="b">
        <v>0</v>
      </c>
      <c r="F275" s="80" t="b">
        <v>0</v>
      </c>
      <c r="G275" s="80" t="b">
        <v>0</v>
      </c>
    </row>
    <row r="276" spans="1:7" ht="15">
      <c r="A276" s="81" t="s">
        <v>3213</v>
      </c>
      <c r="B276" s="80">
        <v>2</v>
      </c>
      <c r="C276" s="107">
        <v>0.0017342463555748103</v>
      </c>
      <c r="D276" s="80" t="s">
        <v>3229</v>
      </c>
      <c r="E276" s="80" t="b">
        <v>0</v>
      </c>
      <c r="F276" s="80" t="b">
        <v>0</v>
      </c>
      <c r="G276" s="80" t="b">
        <v>0</v>
      </c>
    </row>
    <row r="277" spans="1:7" ht="15">
      <c r="A277" s="81" t="s">
        <v>3214</v>
      </c>
      <c r="B277" s="80">
        <v>2</v>
      </c>
      <c r="C277" s="107">
        <v>0.0020260834817638373</v>
      </c>
      <c r="D277" s="80" t="s">
        <v>3229</v>
      </c>
      <c r="E277" s="80" t="b">
        <v>0</v>
      </c>
      <c r="F277" s="80" t="b">
        <v>0</v>
      </c>
      <c r="G277" s="80" t="b">
        <v>0</v>
      </c>
    </row>
    <row r="278" spans="1:7" ht="15">
      <c r="A278" s="81" t="s">
        <v>3215</v>
      </c>
      <c r="B278" s="80">
        <v>2</v>
      </c>
      <c r="C278" s="107">
        <v>0.0017342463555748103</v>
      </c>
      <c r="D278" s="80" t="s">
        <v>3229</v>
      </c>
      <c r="E278" s="80" t="b">
        <v>0</v>
      </c>
      <c r="F278" s="80" t="b">
        <v>0</v>
      </c>
      <c r="G278" s="80" t="b">
        <v>0</v>
      </c>
    </row>
    <row r="279" spans="1:7" ht="15">
      <c r="A279" s="81" t="s">
        <v>3216</v>
      </c>
      <c r="B279" s="80">
        <v>2</v>
      </c>
      <c r="C279" s="107">
        <v>0.0017342463555748103</v>
      </c>
      <c r="D279" s="80" t="s">
        <v>3229</v>
      </c>
      <c r="E279" s="80" t="b">
        <v>0</v>
      </c>
      <c r="F279" s="80" t="b">
        <v>0</v>
      </c>
      <c r="G279" s="80" t="b">
        <v>0</v>
      </c>
    </row>
    <row r="280" spans="1:7" ht="15">
      <c r="A280" s="81" t="s">
        <v>3217</v>
      </c>
      <c r="B280" s="80">
        <v>2</v>
      </c>
      <c r="C280" s="107">
        <v>0.0017342463555748103</v>
      </c>
      <c r="D280" s="80" t="s">
        <v>3229</v>
      </c>
      <c r="E280" s="80" t="b">
        <v>0</v>
      </c>
      <c r="F280" s="80" t="b">
        <v>0</v>
      </c>
      <c r="G280" s="80" t="b">
        <v>0</v>
      </c>
    </row>
    <row r="281" spans="1:7" ht="15">
      <c r="A281" s="81" t="s">
        <v>422</v>
      </c>
      <c r="B281" s="80">
        <v>2</v>
      </c>
      <c r="C281" s="107">
        <v>0.0017342463555748103</v>
      </c>
      <c r="D281" s="80" t="s">
        <v>3229</v>
      </c>
      <c r="E281" s="80" t="b">
        <v>0</v>
      </c>
      <c r="F281" s="80" t="b">
        <v>0</v>
      </c>
      <c r="G281" s="80" t="b">
        <v>0</v>
      </c>
    </row>
    <row r="282" spans="1:7" ht="15">
      <c r="A282" s="81" t="s">
        <v>3218</v>
      </c>
      <c r="B282" s="80">
        <v>2</v>
      </c>
      <c r="C282" s="107">
        <v>0.0017342463555748103</v>
      </c>
      <c r="D282" s="80" t="s">
        <v>3229</v>
      </c>
      <c r="E282" s="80" t="b">
        <v>0</v>
      </c>
      <c r="F282" s="80" t="b">
        <v>0</v>
      </c>
      <c r="G282" s="80" t="b">
        <v>0</v>
      </c>
    </row>
    <row r="283" spans="1:7" ht="15">
      <c r="A283" s="81" t="s">
        <v>3219</v>
      </c>
      <c r="B283" s="80">
        <v>2</v>
      </c>
      <c r="C283" s="107">
        <v>0.0017342463555748103</v>
      </c>
      <c r="D283" s="80" t="s">
        <v>3229</v>
      </c>
      <c r="E283" s="80" t="b">
        <v>0</v>
      </c>
      <c r="F283" s="80" t="b">
        <v>0</v>
      </c>
      <c r="G283" s="80" t="b">
        <v>0</v>
      </c>
    </row>
    <row r="284" spans="1:7" ht="15">
      <c r="A284" s="81" t="s">
        <v>3220</v>
      </c>
      <c r="B284" s="80">
        <v>2</v>
      </c>
      <c r="C284" s="107">
        <v>0.0017342463555748103</v>
      </c>
      <c r="D284" s="80" t="s">
        <v>3229</v>
      </c>
      <c r="E284" s="80" t="b">
        <v>0</v>
      </c>
      <c r="F284" s="80" t="b">
        <v>0</v>
      </c>
      <c r="G284" s="80" t="b">
        <v>0</v>
      </c>
    </row>
    <row r="285" spans="1:7" ht="15">
      <c r="A285" s="81" t="s">
        <v>3221</v>
      </c>
      <c r="B285" s="80">
        <v>2</v>
      </c>
      <c r="C285" s="107">
        <v>0.0020260834817638373</v>
      </c>
      <c r="D285" s="80" t="s">
        <v>3229</v>
      </c>
      <c r="E285" s="80" t="b">
        <v>0</v>
      </c>
      <c r="F285" s="80" t="b">
        <v>0</v>
      </c>
      <c r="G285" s="80" t="b">
        <v>0</v>
      </c>
    </row>
    <row r="286" spans="1:7" ht="15">
      <c r="A286" s="81" t="s">
        <v>3222</v>
      </c>
      <c r="B286" s="80">
        <v>2</v>
      </c>
      <c r="C286" s="107">
        <v>0.0020260834817638373</v>
      </c>
      <c r="D286" s="80" t="s">
        <v>3229</v>
      </c>
      <c r="E286" s="80" t="b">
        <v>0</v>
      </c>
      <c r="F286" s="80" t="b">
        <v>0</v>
      </c>
      <c r="G286" s="80" t="b">
        <v>0</v>
      </c>
    </row>
    <row r="287" spans="1:7" ht="15">
      <c r="A287" s="81" t="s">
        <v>284</v>
      </c>
      <c r="B287" s="80">
        <v>2</v>
      </c>
      <c r="C287" s="107">
        <v>0.0017342463555748103</v>
      </c>
      <c r="D287" s="80" t="s">
        <v>3229</v>
      </c>
      <c r="E287" s="80" t="b">
        <v>0</v>
      </c>
      <c r="F287" s="80" t="b">
        <v>0</v>
      </c>
      <c r="G287" s="80" t="b">
        <v>0</v>
      </c>
    </row>
    <row r="288" spans="1:7" ht="15">
      <c r="A288" s="81" t="s">
        <v>283</v>
      </c>
      <c r="B288" s="80">
        <v>2</v>
      </c>
      <c r="C288" s="107">
        <v>0.0017342463555748103</v>
      </c>
      <c r="D288" s="80" t="s">
        <v>3229</v>
      </c>
      <c r="E288" s="80" t="b">
        <v>0</v>
      </c>
      <c r="F288" s="80" t="b">
        <v>0</v>
      </c>
      <c r="G288" s="80" t="b">
        <v>0</v>
      </c>
    </row>
    <row r="289" spans="1:7" ht="15">
      <c r="A289" s="81" t="s">
        <v>3223</v>
      </c>
      <c r="B289" s="80">
        <v>2</v>
      </c>
      <c r="C289" s="107">
        <v>0.0017342463555748103</v>
      </c>
      <c r="D289" s="80" t="s">
        <v>3229</v>
      </c>
      <c r="E289" s="80" t="b">
        <v>1</v>
      </c>
      <c r="F289" s="80" t="b">
        <v>0</v>
      </c>
      <c r="G289" s="80" t="b">
        <v>0</v>
      </c>
    </row>
    <row r="290" spans="1:7" ht="15">
      <c r="A290" s="81" t="s">
        <v>270</v>
      </c>
      <c r="B290" s="80">
        <v>2</v>
      </c>
      <c r="C290" s="107">
        <v>0.0017342463555748103</v>
      </c>
      <c r="D290" s="80" t="s">
        <v>3229</v>
      </c>
      <c r="E290" s="80" t="b">
        <v>0</v>
      </c>
      <c r="F290" s="80" t="b">
        <v>0</v>
      </c>
      <c r="G290" s="80" t="b">
        <v>0</v>
      </c>
    </row>
    <row r="291" spans="1:7" ht="15">
      <c r="A291" s="81" t="s">
        <v>228</v>
      </c>
      <c r="B291" s="80">
        <v>28</v>
      </c>
      <c r="C291" s="107">
        <v>0</v>
      </c>
      <c r="D291" s="80" t="s">
        <v>3013</v>
      </c>
      <c r="E291" s="80" t="b">
        <v>0</v>
      </c>
      <c r="F291" s="80" t="b">
        <v>0</v>
      </c>
      <c r="G291" s="80" t="b">
        <v>0</v>
      </c>
    </row>
    <row r="292" spans="1:7" ht="15">
      <c r="A292" s="81" t="s">
        <v>3052</v>
      </c>
      <c r="B292" s="80">
        <v>12</v>
      </c>
      <c r="C292" s="107">
        <v>0.00793590280392729</v>
      </c>
      <c r="D292" s="80" t="s">
        <v>3013</v>
      </c>
      <c r="E292" s="80" t="b">
        <v>1</v>
      </c>
      <c r="F292" s="80" t="b">
        <v>0</v>
      </c>
      <c r="G292" s="80" t="b">
        <v>0</v>
      </c>
    </row>
    <row r="293" spans="1:7" ht="15">
      <c r="A293" s="81" t="s">
        <v>3053</v>
      </c>
      <c r="B293" s="80">
        <v>12</v>
      </c>
      <c r="C293" s="107">
        <v>0.00793590280392729</v>
      </c>
      <c r="D293" s="80" t="s">
        <v>3013</v>
      </c>
      <c r="E293" s="80" t="b">
        <v>0</v>
      </c>
      <c r="F293" s="80" t="b">
        <v>0</v>
      </c>
      <c r="G293" s="80" t="b">
        <v>0</v>
      </c>
    </row>
    <row r="294" spans="1:7" ht="15">
      <c r="A294" s="81" t="s">
        <v>3058</v>
      </c>
      <c r="B294" s="80">
        <v>8</v>
      </c>
      <c r="C294" s="107">
        <v>0.010286950345035585</v>
      </c>
      <c r="D294" s="80" t="s">
        <v>3013</v>
      </c>
      <c r="E294" s="80" t="b">
        <v>0</v>
      </c>
      <c r="F294" s="80" t="b">
        <v>0</v>
      </c>
      <c r="G294" s="80" t="b">
        <v>0</v>
      </c>
    </row>
    <row r="295" spans="1:7" ht="15">
      <c r="A295" s="81" t="s">
        <v>376</v>
      </c>
      <c r="B295" s="80">
        <v>8</v>
      </c>
      <c r="C295" s="107">
        <v>0.011601161897693259</v>
      </c>
      <c r="D295" s="80" t="s">
        <v>3013</v>
      </c>
      <c r="E295" s="80" t="b">
        <v>0</v>
      </c>
      <c r="F295" s="80" t="b">
        <v>0</v>
      </c>
      <c r="G295" s="80" t="b">
        <v>0</v>
      </c>
    </row>
    <row r="296" spans="1:7" ht="15">
      <c r="A296" s="81" t="s">
        <v>414</v>
      </c>
      <c r="B296" s="80">
        <v>6</v>
      </c>
      <c r="C296" s="107">
        <v>0.007715212758776688</v>
      </c>
      <c r="D296" s="80" t="s">
        <v>3013</v>
      </c>
      <c r="E296" s="80" t="b">
        <v>0</v>
      </c>
      <c r="F296" s="80" t="b">
        <v>0</v>
      </c>
      <c r="G296" s="80" t="b">
        <v>0</v>
      </c>
    </row>
    <row r="297" spans="1:7" ht="15">
      <c r="A297" s="81" t="s">
        <v>3065</v>
      </c>
      <c r="B297" s="80">
        <v>6</v>
      </c>
      <c r="C297" s="107">
        <v>0.0099072201329138</v>
      </c>
      <c r="D297" s="80" t="s">
        <v>3013</v>
      </c>
      <c r="E297" s="80" t="b">
        <v>0</v>
      </c>
      <c r="F297" s="80" t="b">
        <v>0</v>
      </c>
      <c r="G297" s="80" t="b">
        <v>0</v>
      </c>
    </row>
    <row r="298" spans="1:7" ht="15">
      <c r="A298" s="81" t="s">
        <v>3069</v>
      </c>
      <c r="B298" s="80">
        <v>5</v>
      </c>
      <c r="C298" s="107">
        <v>0.008256016777428165</v>
      </c>
      <c r="D298" s="80" t="s">
        <v>3013</v>
      </c>
      <c r="E298" s="80" t="b">
        <v>0</v>
      </c>
      <c r="F298" s="80" t="b">
        <v>0</v>
      </c>
      <c r="G298" s="80" t="b">
        <v>0</v>
      </c>
    </row>
    <row r="299" spans="1:7" ht="15">
      <c r="A299" s="81" t="s">
        <v>253</v>
      </c>
      <c r="B299" s="80">
        <v>5</v>
      </c>
      <c r="C299" s="107">
        <v>0.007250726186058287</v>
      </c>
      <c r="D299" s="80" t="s">
        <v>3013</v>
      </c>
      <c r="E299" s="80" t="b">
        <v>0</v>
      </c>
      <c r="F299" s="80" t="b">
        <v>0</v>
      </c>
      <c r="G299" s="80" t="b">
        <v>0</v>
      </c>
    </row>
    <row r="300" spans="1:7" ht="15">
      <c r="A300" s="81" t="s">
        <v>238</v>
      </c>
      <c r="B300" s="80">
        <v>5</v>
      </c>
      <c r="C300" s="107">
        <v>0.008256016777428165</v>
      </c>
      <c r="D300" s="80" t="s">
        <v>3013</v>
      </c>
      <c r="E300" s="80" t="b">
        <v>0</v>
      </c>
      <c r="F300" s="80" t="b">
        <v>0</v>
      </c>
      <c r="G300" s="80" t="b">
        <v>0</v>
      </c>
    </row>
    <row r="301" spans="1:7" ht="15">
      <c r="A301" s="81" t="s">
        <v>471</v>
      </c>
      <c r="B301" s="80">
        <v>5</v>
      </c>
      <c r="C301" s="107">
        <v>0.008256016777428165</v>
      </c>
      <c r="D301" s="80" t="s">
        <v>3013</v>
      </c>
      <c r="E301" s="80" t="b">
        <v>0</v>
      </c>
      <c r="F301" s="80" t="b">
        <v>0</v>
      </c>
      <c r="G301" s="80" t="b">
        <v>0</v>
      </c>
    </row>
    <row r="302" spans="1:7" ht="15">
      <c r="A302" s="81" t="s">
        <v>417</v>
      </c>
      <c r="B302" s="80">
        <v>4</v>
      </c>
      <c r="C302" s="107">
        <v>0.006604813421942533</v>
      </c>
      <c r="D302" s="80" t="s">
        <v>3013</v>
      </c>
      <c r="E302" s="80" t="b">
        <v>0</v>
      </c>
      <c r="F302" s="80" t="b">
        <v>0</v>
      </c>
      <c r="G302" s="80" t="b">
        <v>0</v>
      </c>
    </row>
    <row r="303" spans="1:7" ht="15">
      <c r="A303" s="81" t="s">
        <v>375</v>
      </c>
      <c r="B303" s="80">
        <v>4</v>
      </c>
      <c r="C303" s="107">
        <v>0.006604813421942533</v>
      </c>
      <c r="D303" s="80" t="s">
        <v>3013</v>
      </c>
      <c r="E303" s="80" t="b">
        <v>0</v>
      </c>
      <c r="F303" s="80" t="b">
        <v>0</v>
      </c>
      <c r="G303" s="80" t="b">
        <v>0</v>
      </c>
    </row>
    <row r="304" spans="1:7" ht="15">
      <c r="A304" s="81" t="s">
        <v>371</v>
      </c>
      <c r="B304" s="80">
        <v>4</v>
      </c>
      <c r="C304" s="107">
        <v>0.006604813421942533</v>
      </c>
      <c r="D304" s="80" t="s">
        <v>3013</v>
      </c>
      <c r="E304" s="80" t="b">
        <v>0</v>
      </c>
      <c r="F304" s="80" t="b">
        <v>0</v>
      </c>
      <c r="G304" s="80" t="b">
        <v>0</v>
      </c>
    </row>
    <row r="305" spans="1:7" ht="15">
      <c r="A305" s="81" t="s">
        <v>372</v>
      </c>
      <c r="B305" s="80">
        <v>4</v>
      </c>
      <c r="C305" s="107">
        <v>0.006604813421942533</v>
      </c>
      <c r="D305" s="80" t="s">
        <v>3013</v>
      </c>
      <c r="E305" s="80" t="b">
        <v>0</v>
      </c>
      <c r="F305" s="80" t="b">
        <v>0</v>
      </c>
      <c r="G305" s="80" t="b">
        <v>0</v>
      </c>
    </row>
    <row r="306" spans="1:7" ht="15">
      <c r="A306" s="81" t="s">
        <v>369</v>
      </c>
      <c r="B306" s="80">
        <v>4</v>
      </c>
      <c r="C306" s="107">
        <v>0.006604813421942533</v>
      </c>
      <c r="D306" s="80" t="s">
        <v>3013</v>
      </c>
      <c r="E306" s="80" t="b">
        <v>0</v>
      </c>
      <c r="F306" s="80" t="b">
        <v>0</v>
      </c>
      <c r="G306" s="80" t="b">
        <v>0</v>
      </c>
    </row>
    <row r="307" spans="1:7" ht="15">
      <c r="A307" s="81" t="s">
        <v>373</v>
      </c>
      <c r="B307" s="80">
        <v>4</v>
      </c>
      <c r="C307" s="107">
        <v>0.006604813421942533</v>
      </c>
      <c r="D307" s="80" t="s">
        <v>3013</v>
      </c>
      <c r="E307" s="80" t="b">
        <v>0</v>
      </c>
      <c r="F307" s="80" t="b">
        <v>0</v>
      </c>
      <c r="G307" s="80" t="b">
        <v>0</v>
      </c>
    </row>
    <row r="308" spans="1:7" ht="15">
      <c r="A308" s="81" t="s">
        <v>252</v>
      </c>
      <c r="B308" s="80">
        <v>4</v>
      </c>
      <c r="C308" s="107">
        <v>0.006604813421942533</v>
      </c>
      <c r="D308" s="80" t="s">
        <v>3013</v>
      </c>
      <c r="E308" s="80" t="b">
        <v>0</v>
      </c>
      <c r="F308" s="80" t="b">
        <v>0</v>
      </c>
      <c r="G308" s="80" t="b">
        <v>0</v>
      </c>
    </row>
    <row r="309" spans="1:7" ht="15">
      <c r="A309" s="81" t="s">
        <v>3077</v>
      </c>
      <c r="B309" s="80">
        <v>4</v>
      </c>
      <c r="C309" s="107">
        <v>0.006604813421942533</v>
      </c>
      <c r="D309" s="80" t="s">
        <v>3013</v>
      </c>
      <c r="E309" s="80" t="b">
        <v>0</v>
      </c>
      <c r="F309" s="80" t="b">
        <v>0</v>
      </c>
      <c r="G309" s="80" t="b">
        <v>0</v>
      </c>
    </row>
    <row r="310" spans="1:7" ht="15">
      <c r="A310" s="81" t="s">
        <v>374</v>
      </c>
      <c r="B310" s="80">
        <v>4</v>
      </c>
      <c r="C310" s="107">
        <v>0.006604813421942533</v>
      </c>
      <c r="D310" s="80" t="s">
        <v>3013</v>
      </c>
      <c r="E310" s="80" t="b">
        <v>0</v>
      </c>
      <c r="F310" s="80" t="b">
        <v>0</v>
      </c>
      <c r="G310" s="80" t="b">
        <v>0</v>
      </c>
    </row>
    <row r="311" spans="1:7" ht="15">
      <c r="A311" s="81" t="s">
        <v>3068</v>
      </c>
      <c r="B311" s="80">
        <v>4</v>
      </c>
      <c r="C311" s="107">
        <v>0.006604813421942533</v>
      </c>
      <c r="D311" s="80" t="s">
        <v>3013</v>
      </c>
      <c r="E311" s="80" t="b">
        <v>0</v>
      </c>
      <c r="F311" s="80" t="b">
        <v>0</v>
      </c>
      <c r="G311" s="80" t="b">
        <v>0</v>
      </c>
    </row>
    <row r="312" spans="1:7" ht="15">
      <c r="A312" s="81" t="s">
        <v>229</v>
      </c>
      <c r="B312" s="80">
        <v>4</v>
      </c>
      <c r="C312" s="107">
        <v>0.006604813421942533</v>
      </c>
      <c r="D312" s="80" t="s">
        <v>3013</v>
      </c>
      <c r="E312" s="80" t="b">
        <v>0</v>
      </c>
      <c r="F312" s="80" t="b">
        <v>0</v>
      </c>
      <c r="G312" s="80" t="b">
        <v>0</v>
      </c>
    </row>
    <row r="313" spans="1:7" ht="15">
      <c r="A313" s="81" t="s">
        <v>370</v>
      </c>
      <c r="B313" s="80">
        <v>4</v>
      </c>
      <c r="C313" s="107">
        <v>0.006604813421942533</v>
      </c>
      <c r="D313" s="80" t="s">
        <v>3013</v>
      </c>
      <c r="E313" s="80" t="b">
        <v>0</v>
      </c>
      <c r="F313" s="80" t="b">
        <v>0</v>
      </c>
      <c r="G313" s="80" t="b">
        <v>0</v>
      </c>
    </row>
    <row r="314" spans="1:7" ht="15">
      <c r="A314" s="81" t="s">
        <v>3055</v>
      </c>
      <c r="B314" s="80">
        <v>3</v>
      </c>
      <c r="C314" s="107">
        <v>0.005731237057794866</v>
      </c>
      <c r="D314" s="80" t="s">
        <v>3013</v>
      </c>
      <c r="E314" s="80" t="b">
        <v>0</v>
      </c>
      <c r="F314" s="80" t="b">
        <v>0</v>
      </c>
      <c r="G314" s="80" t="b">
        <v>0</v>
      </c>
    </row>
    <row r="315" spans="1:7" ht="15">
      <c r="A315" s="81" t="s">
        <v>3109</v>
      </c>
      <c r="B315" s="80">
        <v>3</v>
      </c>
      <c r="C315" s="107">
        <v>0.008700871423269944</v>
      </c>
      <c r="D315" s="80" t="s">
        <v>3013</v>
      </c>
      <c r="E315" s="80" t="b">
        <v>0</v>
      </c>
      <c r="F315" s="80" t="b">
        <v>0</v>
      </c>
      <c r="G315" s="80" t="b">
        <v>0</v>
      </c>
    </row>
    <row r="316" spans="1:7" ht="15">
      <c r="A316" s="81" t="s">
        <v>362</v>
      </c>
      <c r="B316" s="80">
        <v>3</v>
      </c>
      <c r="C316" s="107">
        <v>0.005731237057794866</v>
      </c>
      <c r="D316" s="80" t="s">
        <v>3013</v>
      </c>
      <c r="E316" s="80" t="b">
        <v>0</v>
      </c>
      <c r="F316" s="80" t="b">
        <v>0</v>
      </c>
      <c r="G316" s="80" t="b">
        <v>0</v>
      </c>
    </row>
    <row r="317" spans="1:7" ht="15">
      <c r="A317" s="81" t="s">
        <v>3086</v>
      </c>
      <c r="B317" s="80">
        <v>3</v>
      </c>
      <c r="C317" s="107">
        <v>0.008700871423269944</v>
      </c>
      <c r="D317" s="80" t="s">
        <v>3013</v>
      </c>
      <c r="E317" s="80" t="b">
        <v>0</v>
      </c>
      <c r="F317" s="80" t="b">
        <v>0</v>
      </c>
      <c r="G317" s="80" t="b">
        <v>0</v>
      </c>
    </row>
    <row r="318" spans="1:7" ht="15">
      <c r="A318" s="81" t="s">
        <v>366</v>
      </c>
      <c r="B318" s="80">
        <v>3</v>
      </c>
      <c r="C318" s="107">
        <v>0.005731237057794866</v>
      </c>
      <c r="D318" s="80" t="s">
        <v>3013</v>
      </c>
      <c r="E318" s="80" t="b">
        <v>0</v>
      </c>
      <c r="F318" s="80" t="b">
        <v>0</v>
      </c>
      <c r="G318" s="80" t="b">
        <v>0</v>
      </c>
    </row>
    <row r="319" spans="1:7" ht="15">
      <c r="A319" s="81" t="s">
        <v>3101</v>
      </c>
      <c r="B319" s="80">
        <v>3</v>
      </c>
      <c r="C319" s="107">
        <v>0.005731237057794866</v>
      </c>
      <c r="D319" s="80" t="s">
        <v>3013</v>
      </c>
      <c r="E319" s="80" t="b">
        <v>0</v>
      </c>
      <c r="F319" s="80" t="b">
        <v>0</v>
      </c>
      <c r="G319" s="80" t="b">
        <v>0</v>
      </c>
    </row>
    <row r="320" spans="1:7" ht="15">
      <c r="A320" s="81" t="s">
        <v>368</v>
      </c>
      <c r="B320" s="80">
        <v>3</v>
      </c>
      <c r="C320" s="107">
        <v>0.006827240744863422</v>
      </c>
      <c r="D320" s="80" t="s">
        <v>3013</v>
      </c>
      <c r="E320" s="80" t="b">
        <v>0</v>
      </c>
      <c r="F320" s="80" t="b">
        <v>0</v>
      </c>
      <c r="G320" s="80" t="b">
        <v>0</v>
      </c>
    </row>
    <row r="321" spans="1:7" ht="15">
      <c r="A321" s="81" t="s">
        <v>3222</v>
      </c>
      <c r="B321" s="80">
        <v>2</v>
      </c>
      <c r="C321" s="107">
        <v>0.005800580948846629</v>
      </c>
      <c r="D321" s="80" t="s">
        <v>3013</v>
      </c>
      <c r="E321" s="80" t="b">
        <v>0</v>
      </c>
      <c r="F321" s="80" t="b">
        <v>0</v>
      </c>
      <c r="G321" s="80" t="b">
        <v>0</v>
      </c>
    </row>
    <row r="322" spans="1:7" ht="15">
      <c r="A322" s="81" t="s">
        <v>3202</v>
      </c>
      <c r="B322" s="80">
        <v>2</v>
      </c>
      <c r="C322" s="107">
        <v>0.005800580948846629</v>
      </c>
      <c r="D322" s="80" t="s">
        <v>3013</v>
      </c>
      <c r="E322" s="80" t="b">
        <v>0</v>
      </c>
      <c r="F322" s="80" t="b">
        <v>0</v>
      </c>
      <c r="G322" s="80" t="b">
        <v>0</v>
      </c>
    </row>
    <row r="323" spans="1:7" ht="15">
      <c r="A323" s="81" t="s">
        <v>3152</v>
      </c>
      <c r="B323" s="80">
        <v>2</v>
      </c>
      <c r="C323" s="107">
        <v>0.005800580948846629</v>
      </c>
      <c r="D323" s="80" t="s">
        <v>3013</v>
      </c>
      <c r="E323" s="80" t="b">
        <v>0</v>
      </c>
      <c r="F323" s="80" t="b">
        <v>0</v>
      </c>
      <c r="G323" s="80" t="b">
        <v>0</v>
      </c>
    </row>
    <row r="324" spans="1:7" ht="15">
      <c r="A324" s="81" t="s">
        <v>3171</v>
      </c>
      <c r="B324" s="80">
        <v>2</v>
      </c>
      <c r="C324" s="107">
        <v>0.004551493829908948</v>
      </c>
      <c r="D324" s="80" t="s">
        <v>3013</v>
      </c>
      <c r="E324" s="80" t="b">
        <v>0</v>
      </c>
      <c r="F324" s="80" t="b">
        <v>0</v>
      </c>
      <c r="G324" s="80" t="b">
        <v>0</v>
      </c>
    </row>
    <row r="325" spans="1:7" ht="15">
      <c r="A325" s="81" t="s">
        <v>3108</v>
      </c>
      <c r="B325" s="80">
        <v>2</v>
      </c>
      <c r="C325" s="107">
        <v>0.005800580948846629</v>
      </c>
      <c r="D325" s="80" t="s">
        <v>3013</v>
      </c>
      <c r="E325" s="80" t="b">
        <v>0</v>
      </c>
      <c r="F325" s="80" t="b">
        <v>0</v>
      </c>
      <c r="G325" s="80" t="b">
        <v>0</v>
      </c>
    </row>
    <row r="326" spans="1:7" ht="15">
      <c r="A326" s="81" t="s">
        <v>3211</v>
      </c>
      <c r="B326" s="80">
        <v>2</v>
      </c>
      <c r="C326" s="107">
        <v>0.004551493829908948</v>
      </c>
      <c r="D326" s="80" t="s">
        <v>3013</v>
      </c>
      <c r="E326" s="80" t="b">
        <v>0</v>
      </c>
      <c r="F326" s="80" t="b">
        <v>0</v>
      </c>
      <c r="G326" s="80" t="b">
        <v>0</v>
      </c>
    </row>
    <row r="327" spans="1:7" ht="15">
      <c r="A327" s="81" t="s">
        <v>3207</v>
      </c>
      <c r="B327" s="80">
        <v>2</v>
      </c>
      <c r="C327" s="107">
        <v>0.005800580948846629</v>
      </c>
      <c r="D327" s="80" t="s">
        <v>3013</v>
      </c>
      <c r="E327" s="80" t="b">
        <v>0</v>
      </c>
      <c r="F327" s="80" t="b">
        <v>0</v>
      </c>
      <c r="G327" s="80" t="b">
        <v>0</v>
      </c>
    </row>
    <row r="328" spans="1:7" ht="15">
      <c r="A328" s="81" t="s">
        <v>379</v>
      </c>
      <c r="B328" s="80">
        <v>2</v>
      </c>
      <c r="C328" s="107">
        <v>0.004551493829908948</v>
      </c>
      <c r="D328" s="80" t="s">
        <v>3013</v>
      </c>
      <c r="E328" s="80" t="b">
        <v>0</v>
      </c>
      <c r="F328" s="80" t="b">
        <v>0</v>
      </c>
      <c r="G328" s="80" t="b">
        <v>0</v>
      </c>
    </row>
    <row r="329" spans="1:7" ht="15">
      <c r="A329" s="81" t="s">
        <v>3147</v>
      </c>
      <c r="B329" s="80">
        <v>2</v>
      </c>
      <c r="C329" s="107">
        <v>0.005800580948846629</v>
      </c>
      <c r="D329" s="80" t="s">
        <v>3013</v>
      </c>
      <c r="E329" s="80" t="b">
        <v>0</v>
      </c>
      <c r="F329" s="80" t="b">
        <v>0</v>
      </c>
      <c r="G329" s="80" t="b">
        <v>0</v>
      </c>
    </row>
    <row r="330" spans="1:7" ht="15">
      <c r="A330" s="81" t="s">
        <v>3203</v>
      </c>
      <c r="B330" s="80">
        <v>2</v>
      </c>
      <c r="C330" s="107">
        <v>0.004551493829908948</v>
      </c>
      <c r="D330" s="80" t="s">
        <v>3013</v>
      </c>
      <c r="E330" s="80" t="b">
        <v>0</v>
      </c>
      <c r="F330" s="80" t="b">
        <v>0</v>
      </c>
      <c r="G330" s="80" t="b">
        <v>0</v>
      </c>
    </row>
    <row r="331" spans="1:7" ht="15">
      <c r="A331" s="81" t="s">
        <v>3113</v>
      </c>
      <c r="B331" s="80">
        <v>2</v>
      </c>
      <c r="C331" s="107">
        <v>0.004551493829908948</v>
      </c>
      <c r="D331" s="80" t="s">
        <v>3013</v>
      </c>
      <c r="E331" s="80" t="b">
        <v>0</v>
      </c>
      <c r="F331" s="80" t="b">
        <v>0</v>
      </c>
      <c r="G331" s="80" t="b">
        <v>0</v>
      </c>
    </row>
    <row r="332" spans="1:7" ht="15">
      <c r="A332" s="81" t="s">
        <v>3157</v>
      </c>
      <c r="B332" s="80">
        <v>2</v>
      </c>
      <c r="C332" s="107">
        <v>0.005800580948846629</v>
      </c>
      <c r="D332" s="80" t="s">
        <v>3013</v>
      </c>
      <c r="E332" s="80" t="b">
        <v>0</v>
      </c>
      <c r="F332" s="80" t="b">
        <v>0</v>
      </c>
      <c r="G332" s="80" t="b">
        <v>0</v>
      </c>
    </row>
    <row r="333" spans="1:7" ht="15">
      <c r="A333" s="81" t="s">
        <v>230</v>
      </c>
      <c r="B333" s="80">
        <v>2</v>
      </c>
      <c r="C333" s="107">
        <v>0.004551493829908948</v>
      </c>
      <c r="D333" s="80" t="s">
        <v>3013</v>
      </c>
      <c r="E333" s="80" t="b">
        <v>0</v>
      </c>
      <c r="F333" s="80" t="b">
        <v>0</v>
      </c>
      <c r="G333" s="80" t="b">
        <v>0</v>
      </c>
    </row>
    <row r="334" spans="1:7" ht="15">
      <c r="A334" s="81" t="s">
        <v>3200</v>
      </c>
      <c r="B334" s="80">
        <v>2</v>
      </c>
      <c r="C334" s="107">
        <v>0.005800580948846629</v>
      </c>
      <c r="D334" s="80" t="s">
        <v>3013</v>
      </c>
      <c r="E334" s="80" t="b">
        <v>0</v>
      </c>
      <c r="F334" s="80" t="b">
        <v>0</v>
      </c>
      <c r="G334" s="80" t="b">
        <v>0</v>
      </c>
    </row>
    <row r="335" spans="1:7" ht="15">
      <c r="A335" s="81" t="s">
        <v>377</v>
      </c>
      <c r="B335" s="80">
        <v>2</v>
      </c>
      <c r="C335" s="107">
        <v>0.004551493829908948</v>
      </c>
      <c r="D335" s="80" t="s">
        <v>3013</v>
      </c>
      <c r="E335" s="80" t="b">
        <v>0</v>
      </c>
      <c r="F335" s="80" t="b">
        <v>0</v>
      </c>
      <c r="G335" s="80" t="b">
        <v>0</v>
      </c>
    </row>
    <row r="336" spans="1:7" ht="15">
      <c r="A336" s="81" t="s">
        <v>3159</v>
      </c>
      <c r="B336" s="80">
        <v>2</v>
      </c>
      <c r="C336" s="107">
        <v>0.005800580948846629</v>
      </c>
      <c r="D336" s="80" t="s">
        <v>3013</v>
      </c>
      <c r="E336" s="80" t="b">
        <v>0</v>
      </c>
      <c r="F336" s="80" t="b">
        <v>0</v>
      </c>
      <c r="G336" s="80" t="b">
        <v>0</v>
      </c>
    </row>
    <row r="337" spans="1:7" ht="15">
      <c r="A337" s="81" t="s">
        <v>3117</v>
      </c>
      <c r="B337" s="80">
        <v>2</v>
      </c>
      <c r="C337" s="107">
        <v>0.004551493829908948</v>
      </c>
      <c r="D337" s="80" t="s">
        <v>3013</v>
      </c>
      <c r="E337" s="80" t="b">
        <v>0</v>
      </c>
      <c r="F337" s="80" t="b">
        <v>0</v>
      </c>
      <c r="G337" s="80" t="b">
        <v>0</v>
      </c>
    </row>
    <row r="338" spans="1:7" ht="15">
      <c r="A338" s="81" t="s">
        <v>3196</v>
      </c>
      <c r="B338" s="80">
        <v>2</v>
      </c>
      <c r="C338" s="107">
        <v>0.005800580948846629</v>
      </c>
      <c r="D338" s="80" t="s">
        <v>3013</v>
      </c>
      <c r="E338" s="80" t="b">
        <v>0</v>
      </c>
      <c r="F338" s="80" t="b">
        <v>0</v>
      </c>
      <c r="G338" s="80" t="b">
        <v>0</v>
      </c>
    </row>
    <row r="339" spans="1:7" ht="15">
      <c r="A339" s="81" t="s">
        <v>364</v>
      </c>
      <c r="B339" s="80">
        <v>2</v>
      </c>
      <c r="C339" s="107">
        <v>0.004551493829908948</v>
      </c>
      <c r="D339" s="80" t="s">
        <v>3013</v>
      </c>
      <c r="E339" s="80" t="b">
        <v>0</v>
      </c>
      <c r="F339" s="80" t="b">
        <v>0</v>
      </c>
      <c r="G339" s="80" t="b">
        <v>0</v>
      </c>
    </row>
    <row r="340" spans="1:7" ht="15">
      <c r="A340" s="81" t="s">
        <v>3167</v>
      </c>
      <c r="B340" s="80">
        <v>2</v>
      </c>
      <c r="C340" s="107">
        <v>0.004551493829908948</v>
      </c>
      <c r="D340" s="80" t="s">
        <v>3013</v>
      </c>
      <c r="E340" s="80" t="b">
        <v>0</v>
      </c>
      <c r="F340" s="80" t="b">
        <v>0</v>
      </c>
      <c r="G340" s="80" t="b">
        <v>0</v>
      </c>
    </row>
    <row r="341" spans="1:7" ht="15">
      <c r="A341" s="81" t="s">
        <v>3154</v>
      </c>
      <c r="B341" s="80">
        <v>2</v>
      </c>
      <c r="C341" s="107">
        <v>0.004551493829908948</v>
      </c>
      <c r="D341" s="80" t="s">
        <v>3013</v>
      </c>
      <c r="E341" s="80" t="b">
        <v>0</v>
      </c>
      <c r="F341" s="80" t="b">
        <v>0</v>
      </c>
      <c r="G341" s="80" t="b">
        <v>0</v>
      </c>
    </row>
    <row r="342" spans="1:7" ht="15">
      <c r="A342" s="81" t="s">
        <v>380</v>
      </c>
      <c r="B342" s="80">
        <v>2</v>
      </c>
      <c r="C342" s="107">
        <v>0.004551493829908948</v>
      </c>
      <c r="D342" s="80" t="s">
        <v>3013</v>
      </c>
      <c r="E342" s="80" t="b">
        <v>0</v>
      </c>
      <c r="F342" s="80" t="b">
        <v>0</v>
      </c>
      <c r="G342" s="80" t="b">
        <v>0</v>
      </c>
    </row>
    <row r="343" spans="1:7" ht="15">
      <c r="A343" s="81" t="s">
        <v>382</v>
      </c>
      <c r="B343" s="80">
        <v>2</v>
      </c>
      <c r="C343" s="107">
        <v>0.004551493829908948</v>
      </c>
      <c r="D343" s="80" t="s">
        <v>3013</v>
      </c>
      <c r="E343" s="80" t="b">
        <v>0</v>
      </c>
      <c r="F343" s="80" t="b">
        <v>0</v>
      </c>
      <c r="G343" s="80" t="b">
        <v>0</v>
      </c>
    </row>
    <row r="344" spans="1:7" ht="15">
      <c r="A344" s="81" t="s">
        <v>3218</v>
      </c>
      <c r="B344" s="80">
        <v>2</v>
      </c>
      <c r="C344" s="107">
        <v>0.004551493829908948</v>
      </c>
      <c r="D344" s="80" t="s">
        <v>3013</v>
      </c>
      <c r="E344" s="80" t="b">
        <v>0</v>
      </c>
      <c r="F344" s="80" t="b">
        <v>0</v>
      </c>
      <c r="G344" s="80" t="b">
        <v>0</v>
      </c>
    </row>
    <row r="345" spans="1:7" ht="15">
      <c r="A345" s="81" t="s">
        <v>3098</v>
      </c>
      <c r="B345" s="80">
        <v>2</v>
      </c>
      <c r="C345" s="107">
        <v>0.005800580948846629</v>
      </c>
      <c r="D345" s="80" t="s">
        <v>3013</v>
      </c>
      <c r="E345" s="80" t="b">
        <v>0</v>
      </c>
      <c r="F345" s="80" t="b">
        <v>0</v>
      </c>
      <c r="G345" s="80" t="b">
        <v>0</v>
      </c>
    </row>
    <row r="346" spans="1:7" ht="15">
      <c r="A346" s="81" t="s">
        <v>3129</v>
      </c>
      <c r="B346" s="80">
        <v>2</v>
      </c>
      <c r="C346" s="107">
        <v>0.004551493829908948</v>
      </c>
      <c r="D346" s="80" t="s">
        <v>3013</v>
      </c>
      <c r="E346" s="80" t="b">
        <v>0</v>
      </c>
      <c r="F346" s="80" t="b">
        <v>0</v>
      </c>
      <c r="G346" s="80" t="b">
        <v>0</v>
      </c>
    </row>
    <row r="347" spans="1:7" ht="15">
      <c r="A347" s="81" t="s">
        <v>416</v>
      </c>
      <c r="B347" s="80">
        <v>2</v>
      </c>
      <c r="C347" s="107">
        <v>0.004551493829908948</v>
      </c>
      <c r="D347" s="80" t="s">
        <v>3013</v>
      </c>
      <c r="E347" s="80" t="b">
        <v>0</v>
      </c>
      <c r="F347" s="80" t="b">
        <v>0</v>
      </c>
      <c r="G347" s="80" t="b">
        <v>0</v>
      </c>
    </row>
    <row r="348" spans="1:7" ht="15">
      <c r="A348" s="81" t="s">
        <v>378</v>
      </c>
      <c r="B348" s="80">
        <v>2</v>
      </c>
      <c r="C348" s="107">
        <v>0.004551493829908948</v>
      </c>
      <c r="D348" s="80" t="s">
        <v>3013</v>
      </c>
      <c r="E348" s="80" t="b">
        <v>0</v>
      </c>
      <c r="F348" s="80" t="b">
        <v>0</v>
      </c>
      <c r="G348" s="80" t="b">
        <v>0</v>
      </c>
    </row>
    <row r="349" spans="1:7" ht="15">
      <c r="A349" s="81" t="s">
        <v>3135</v>
      </c>
      <c r="B349" s="80">
        <v>2</v>
      </c>
      <c r="C349" s="107">
        <v>0.005800580948846629</v>
      </c>
      <c r="D349" s="80" t="s">
        <v>3013</v>
      </c>
      <c r="E349" s="80" t="b">
        <v>0</v>
      </c>
      <c r="F349" s="80" t="b">
        <v>0</v>
      </c>
      <c r="G349" s="80" t="b">
        <v>0</v>
      </c>
    </row>
    <row r="350" spans="1:7" ht="15">
      <c r="A350" s="81" t="s">
        <v>3097</v>
      </c>
      <c r="B350" s="80">
        <v>2</v>
      </c>
      <c r="C350" s="107">
        <v>0.005800580948846629</v>
      </c>
      <c r="D350" s="80" t="s">
        <v>3013</v>
      </c>
      <c r="E350" s="80" t="b">
        <v>0</v>
      </c>
      <c r="F350" s="80" t="b">
        <v>0</v>
      </c>
      <c r="G350" s="80" t="b">
        <v>0</v>
      </c>
    </row>
    <row r="351" spans="1:7" ht="15">
      <c r="A351" s="81" t="s">
        <v>228</v>
      </c>
      <c r="B351" s="80">
        <v>14</v>
      </c>
      <c r="C351" s="107">
        <v>0.005002086439832637</v>
      </c>
      <c r="D351" s="80" t="s">
        <v>1457</v>
      </c>
      <c r="E351" s="80" t="b">
        <v>0</v>
      </c>
      <c r="F351" s="80" t="b">
        <v>0</v>
      </c>
      <c r="G351" s="80" t="b">
        <v>0</v>
      </c>
    </row>
    <row r="352" spans="1:7" ht="15">
      <c r="A352" s="81" t="s">
        <v>234</v>
      </c>
      <c r="B352" s="80">
        <v>8</v>
      </c>
      <c r="C352" s="107">
        <v>0.018016234476008648</v>
      </c>
      <c r="D352" s="80" t="s">
        <v>1457</v>
      </c>
      <c r="E352" s="80" t="b">
        <v>0</v>
      </c>
      <c r="F352" s="80" t="b">
        <v>0</v>
      </c>
      <c r="G352" s="80" t="b">
        <v>0</v>
      </c>
    </row>
    <row r="353" spans="1:7" ht="15">
      <c r="A353" s="81" t="s">
        <v>3063</v>
      </c>
      <c r="B353" s="80">
        <v>7</v>
      </c>
      <c r="C353" s="107">
        <v>0.015764205166507568</v>
      </c>
      <c r="D353" s="80" t="s">
        <v>1457</v>
      </c>
      <c r="E353" s="80" t="b">
        <v>0</v>
      </c>
      <c r="F353" s="80" t="b">
        <v>0</v>
      </c>
      <c r="G353" s="80" t="b">
        <v>0</v>
      </c>
    </row>
    <row r="354" spans="1:7" ht="15">
      <c r="A354" s="81" t="s">
        <v>3055</v>
      </c>
      <c r="B354" s="80">
        <v>6</v>
      </c>
      <c r="C354" s="107">
        <v>0.013512175857006488</v>
      </c>
      <c r="D354" s="80" t="s">
        <v>1457</v>
      </c>
      <c r="E354" s="80" t="b">
        <v>0</v>
      </c>
      <c r="F354" s="80" t="b">
        <v>0</v>
      </c>
      <c r="G354" s="80" t="b">
        <v>0</v>
      </c>
    </row>
    <row r="355" spans="1:7" ht="15">
      <c r="A355" s="81" t="s">
        <v>3062</v>
      </c>
      <c r="B355" s="80">
        <v>5</v>
      </c>
      <c r="C355" s="107">
        <v>0.013313324789201515</v>
      </c>
      <c r="D355" s="80" t="s">
        <v>1457</v>
      </c>
      <c r="E355" s="80" t="b">
        <v>0</v>
      </c>
      <c r="F355" s="80" t="b">
        <v>0</v>
      </c>
      <c r="G355" s="80" t="b">
        <v>0</v>
      </c>
    </row>
    <row r="356" spans="1:7" ht="15">
      <c r="A356" s="81" t="s">
        <v>3060</v>
      </c>
      <c r="B356" s="80">
        <v>4</v>
      </c>
      <c r="C356" s="107">
        <v>0.012768265536586635</v>
      </c>
      <c r="D356" s="80" t="s">
        <v>1457</v>
      </c>
      <c r="E356" s="80" t="b">
        <v>1</v>
      </c>
      <c r="F356" s="80" t="b">
        <v>0</v>
      </c>
      <c r="G356" s="80" t="b">
        <v>0</v>
      </c>
    </row>
    <row r="357" spans="1:7" ht="15">
      <c r="A357" s="81" t="s">
        <v>229</v>
      </c>
      <c r="B357" s="80">
        <v>4</v>
      </c>
      <c r="C357" s="107">
        <v>0.010650659831361212</v>
      </c>
      <c r="D357" s="80" t="s">
        <v>1457</v>
      </c>
      <c r="E357" s="80" t="b">
        <v>0</v>
      </c>
      <c r="F357" s="80" t="b">
        <v>0</v>
      </c>
      <c r="G357" s="80" t="b">
        <v>0</v>
      </c>
    </row>
    <row r="358" spans="1:7" ht="15">
      <c r="A358" s="81" t="s">
        <v>3071</v>
      </c>
      <c r="B358" s="80">
        <v>4</v>
      </c>
      <c r="C358" s="107">
        <v>0.015752863147699876</v>
      </c>
      <c r="D358" s="80" t="s">
        <v>1457</v>
      </c>
      <c r="E358" s="80" t="b">
        <v>0</v>
      </c>
      <c r="F358" s="80" t="b">
        <v>0</v>
      </c>
      <c r="G358" s="80" t="b">
        <v>0</v>
      </c>
    </row>
    <row r="359" spans="1:7" ht="15">
      <c r="A359" s="81" t="s">
        <v>3053</v>
      </c>
      <c r="B359" s="80">
        <v>4</v>
      </c>
      <c r="C359" s="107">
        <v>0.010650659831361212</v>
      </c>
      <c r="D359" s="80" t="s">
        <v>1457</v>
      </c>
      <c r="E359" s="80" t="b">
        <v>0</v>
      </c>
      <c r="F359" s="80" t="b">
        <v>0</v>
      </c>
      <c r="G359" s="80" t="b">
        <v>0</v>
      </c>
    </row>
    <row r="360" spans="1:7" ht="15">
      <c r="A360" s="81" t="s">
        <v>3052</v>
      </c>
      <c r="B360" s="80">
        <v>4</v>
      </c>
      <c r="C360" s="107">
        <v>0.010650659831361212</v>
      </c>
      <c r="D360" s="80" t="s">
        <v>1457</v>
      </c>
      <c r="E360" s="80" t="b">
        <v>1</v>
      </c>
      <c r="F360" s="80" t="b">
        <v>0</v>
      </c>
      <c r="G360" s="80" t="b">
        <v>0</v>
      </c>
    </row>
    <row r="361" spans="1:7" ht="15">
      <c r="A361" s="81" t="s">
        <v>266</v>
      </c>
      <c r="B361" s="80">
        <v>3</v>
      </c>
      <c r="C361" s="107">
        <v>0.009576199152439978</v>
      </c>
      <c r="D361" s="80" t="s">
        <v>1457</v>
      </c>
      <c r="E361" s="80" t="b">
        <v>0</v>
      </c>
      <c r="F361" s="80" t="b">
        <v>0</v>
      </c>
      <c r="G361" s="80" t="b">
        <v>0</v>
      </c>
    </row>
    <row r="362" spans="1:7" ht="15">
      <c r="A362" s="81" t="s">
        <v>267</v>
      </c>
      <c r="B362" s="80">
        <v>3</v>
      </c>
      <c r="C362" s="107">
        <v>0.009576199152439978</v>
      </c>
      <c r="D362" s="80" t="s">
        <v>1457</v>
      </c>
      <c r="E362" s="80" t="b">
        <v>0</v>
      </c>
      <c r="F362" s="80" t="b">
        <v>0</v>
      </c>
      <c r="G362" s="80" t="b">
        <v>0</v>
      </c>
    </row>
    <row r="363" spans="1:7" ht="15">
      <c r="A363" s="81" t="s">
        <v>3059</v>
      </c>
      <c r="B363" s="80">
        <v>3</v>
      </c>
      <c r="C363" s="107">
        <v>0.009576199152439978</v>
      </c>
      <c r="D363" s="80" t="s">
        <v>1457</v>
      </c>
      <c r="E363" s="80" t="b">
        <v>0</v>
      </c>
      <c r="F363" s="80" t="b">
        <v>0</v>
      </c>
      <c r="G363" s="80" t="b">
        <v>0</v>
      </c>
    </row>
    <row r="364" spans="1:7" ht="15">
      <c r="A364" s="81" t="s">
        <v>268</v>
      </c>
      <c r="B364" s="80">
        <v>3</v>
      </c>
      <c r="C364" s="107">
        <v>0.009576199152439978</v>
      </c>
      <c r="D364" s="80" t="s">
        <v>1457</v>
      </c>
      <c r="E364" s="80" t="b">
        <v>0</v>
      </c>
      <c r="F364" s="80" t="b">
        <v>0</v>
      </c>
      <c r="G364" s="80" t="b">
        <v>0</v>
      </c>
    </row>
    <row r="365" spans="1:7" ht="15">
      <c r="A365" s="81" t="s">
        <v>272</v>
      </c>
      <c r="B365" s="80">
        <v>3</v>
      </c>
      <c r="C365" s="107">
        <v>0.009576199152439978</v>
      </c>
      <c r="D365" s="80" t="s">
        <v>1457</v>
      </c>
      <c r="E365" s="80" t="b">
        <v>0</v>
      </c>
      <c r="F365" s="80" t="b">
        <v>0</v>
      </c>
      <c r="G365" s="80" t="b">
        <v>0</v>
      </c>
    </row>
    <row r="366" spans="1:7" ht="15">
      <c r="A366" s="81" t="s">
        <v>273</v>
      </c>
      <c r="B366" s="80">
        <v>3</v>
      </c>
      <c r="C366" s="107">
        <v>0.009576199152439978</v>
      </c>
      <c r="D366" s="80" t="s">
        <v>1457</v>
      </c>
      <c r="E366" s="80" t="b">
        <v>0</v>
      </c>
      <c r="F366" s="80" t="b">
        <v>0</v>
      </c>
      <c r="G366" s="80" t="b">
        <v>0</v>
      </c>
    </row>
    <row r="367" spans="1:7" ht="15">
      <c r="A367" s="81" t="s">
        <v>3099</v>
      </c>
      <c r="B367" s="80">
        <v>3</v>
      </c>
      <c r="C367" s="107">
        <v>0.01181464736077491</v>
      </c>
      <c r="D367" s="80" t="s">
        <v>1457</v>
      </c>
      <c r="E367" s="80" t="b">
        <v>0</v>
      </c>
      <c r="F367" s="80" t="b">
        <v>0</v>
      </c>
      <c r="G367" s="80" t="b">
        <v>0</v>
      </c>
    </row>
    <row r="368" spans="1:7" ht="15">
      <c r="A368" s="81" t="s">
        <v>3090</v>
      </c>
      <c r="B368" s="80">
        <v>2</v>
      </c>
      <c r="C368" s="107">
        <v>0.01042753323201927</v>
      </c>
      <c r="D368" s="80" t="s">
        <v>1457</v>
      </c>
      <c r="E368" s="80" t="b">
        <v>0</v>
      </c>
      <c r="F368" s="80" t="b">
        <v>0</v>
      </c>
      <c r="G368" s="80" t="b">
        <v>0</v>
      </c>
    </row>
    <row r="369" spans="1:7" ht="15">
      <c r="A369" s="81" t="s">
        <v>3074</v>
      </c>
      <c r="B369" s="80">
        <v>2</v>
      </c>
      <c r="C369" s="107">
        <v>0.007876431573849938</v>
      </c>
      <c r="D369" s="80" t="s">
        <v>1457</v>
      </c>
      <c r="E369" s="80" t="b">
        <v>0</v>
      </c>
      <c r="F369" s="80" t="b">
        <v>0</v>
      </c>
      <c r="G369" s="80" t="b">
        <v>0</v>
      </c>
    </row>
    <row r="370" spans="1:7" ht="15">
      <c r="A370" s="81" t="s">
        <v>452</v>
      </c>
      <c r="B370" s="80">
        <v>2</v>
      </c>
      <c r="C370" s="107">
        <v>0.01042753323201927</v>
      </c>
      <c r="D370" s="80" t="s">
        <v>1457</v>
      </c>
      <c r="E370" s="80" t="b">
        <v>0</v>
      </c>
      <c r="F370" s="80" t="b">
        <v>0</v>
      </c>
      <c r="G370" s="80" t="b">
        <v>0</v>
      </c>
    </row>
    <row r="371" spans="1:7" ht="15">
      <c r="A371" s="81" t="s">
        <v>235</v>
      </c>
      <c r="B371" s="80">
        <v>2</v>
      </c>
      <c r="C371" s="107">
        <v>0.007876431573849938</v>
      </c>
      <c r="D371" s="80" t="s">
        <v>1457</v>
      </c>
      <c r="E371" s="80" t="b">
        <v>0</v>
      </c>
      <c r="F371" s="80" t="b">
        <v>0</v>
      </c>
      <c r="G371" s="80" t="b">
        <v>0</v>
      </c>
    </row>
    <row r="372" spans="1:7" ht="15">
      <c r="A372" s="81" t="s">
        <v>265</v>
      </c>
      <c r="B372" s="80">
        <v>2</v>
      </c>
      <c r="C372" s="107">
        <v>0.007876431573849938</v>
      </c>
      <c r="D372" s="80" t="s">
        <v>1457</v>
      </c>
      <c r="E372" s="80" t="b">
        <v>0</v>
      </c>
      <c r="F372" s="80" t="b">
        <v>0</v>
      </c>
      <c r="G372" s="80" t="b">
        <v>0</v>
      </c>
    </row>
    <row r="373" spans="1:7" ht="15">
      <c r="A373" s="81" t="s">
        <v>278</v>
      </c>
      <c r="B373" s="80">
        <v>2</v>
      </c>
      <c r="C373" s="107">
        <v>0.007876431573849938</v>
      </c>
      <c r="D373" s="80" t="s">
        <v>1457</v>
      </c>
      <c r="E373" s="80" t="b">
        <v>0</v>
      </c>
      <c r="F373" s="80" t="b">
        <v>0</v>
      </c>
      <c r="G373" s="80" t="b">
        <v>0</v>
      </c>
    </row>
    <row r="374" spans="1:7" ht="15">
      <c r="A374" s="81" t="s">
        <v>3143</v>
      </c>
      <c r="B374" s="80">
        <v>2</v>
      </c>
      <c r="C374" s="107">
        <v>0.01042753323201927</v>
      </c>
      <c r="D374" s="80" t="s">
        <v>1457</v>
      </c>
      <c r="E374" s="80" t="b">
        <v>0</v>
      </c>
      <c r="F374" s="80" t="b">
        <v>0</v>
      </c>
      <c r="G374" s="80" t="b">
        <v>0</v>
      </c>
    </row>
    <row r="375" spans="1:7" ht="15">
      <c r="A375" s="81" t="s">
        <v>271</v>
      </c>
      <c r="B375" s="80">
        <v>2</v>
      </c>
      <c r="C375" s="107">
        <v>0.007876431573849938</v>
      </c>
      <c r="D375" s="80" t="s">
        <v>1457</v>
      </c>
      <c r="E375" s="80" t="b">
        <v>0</v>
      </c>
      <c r="F375" s="80" t="b">
        <v>0</v>
      </c>
      <c r="G375" s="80" t="b">
        <v>0</v>
      </c>
    </row>
    <row r="376" spans="1:7" ht="15">
      <c r="A376" s="81" t="s">
        <v>422</v>
      </c>
      <c r="B376" s="80">
        <v>2</v>
      </c>
      <c r="C376" s="107">
        <v>0.007876431573849938</v>
      </c>
      <c r="D376" s="80" t="s">
        <v>1457</v>
      </c>
      <c r="E376" s="80" t="b">
        <v>0</v>
      </c>
      <c r="F376" s="80" t="b">
        <v>0</v>
      </c>
      <c r="G376" s="80" t="b">
        <v>0</v>
      </c>
    </row>
    <row r="377" spans="1:7" ht="15">
      <c r="A377" s="81" t="s">
        <v>3161</v>
      </c>
      <c r="B377" s="80">
        <v>2</v>
      </c>
      <c r="C377" s="107">
        <v>0.007876431573849938</v>
      </c>
      <c r="D377" s="80" t="s">
        <v>1457</v>
      </c>
      <c r="E377" s="80" t="b">
        <v>0</v>
      </c>
      <c r="F377" s="80" t="b">
        <v>0</v>
      </c>
      <c r="G377" s="80" t="b">
        <v>0</v>
      </c>
    </row>
    <row r="378" spans="1:7" ht="15">
      <c r="A378" s="81" t="s">
        <v>421</v>
      </c>
      <c r="B378" s="80">
        <v>2</v>
      </c>
      <c r="C378" s="107">
        <v>0.007876431573849938</v>
      </c>
      <c r="D378" s="80" t="s">
        <v>1457</v>
      </c>
      <c r="E378" s="80" t="b">
        <v>0</v>
      </c>
      <c r="F378" s="80" t="b">
        <v>0</v>
      </c>
      <c r="G378" s="80" t="b">
        <v>0</v>
      </c>
    </row>
    <row r="379" spans="1:7" ht="15">
      <c r="A379" s="81" t="s">
        <v>420</v>
      </c>
      <c r="B379" s="80">
        <v>2</v>
      </c>
      <c r="C379" s="107">
        <v>0.007876431573849938</v>
      </c>
      <c r="D379" s="80" t="s">
        <v>1457</v>
      </c>
      <c r="E379" s="80" t="b">
        <v>0</v>
      </c>
      <c r="F379" s="80" t="b">
        <v>0</v>
      </c>
      <c r="G379" s="80" t="b">
        <v>0</v>
      </c>
    </row>
    <row r="380" spans="1:7" ht="15">
      <c r="A380" s="81" t="s">
        <v>270</v>
      </c>
      <c r="B380" s="80">
        <v>2</v>
      </c>
      <c r="C380" s="107">
        <v>0.007876431573849938</v>
      </c>
      <c r="D380" s="80" t="s">
        <v>1457</v>
      </c>
      <c r="E380" s="80" t="b">
        <v>0</v>
      </c>
      <c r="F380" s="80" t="b">
        <v>0</v>
      </c>
      <c r="G380" s="80" t="b">
        <v>0</v>
      </c>
    </row>
    <row r="381" spans="1:7" ht="15">
      <c r="A381" s="81" t="s">
        <v>269</v>
      </c>
      <c r="B381" s="80">
        <v>2</v>
      </c>
      <c r="C381" s="107">
        <v>0.007876431573849938</v>
      </c>
      <c r="D381" s="80" t="s">
        <v>1457</v>
      </c>
      <c r="E381" s="80" t="b">
        <v>0</v>
      </c>
      <c r="F381" s="80" t="b">
        <v>0</v>
      </c>
      <c r="G381" s="80" t="b">
        <v>0</v>
      </c>
    </row>
    <row r="382" spans="1:7" ht="15">
      <c r="A382" s="81" t="s">
        <v>228</v>
      </c>
      <c r="B382" s="80">
        <v>6</v>
      </c>
      <c r="C382" s="107">
        <v>0</v>
      </c>
      <c r="D382" s="80" t="s">
        <v>3014</v>
      </c>
      <c r="E382" s="80" t="b">
        <v>0</v>
      </c>
      <c r="F382" s="80" t="b">
        <v>0</v>
      </c>
      <c r="G382" s="80" t="b">
        <v>0</v>
      </c>
    </row>
    <row r="383" spans="1:7" ht="15">
      <c r="A383" s="81" t="s">
        <v>3059</v>
      </c>
      <c r="B383" s="80">
        <v>5</v>
      </c>
      <c r="C383" s="107">
        <v>0.023161225957265167</v>
      </c>
      <c r="D383" s="80" t="s">
        <v>3014</v>
      </c>
      <c r="E383" s="80" t="b">
        <v>0</v>
      </c>
      <c r="F383" s="80" t="b">
        <v>0</v>
      </c>
      <c r="G383" s="80" t="b">
        <v>0</v>
      </c>
    </row>
    <row r="384" spans="1:7" ht="15">
      <c r="A384" s="81" t="s">
        <v>3052</v>
      </c>
      <c r="B384" s="80">
        <v>4</v>
      </c>
      <c r="C384" s="107">
        <v>0.006838495497308009</v>
      </c>
      <c r="D384" s="80" t="s">
        <v>3014</v>
      </c>
      <c r="E384" s="80" t="b">
        <v>1</v>
      </c>
      <c r="F384" s="80" t="b">
        <v>0</v>
      </c>
      <c r="G384" s="80" t="b">
        <v>0</v>
      </c>
    </row>
    <row r="385" spans="1:7" ht="15">
      <c r="A385" s="81" t="s">
        <v>3053</v>
      </c>
      <c r="B385" s="80">
        <v>4</v>
      </c>
      <c r="C385" s="107">
        <v>0.006838495497308009</v>
      </c>
      <c r="D385" s="80" t="s">
        <v>3014</v>
      </c>
      <c r="E385" s="80" t="b">
        <v>0</v>
      </c>
      <c r="F385" s="80" t="b">
        <v>0</v>
      </c>
      <c r="G385" s="80" t="b">
        <v>0</v>
      </c>
    </row>
    <row r="386" spans="1:7" ht="15">
      <c r="A386" s="81" t="s">
        <v>3095</v>
      </c>
      <c r="B386" s="80">
        <v>3</v>
      </c>
      <c r="C386" s="107">
        <v>0.022664599525737194</v>
      </c>
      <c r="D386" s="80" t="s">
        <v>3014</v>
      </c>
      <c r="E386" s="80" t="b">
        <v>0</v>
      </c>
      <c r="F386" s="80" t="b">
        <v>0</v>
      </c>
      <c r="G386" s="80" t="b">
        <v>0</v>
      </c>
    </row>
    <row r="387" spans="1:7" ht="15">
      <c r="A387" s="81" t="s">
        <v>467</v>
      </c>
      <c r="B387" s="80">
        <v>2</v>
      </c>
      <c r="C387" s="107">
        <v>0.009264490382906066</v>
      </c>
      <c r="D387" s="80" t="s">
        <v>3014</v>
      </c>
      <c r="E387" s="80" t="b">
        <v>0</v>
      </c>
      <c r="F387" s="80" t="b">
        <v>0</v>
      </c>
      <c r="G387" s="80" t="b">
        <v>0</v>
      </c>
    </row>
    <row r="388" spans="1:7" ht="15">
      <c r="A388" s="81" t="s">
        <v>3062</v>
      </c>
      <c r="B388" s="80">
        <v>2</v>
      </c>
      <c r="C388" s="107">
        <v>0.015109733017158128</v>
      </c>
      <c r="D388" s="80" t="s">
        <v>3014</v>
      </c>
      <c r="E388" s="80" t="b">
        <v>0</v>
      </c>
      <c r="F388" s="80" t="b">
        <v>0</v>
      </c>
      <c r="G388" s="80" t="b">
        <v>0</v>
      </c>
    </row>
    <row r="389" spans="1:7" ht="15">
      <c r="A389" s="81" t="s">
        <v>468</v>
      </c>
      <c r="B389" s="80">
        <v>2</v>
      </c>
      <c r="C389" s="107">
        <v>0.009264490382906066</v>
      </c>
      <c r="D389" s="80" t="s">
        <v>3014</v>
      </c>
      <c r="E389" s="80" t="b">
        <v>0</v>
      </c>
      <c r="F389" s="80" t="b">
        <v>0</v>
      </c>
      <c r="G389" s="80" t="b">
        <v>0</v>
      </c>
    </row>
    <row r="390" spans="1:7" ht="15">
      <c r="A390" s="81" t="s">
        <v>466</v>
      </c>
      <c r="B390" s="80">
        <v>2</v>
      </c>
      <c r="C390" s="107">
        <v>0.009264490382906066</v>
      </c>
      <c r="D390" s="80" t="s">
        <v>3014</v>
      </c>
      <c r="E390" s="80" t="b">
        <v>0</v>
      </c>
      <c r="F390" s="80" t="b">
        <v>0</v>
      </c>
      <c r="G390" s="80" t="b">
        <v>0</v>
      </c>
    </row>
    <row r="391" spans="1:7" ht="15">
      <c r="A391" s="81" t="s">
        <v>469</v>
      </c>
      <c r="B391" s="80">
        <v>2</v>
      </c>
      <c r="C391" s="107">
        <v>0.009264490382906066</v>
      </c>
      <c r="D391" s="80" t="s">
        <v>3014</v>
      </c>
      <c r="E391" s="80" t="b">
        <v>0</v>
      </c>
      <c r="F391" s="80" t="b">
        <v>0</v>
      </c>
      <c r="G391" s="80" t="b">
        <v>0</v>
      </c>
    </row>
    <row r="392" spans="1:7" ht="15">
      <c r="A392" s="81" t="s">
        <v>3183</v>
      </c>
      <c r="B392" s="80">
        <v>2</v>
      </c>
      <c r="C392" s="107">
        <v>0.009264490382906066</v>
      </c>
      <c r="D392" s="80" t="s">
        <v>3014</v>
      </c>
      <c r="E392" s="80" t="b">
        <v>0</v>
      </c>
      <c r="F392" s="80" t="b">
        <v>0</v>
      </c>
      <c r="G392" s="80" t="b">
        <v>0</v>
      </c>
    </row>
    <row r="393" spans="1:7" ht="15">
      <c r="A393" s="81" t="s">
        <v>464</v>
      </c>
      <c r="B393" s="80">
        <v>2</v>
      </c>
      <c r="C393" s="107">
        <v>0.009264490382906066</v>
      </c>
      <c r="D393" s="80" t="s">
        <v>3014</v>
      </c>
      <c r="E393" s="80" t="b">
        <v>0</v>
      </c>
      <c r="F393" s="80" t="b">
        <v>0</v>
      </c>
      <c r="G393" s="80" t="b">
        <v>0</v>
      </c>
    </row>
    <row r="394" spans="1:7" ht="15">
      <c r="A394" s="81" t="s">
        <v>470</v>
      </c>
      <c r="B394" s="80">
        <v>2</v>
      </c>
      <c r="C394" s="107">
        <v>0.009264490382906066</v>
      </c>
      <c r="D394" s="80" t="s">
        <v>3014</v>
      </c>
      <c r="E394" s="80" t="b">
        <v>0</v>
      </c>
      <c r="F394" s="80" t="b">
        <v>0</v>
      </c>
      <c r="G394" s="80" t="b">
        <v>0</v>
      </c>
    </row>
    <row r="395" spans="1:7" ht="15">
      <c r="A395" s="81" t="s">
        <v>465</v>
      </c>
      <c r="B395" s="80">
        <v>2</v>
      </c>
      <c r="C395" s="107">
        <v>0.009264490382906066</v>
      </c>
      <c r="D395" s="80" t="s">
        <v>3014</v>
      </c>
      <c r="E395" s="80" t="b">
        <v>0</v>
      </c>
      <c r="F395" s="80" t="b">
        <v>0</v>
      </c>
      <c r="G395" s="80" t="b">
        <v>0</v>
      </c>
    </row>
    <row r="396" spans="1:7" ht="15">
      <c r="A396" s="81" t="s">
        <v>235</v>
      </c>
      <c r="B396" s="80">
        <v>2</v>
      </c>
      <c r="C396" s="107">
        <v>0.009264490382906066</v>
      </c>
      <c r="D396" s="80" t="s">
        <v>3014</v>
      </c>
      <c r="E396" s="80" t="b">
        <v>0</v>
      </c>
      <c r="F396" s="80" t="b">
        <v>0</v>
      </c>
      <c r="G396" s="80" t="b">
        <v>0</v>
      </c>
    </row>
    <row r="397" spans="1:7" ht="15">
      <c r="A397" s="81" t="s">
        <v>259</v>
      </c>
      <c r="B397" s="80">
        <v>2</v>
      </c>
      <c r="C397" s="107">
        <v>0.009264490382906066</v>
      </c>
      <c r="D397" s="80" t="s">
        <v>3014</v>
      </c>
      <c r="E397" s="80" t="b">
        <v>0</v>
      </c>
      <c r="F397" s="80" t="b">
        <v>0</v>
      </c>
      <c r="G397" s="80" t="b">
        <v>0</v>
      </c>
    </row>
    <row r="398" spans="1:7" ht="15">
      <c r="A398" s="81" t="s">
        <v>463</v>
      </c>
      <c r="B398" s="80">
        <v>2</v>
      </c>
      <c r="C398" s="107">
        <v>0.009264490382906066</v>
      </c>
      <c r="D398" s="80" t="s">
        <v>3014</v>
      </c>
      <c r="E398" s="80" t="b">
        <v>0</v>
      </c>
      <c r="F398" s="80" t="b">
        <v>0</v>
      </c>
      <c r="G398" s="80" t="b">
        <v>0</v>
      </c>
    </row>
    <row r="399" spans="1:7" ht="15">
      <c r="A399" s="81" t="s">
        <v>3054</v>
      </c>
      <c r="B399" s="80">
        <v>10</v>
      </c>
      <c r="C399" s="107">
        <v>0.045871559633027525</v>
      </c>
      <c r="D399" s="80" t="s">
        <v>3015</v>
      </c>
      <c r="E399" s="80" t="b">
        <v>0</v>
      </c>
      <c r="F399" s="80" t="b">
        <v>0</v>
      </c>
      <c r="G399" s="80" t="b">
        <v>0</v>
      </c>
    </row>
    <row r="400" spans="1:7" ht="15">
      <c r="A400" s="81" t="s">
        <v>3056</v>
      </c>
      <c r="B400" s="80">
        <v>9</v>
      </c>
      <c r="C400" s="107">
        <v>0.04128440366972477</v>
      </c>
      <c r="D400" s="80" t="s">
        <v>3015</v>
      </c>
      <c r="E400" s="80" t="b">
        <v>0</v>
      </c>
      <c r="F400" s="80" t="b">
        <v>0</v>
      </c>
      <c r="G400" s="80" t="b">
        <v>0</v>
      </c>
    </row>
    <row r="401" spans="1:7" ht="15">
      <c r="A401" s="81" t="s">
        <v>300</v>
      </c>
      <c r="B401" s="80">
        <v>8</v>
      </c>
      <c r="C401" s="107">
        <v>0.00568447559580709</v>
      </c>
      <c r="D401" s="80" t="s">
        <v>3015</v>
      </c>
      <c r="E401" s="80" t="b">
        <v>0</v>
      </c>
      <c r="F401" s="80" t="b">
        <v>0</v>
      </c>
      <c r="G401" s="80" t="b">
        <v>0</v>
      </c>
    </row>
    <row r="402" spans="1:7" ht="15">
      <c r="A402" s="81" t="s">
        <v>228</v>
      </c>
      <c r="B402" s="80">
        <v>7</v>
      </c>
      <c r="C402" s="107">
        <v>0.007123583703277499</v>
      </c>
      <c r="D402" s="80" t="s">
        <v>3015</v>
      </c>
      <c r="E402" s="80" t="b">
        <v>0</v>
      </c>
      <c r="F402" s="80" t="b">
        <v>0</v>
      </c>
      <c r="G402" s="80" t="b">
        <v>0</v>
      </c>
    </row>
    <row r="403" spans="1:7" ht="15">
      <c r="A403" s="81" t="s">
        <v>302</v>
      </c>
      <c r="B403" s="80">
        <v>6</v>
      </c>
      <c r="C403" s="107">
        <v>0.006105928888523571</v>
      </c>
      <c r="D403" s="80" t="s">
        <v>3015</v>
      </c>
      <c r="E403" s="80" t="b">
        <v>0</v>
      </c>
      <c r="F403" s="80" t="b">
        <v>0</v>
      </c>
      <c r="G403" s="80" t="b">
        <v>0</v>
      </c>
    </row>
    <row r="404" spans="1:7" ht="15">
      <c r="A404" s="81" t="s">
        <v>290</v>
      </c>
      <c r="B404" s="80">
        <v>6</v>
      </c>
      <c r="C404" s="107">
        <v>0.0082852292384582</v>
      </c>
      <c r="D404" s="80" t="s">
        <v>3015</v>
      </c>
      <c r="E404" s="80" t="b">
        <v>0</v>
      </c>
      <c r="F404" s="80" t="b">
        <v>0</v>
      </c>
      <c r="G404" s="80" t="b">
        <v>0</v>
      </c>
    </row>
    <row r="405" spans="1:7" ht="15">
      <c r="A405" s="81" t="s">
        <v>255</v>
      </c>
      <c r="B405" s="80">
        <v>6</v>
      </c>
      <c r="C405" s="107">
        <v>0.006105928888523571</v>
      </c>
      <c r="D405" s="80" t="s">
        <v>3015</v>
      </c>
      <c r="E405" s="80" t="b">
        <v>0</v>
      </c>
      <c r="F405" s="80" t="b">
        <v>0</v>
      </c>
      <c r="G405" s="80" t="b">
        <v>0</v>
      </c>
    </row>
    <row r="406" spans="1:7" ht="15">
      <c r="A406" s="81" t="s">
        <v>301</v>
      </c>
      <c r="B406" s="80">
        <v>6</v>
      </c>
      <c r="C406" s="107">
        <v>0.006105928888523571</v>
      </c>
      <c r="D406" s="80" t="s">
        <v>3015</v>
      </c>
      <c r="E406" s="80" t="b">
        <v>0</v>
      </c>
      <c r="F406" s="80" t="b">
        <v>0</v>
      </c>
      <c r="G406" s="80" t="b">
        <v>0</v>
      </c>
    </row>
    <row r="407" spans="1:7" ht="15">
      <c r="A407" s="81" t="s">
        <v>3067</v>
      </c>
      <c r="B407" s="80">
        <v>5</v>
      </c>
      <c r="C407" s="107">
        <v>0.0069043576987151654</v>
      </c>
      <c r="D407" s="80" t="s">
        <v>3015</v>
      </c>
      <c r="E407" s="80" t="b">
        <v>0</v>
      </c>
      <c r="F407" s="80" t="b">
        <v>0</v>
      </c>
      <c r="G407" s="80" t="b">
        <v>0</v>
      </c>
    </row>
    <row r="408" spans="1:7" ht="15">
      <c r="A408" s="81" t="s">
        <v>298</v>
      </c>
      <c r="B408" s="80">
        <v>5</v>
      </c>
      <c r="C408" s="107">
        <v>0.0069043576987151654</v>
      </c>
      <c r="D408" s="80" t="s">
        <v>3015</v>
      </c>
      <c r="E408" s="80" t="b">
        <v>0</v>
      </c>
      <c r="F408" s="80" t="b">
        <v>0</v>
      </c>
      <c r="G408" s="80" t="b">
        <v>0</v>
      </c>
    </row>
    <row r="409" spans="1:7" ht="15">
      <c r="A409" s="81" t="s">
        <v>289</v>
      </c>
      <c r="B409" s="80">
        <v>5</v>
      </c>
      <c r="C409" s="107">
        <v>0.0069043576987151654</v>
      </c>
      <c r="D409" s="80" t="s">
        <v>3015</v>
      </c>
      <c r="E409" s="80" t="b">
        <v>0</v>
      </c>
      <c r="F409" s="80" t="b">
        <v>0</v>
      </c>
      <c r="G409" s="80" t="b">
        <v>0</v>
      </c>
    </row>
    <row r="410" spans="1:7" ht="15">
      <c r="A410" s="81" t="s">
        <v>288</v>
      </c>
      <c r="B410" s="80">
        <v>5</v>
      </c>
      <c r="C410" s="107">
        <v>0.0069043576987151654</v>
      </c>
      <c r="D410" s="80" t="s">
        <v>3015</v>
      </c>
      <c r="E410" s="80" t="b">
        <v>0</v>
      </c>
      <c r="F410" s="80" t="b">
        <v>0</v>
      </c>
      <c r="G410" s="80" t="b">
        <v>0</v>
      </c>
    </row>
    <row r="411" spans="1:7" ht="15">
      <c r="A411" s="81" t="s">
        <v>287</v>
      </c>
      <c r="B411" s="80">
        <v>5</v>
      </c>
      <c r="C411" s="107">
        <v>0.0069043576987151654</v>
      </c>
      <c r="D411" s="80" t="s">
        <v>3015</v>
      </c>
      <c r="E411" s="80" t="b">
        <v>0</v>
      </c>
      <c r="F411" s="80" t="b">
        <v>0</v>
      </c>
      <c r="G411" s="80" t="b">
        <v>0</v>
      </c>
    </row>
    <row r="412" spans="1:7" ht="15">
      <c r="A412" s="81" t="s">
        <v>293</v>
      </c>
      <c r="B412" s="80">
        <v>5</v>
      </c>
      <c r="C412" s="107">
        <v>0.0069043576987151654</v>
      </c>
      <c r="D412" s="80" t="s">
        <v>3015</v>
      </c>
      <c r="E412" s="80" t="b">
        <v>0</v>
      </c>
      <c r="F412" s="80" t="b">
        <v>0</v>
      </c>
      <c r="G412" s="80" t="b">
        <v>0</v>
      </c>
    </row>
    <row r="413" spans="1:7" ht="15">
      <c r="A413" s="81" t="s">
        <v>294</v>
      </c>
      <c r="B413" s="80">
        <v>5</v>
      </c>
      <c r="C413" s="107">
        <v>0.0069043576987151654</v>
      </c>
      <c r="D413" s="80" t="s">
        <v>3015</v>
      </c>
      <c r="E413" s="80" t="b">
        <v>0</v>
      </c>
      <c r="F413" s="80" t="b">
        <v>0</v>
      </c>
      <c r="G413" s="80" t="b">
        <v>0</v>
      </c>
    </row>
    <row r="414" spans="1:7" ht="15">
      <c r="A414" s="81" t="s">
        <v>291</v>
      </c>
      <c r="B414" s="80">
        <v>5</v>
      </c>
      <c r="C414" s="107">
        <v>0.0069043576987151654</v>
      </c>
      <c r="D414" s="80" t="s">
        <v>3015</v>
      </c>
      <c r="E414" s="80" t="b">
        <v>0</v>
      </c>
      <c r="F414" s="80" t="b">
        <v>0</v>
      </c>
      <c r="G414" s="80" t="b">
        <v>0</v>
      </c>
    </row>
    <row r="415" spans="1:7" ht="15">
      <c r="A415" s="81" t="s">
        <v>296</v>
      </c>
      <c r="B415" s="80">
        <v>5</v>
      </c>
      <c r="C415" s="107">
        <v>0.0069043576987151654</v>
      </c>
      <c r="D415" s="80" t="s">
        <v>3015</v>
      </c>
      <c r="E415" s="80" t="b">
        <v>0</v>
      </c>
      <c r="F415" s="80" t="b">
        <v>0</v>
      </c>
      <c r="G415" s="80" t="b">
        <v>0</v>
      </c>
    </row>
    <row r="416" spans="1:7" ht="15">
      <c r="A416" s="81" t="s">
        <v>286</v>
      </c>
      <c r="B416" s="80">
        <v>5</v>
      </c>
      <c r="C416" s="107">
        <v>0.0069043576987151654</v>
      </c>
      <c r="D416" s="80" t="s">
        <v>3015</v>
      </c>
      <c r="E416" s="80" t="b">
        <v>0</v>
      </c>
      <c r="F416" s="80" t="b">
        <v>0</v>
      </c>
      <c r="G416" s="80" t="b">
        <v>0</v>
      </c>
    </row>
    <row r="417" spans="1:7" ht="15">
      <c r="A417" s="81" t="s">
        <v>297</v>
      </c>
      <c r="B417" s="80">
        <v>5</v>
      </c>
      <c r="C417" s="107">
        <v>0.0069043576987151654</v>
      </c>
      <c r="D417" s="80" t="s">
        <v>3015</v>
      </c>
      <c r="E417" s="80" t="b">
        <v>0</v>
      </c>
      <c r="F417" s="80" t="b">
        <v>0</v>
      </c>
      <c r="G417" s="80" t="b">
        <v>0</v>
      </c>
    </row>
    <row r="418" spans="1:7" ht="15">
      <c r="A418" s="81" t="s">
        <v>299</v>
      </c>
      <c r="B418" s="80">
        <v>5</v>
      </c>
      <c r="C418" s="107">
        <v>0.0069043576987151654</v>
      </c>
      <c r="D418" s="80" t="s">
        <v>3015</v>
      </c>
      <c r="E418" s="80" t="b">
        <v>0</v>
      </c>
      <c r="F418" s="80" t="b">
        <v>0</v>
      </c>
      <c r="G418" s="80" t="b">
        <v>0</v>
      </c>
    </row>
    <row r="419" spans="1:7" ht="15">
      <c r="A419" s="81" t="s">
        <v>295</v>
      </c>
      <c r="B419" s="80">
        <v>5</v>
      </c>
      <c r="C419" s="107">
        <v>0.0069043576987151654</v>
      </c>
      <c r="D419" s="80" t="s">
        <v>3015</v>
      </c>
      <c r="E419" s="80" t="b">
        <v>0</v>
      </c>
      <c r="F419" s="80" t="b">
        <v>0</v>
      </c>
      <c r="G419" s="80" t="b">
        <v>0</v>
      </c>
    </row>
    <row r="420" spans="1:7" ht="15">
      <c r="A420" s="81" t="s">
        <v>292</v>
      </c>
      <c r="B420" s="80">
        <v>5</v>
      </c>
      <c r="C420" s="107">
        <v>0.0069043576987151654</v>
      </c>
      <c r="D420" s="80" t="s">
        <v>3015</v>
      </c>
      <c r="E420" s="80" t="b">
        <v>0</v>
      </c>
      <c r="F420" s="80" t="b">
        <v>0</v>
      </c>
      <c r="G420" s="80" t="b">
        <v>0</v>
      </c>
    </row>
    <row r="421" spans="1:7" ht="15">
      <c r="A421" s="81" t="s">
        <v>3066</v>
      </c>
      <c r="B421" s="80">
        <v>4</v>
      </c>
      <c r="C421" s="107">
        <v>0.012825137694238879</v>
      </c>
      <c r="D421" s="80" t="s">
        <v>3015</v>
      </c>
      <c r="E421" s="80" t="b">
        <v>0</v>
      </c>
      <c r="F421" s="80" t="b">
        <v>0</v>
      </c>
      <c r="G421" s="80" t="b">
        <v>0</v>
      </c>
    </row>
    <row r="422" spans="1:7" ht="15">
      <c r="A422" s="81" t="s">
        <v>285</v>
      </c>
      <c r="B422" s="80">
        <v>3</v>
      </c>
      <c r="C422" s="107">
        <v>0.007195579063490885</v>
      </c>
      <c r="D422" s="80" t="s">
        <v>3015</v>
      </c>
      <c r="E422" s="80" t="b">
        <v>0</v>
      </c>
      <c r="F422" s="80" t="b">
        <v>0</v>
      </c>
      <c r="G422" s="80" t="b">
        <v>0</v>
      </c>
    </row>
    <row r="423" spans="1:7" ht="15">
      <c r="A423" s="81" t="s">
        <v>3107</v>
      </c>
      <c r="B423" s="80">
        <v>2</v>
      </c>
      <c r="C423" s="107">
        <v>0.006412568847119439</v>
      </c>
      <c r="D423" s="80" t="s">
        <v>3015</v>
      </c>
      <c r="E423" s="80" t="b">
        <v>0</v>
      </c>
      <c r="F423" s="80" t="b">
        <v>0</v>
      </c>
      <c r="G423" s="80" t="b">
        <v>0</v>
      </c>
    </row>
    <row r="424" spans="1:7" ht="15">
      <c r="A424" s="81" t="s">
        <v>281</v>
      </c>
      <c r="B424" s="80">
        <v>2</v>
      </c>
      <c r="C424" s="107">
        <v>0.006412568847119439</v>
      </c>
      <c r="D424" s="80" t="s">
        <v>3015</v>
      </c>
      <c r="E424" s="80" t="b">
        <v>0</v>
      </c>
      <c r="F424" s="80" t="b">
        <v>0</v>
      </c>
      <c r="G424" s="80" t="b">
        <v>0</v>
      </c>
    </row>
    <row r="425" spans="1:7" ht="15">
      <c r="A425" s="81" t="s">
        <v>284</v>
      </c>
      <c r="B425" s="80">
        <v>2</v>
      </c>
      <c r="C425" s="107">
        <v>0.006412568847119439</v>
      </c>
      <c r="D425" s="80" t="s">
        <v>3015</v>
      </c>
      <c r="E425" s="80" t="b">
        <v>0</v>
      </c>
      <c r="F425" s="80" t="b">
        <v>0</v>
      </c>
      <c r="G425" s="80" t="b">
        <v>0</v>
      </c>
    </row>
    <row r="426" spans="1:7" ht="15">
      <c r="A426" s="81" t="s">
        <v>283</v>
      </c>
      <c r="B426" s="80">
        <v>2</v>
      </c>
      <c r="C426" s="107">
        <v>0.006412568847119439</v>
      </c>
      <c r="D426" s="80" t="s">
        <v>3015</v>
      </c>
      <c r="E426" s="80" t="b">
        <v>0</v>
      </c>
      <c r="F426" s="80" t="b">
        <v>0</v>
      </c>
      <c r="G426" s="80" t="b">
        <v>0</v>
      </c>
    </row>
    <row r="427" spans="1:7" ht="15">
      <c r="A427" s="81" t="s">
        <v>282</v>
      </c>
      <c r="B427" s="80">
        <v>2</v>
      </c>
      <c r="C427" s="107">
        <v>0.006412568847119439</v>
      </c>
      <c r="D427" s="80" t="s">
        <v>3015</v>
      </c>
      <c r="E427" s="80" t="b">
        <v>0</v>
      </c>
      <c r="F427" s="80" t="b">
        <v>0</v>
      </c>
      <c r="G427" s="80" t="b">
        <v>0</v>
      </c>
    </row>
    <row r="428" spans="1:7" ht="15">
      <c r="A428" s="81" t="s">
        <v>3139</v>
      </c>
      <c r="B428" s="80">
        <v>2</v>
      </c>
      <c r="C428" s="107">
        <v>0.006412568847119439</v>
      </c>
      <c r="D428" s="80" t="s">
        <v>3015</v>
      </c>
      <c r="E428" s="80" t="b">
        <v>0</v>
      </c>
      <c r="F428" s="80" t="b">
        <v>0</v>
      </c>
      <c r="G428" s="80" t="b">
        <v>0</v>
      </c>
    </row>
    <row r="429" spans="1:7" ht="15">
      <c r="A429" s="81" t="s">
        <v>3078</v>
      </c>
      <c r="B429" s="80">
        <v>4</v>
      </c>
      <c r="C429" s="107">
        <v>0.03348219331366052</v>
      </c>
      <c r="D429" s="80" t="s">
        <v>3016</v>
      </c>
      <c r="E429" s="80" t="b">
        <v>0</v>
      </c>
      <c r="F429" s="80" t="b">
        <v>0</v>
      </c>
      <c r="G429" s="80" t="b">
        <v>0</v>
      </c>
    </row>
    <row r="430" spans="1:7" ht="15">
      <c r="A430" s="81" t="s">
        <v>3079</v>
      </c>
      <c r="B430" s="80">
        <v>4</v>
      </c>
      <c r="C430" s="107">
        <v>0.03348219331366052</v>
      </c>
      <c r="D430" s="80" t="s">
        <v>3016</v>
      </c>
      <c r="E430" s="80" t="b">
        <v>0</v>
      </c>
      <c r="F430" s="80" t="b">
        <v>0</v>
      </c>
      <c r="G430" s="80" t="b">
        <v>0</v>
      </c>
    </row>
    <row r="431" spans="1:7" ht="15">
      <c r="A431" s="81" t="s">
        <v>3120</v>
      </c>
      <c r="B431" s="80">
        <v>2</v>
      </c>
      <c r="C431" s="107">
        <v>0.01674109665683026</v>
      </c>
      <c r="D431" s="80" t="s">
        <v>3016</v>
      </c>
      <c r="E431" s="80" t="b">
        <v>0</v>
      </c>
      <c r="F431" s="80" t="b">
        <v>0</v>
      </c>
      <c r="G431" s="80" t="b">
        <v>0</v>
      </c>
    </row>
    <row r="432" spans="1:7" ht="15">
      <c r="A432" s="81" t="s">
        <v>3052</v>
      </c>
      <c r="B432" s="80">
        <v>2</v>
      </c>
      <c r="C432" s="107">
        <v>0.006178640668620394</v>
      </c>
      <c r="D432" s="80" t="s">
        <v>3016</v>
      </c>
      <c r="E432" s="80" t="b">
        <v>1</v>
      </c>
      <c r="F432" s="80" t="b">
        <v>0</v>
      </c>
      <c r="G432" s="80" t="b">
        <v>0</v>
      </c>
    </row>
    <row r="433" spans="1:7" ht="15">
      <c r="A433" s="81" t="s">
        <v>3053</v>
      </c>
      <c r="B433" s="80">
        <v>2</v>
      </c>
      <c r="C433" s="107">
        <v>0.006178640668620394</v>
      </c>
      <c r="D433" s="80" t="s">
        <v>3016</v>
      </c>
      <c r="E433" s="80" t="b">
        <v>0</v>
      </c>
      <c r="F433" s="80" t="b">
        <v>0</v>
      </c>
      <c r="G433" s="80" t="b">
        <v>0</v>
      </c>
    </row>
    <row r="434" spans="1:7" ht="15">
      <c r="A434" s="81" t="s">
        <v>3087</v>
      </c>
      <c r="B434" s="80">
        <v>2</v>
      </c>
      <c r="C434" s="107">
        <v>0.01674109665683026</v>
      </c>
      <c r="D434" s="80" t="s">
        <v>3016</v>
      </c>
      <c r="E434" s="80" t="b">
        <v>0</v>
      </c>
      <c r="F434" s="80" t="b">
        <v>0</v>
      </c>
      <c r="G434" s="80" t="b">
        <v>0</v>
      </c>
    </row>
    <row r="435" spans="1:7" ht="15">
      <c r="A435" s="81" t="s">
        <v>3191</v>
      </c>
      <c r="B435" s="80">
        <v>2</v>
      </c>
      <c r="C435" s="107">
        <v>0.006178640668620394</v>
      </c>
      <c r="D435" s="80" t="s">
        <v>3016</v>
      </c>
      <c r="E435" s="80" t="b">
        <v>0</v>
      </c>
      <c r="F435" s="80" t="b">
        <v>0</v>
      </c>
      <c r="G435" s="80" t="b">
        <v>0</v>
      </c>
    </row>
    <row r="436" spans="1:7" ht="15">
      <c r="A436" s="81" t="s">
        <v>228</v>
      </c>
      <c r="B436" s="80">
        <v>2</v>
      </c>
      <c r="C436" s="107">
        <v>0.006178640668620394</v>
      </c>
      <c r="D436" s="80" t="s">
        <v>3016</v>
      </c>
      <c r="E436" s="80" t="b">
        <v>0</v>
      </c>
      <c r="F436" s="80" t="b">
        <v>0</v>
      </c>
      <c r="G436" s="80" t="b">
        <v>0</v>
      </c>
    </row>
    <row r="437" spans="1:7" ht="15">
      <c r="A437" s="81" t="s">
        <v>3118</v>
      </c>
      <c r="B437" s="80">
        <v>2</v>
      </c>
      <c r="C437" s="107">
        <v>0.006178640668620394</v>
      </c>
      <c r="D437" s="80" t="s">
        <v>3016</v>
      </c>
      <c r="E437" s="80" t="b">
        <v>0</v>
      </c>
      <c r="F437" s="80" t="b">
        <v>0</v>
      </c>
      <c r="G437" s="80" t="b">
        <v>0</v>
      </c>
    </row>
    <row r="438" spans="1:7" ht="15">
      <c r="A438" s="81" t="s">
        <v>228</v>
      </c>
      <c r="B438" s="80">
        <v>3</v>
      </c>
      <c r="C438" s="107">
        <v>0</v>
      </c>
      <c r="D438" s="80" t="s">
        <v>3017</v>
      </c>
      <c r="E438" s="80" t="b">
        <v>0</v>
      </c>
      <c r="F438" s="80" t="b">
        <v>0</v>
      </c>
      <c r="G438" s="80" t="b">
        <v>0</v>
      </c>
    </row>
    <row r="439" spans="1:7" ht="15">
      <c r="A439" s="81" t="s">
        <v>248</v>
      </c>
      <c r="B439" s="80">
        <v>2</v>
      </c>
      <c r="C439" s="107">
        <v>0.0078262781802525</v>
      </c>
      <c r="D439" s="80" t="s">
        <v>3017</v>
      </c>
      <c r="E439" s="80" t="b">
        <v>0</v>
      </c>
      <c r="F439" s="80" t="b">
        <v>0</v>
      </c>
      <c r="G439" s="80" t="b">
        <v>0</v>
      </c>
    </row>
    <row r="440" spans="1:7" ht="15">
      <c r="A440" s="81" t="s">
        <v>520</v>
      </c>
      <c r="B440" s="80">
        <v>2</v>
      </c>
      <c r="C440" s="107">
        <v>0.0078262781802525</v>
      </c>
      <c r="D440" s="80" t="s">
        <v>3017</v>
      </c>
      <c r="E440" s="80" t="b">
        <v>0</v>
      </c>
      <c r="F440" s="80" t="b">
        <v>0</v>
      </c>
      <c r="G440" s="80" t="b">
        <v>0</v>
      </c>
    </row>
    <row r="441" spans="1:7" ht="15">
      <c r="A441" s="81" t="s">
        <v>376</v>
      </c>
      <c r="B441" s="80">
        <v>2</v>
      </c>
      <c r="C441" s="107">
        <v>0.0078262781802525</v>
      </c>
      <c r="D441" s="80" t="s">
        <v>3017</v>
      </c>
      <c r="E441" s="80" t="b">
        <v>0</v>
      </c>
      <c r="F441" s="80" t="b">
        <v>0</v>
      </c>
      <c r="G441" s="80" t="b">
        <v>0</v>
      </c>
    </row>
    <row r="442" spans="1:7" ht="15">
      <c r="A442" s="81" t="s">
        <v>3180</v>
      </c>
      <c r="B442" s="80">
        <v>2</v>
      </c>
      <c r="C442" s="107">
        <v>0.021205389098651665</v>
      </c>
      <c r="D442" s="80" t="s">
        <v>3017</v>
      </c>
      <c r="E442" s="80" t="b">
        <v>0</v>
      </c>
      <c r="F442" s="80" t="b">
        <v>0</v>
      </c>
      <c r="G442" s="80" t="b">
        <v>0</v>
      </c>
    </row>
    <row r="443" spans="1:7" ht="15">
      <c r="A443" s="81" t="s">
        <v>521</v>
      </c>
      <c r="B443" s="80">
        <v>2</v>
      </c>
      <c r="C443" s="107">
        <v>0.0078262781802525</v>
      </c>
      <c r="D443" s="80" t="s">
        <v>3017</v>
      </c>
      <c r="E443" s="80" t="b">
        <v>0</v>
      </c>
      <c r="F443" s="80" t="b">
        <v>0</v>
      </c>
      <c r="G443" s="80" t="b">
        <v>0</v>
      </c>
    </row>
    <row r="444" spans="1:7" ht="15">
      <c r="A444" s="81" t="s">
        <v>3122</v>
      </c>
      <c r="B444" s="80">
        <v>2</v>
      </c>
      <c r="C444" s="107">
        <v>0.021205389098651665</v>
      </c>
      <c r="D444" s="80" t="s">
        <v>3017</v>
      </c>
      <c r="E444" s="80" t="b">
        <v>0</v>
      </c>
      <c r="F444" s="80" t="b">
        <v>0</v>
      </c>
      <c r="G444" s="80" t="b">
        <v>0</v>
      </c>
    </row>
    <row r="445" spans="1:7" ht="15">
      <c r="A445" s="81" t="s">
        <v>535</v>
      </c>
      <c r="B445" s="80">
        <v>15</v>
      </c>
      <c r="C445" s="107">
        <v>0</v>
      </c>
      <c r="D445" s="80" t="s">
        <v>3018</v>
      </c>
      <c r="E445" s="80" t="b">
        <v>0</v>
      </c>
      <c r="F445" s="80" t="b">
        <v>0</v>
      </c>
      <c r="G445" s="80" t="b">
        <v>0</v>
      </c>
    </row>
    <row r="446" spans="1:7" ht="15">
      <c r="A446" s="81" t="s">
        <v>228</v>
      </c>
      <c r="B446" s="80">
        <v>15</v>
      </c>
      <c r="C446" s="107">
        <v>0</v>
      </c>
      <c r="D446" s="80" t="s">
        <v>3018</v>
      </c>
      <c r="E446" s="80" t="b">
        <v>0</v>
      </c>
      <c r="F446" s="80" t="b">
        <v>0</v>
      </c>
      <c r="G446" s="80" t="b">
        <v>0</v>
      </c>
    </row>
    <row r="447" spans="1:7" ht="15">
      <c r="A447" s="81" t="s">
        <v>532</v>
      </c>
      <c r="B447" s="80">
        <v>15</v>
      </c>
      <c r="C447" s="107">
        <v>0</v>
      </c>
      <c r="D447" s="80" t="s">
        <v>3018</v>
      </c>
      <c r="E447" s="80" t="b">
        <v>0</v>
      </c>
      <c r="F447" s="80" t="b">
        <v>0</v>
      </c>
      <c r="G447" s="80" t="b">
        <v>0</v>
      </c>
    </row>
    <row r="448" spans="1:7" ht="15">
      <c r="A448" s="81" t="s">
        <v>533</v>
      </c>
      <c r="B448" s="80">
        <v>15</v>
      </c>
      <c r="C448" s="107">
        <v>0</v>
      </c>
      <c r="D448" s="80" t="s">
        <v>3018</v>
      </c>
      <c r="E448" s="80" t="b">
        <v>0</v>
      </c>
      <c r="F448" s="80" t="b">
        <v>0</v>
      </c>
      <c r="G448" s="80" t="b">
        <v>0</v>
      </c>
    </row>
    <row r="449" spans="1:7" ht="15">
      <c r="A449" s="81" t="s">
        <v>529</v>
      </c>
      <c r="B449" s="80">
        <v>15</v>
      </c>
      <c r="C449" s="107">
        <v>0</v>
      </c>
      <c r="D449" s="80" t="s">
        <v>3018</v>
      </c>
      <c r="E449" s="80" t="b">
        <v>0</v>
      </c>
      <c r="F449" s="80" t="b">
        <v>0</v>
      </c>
      <c r="G449" s="80" t="b">
        <v>0</v>
      </c>
    </row>
    <row r="450" spans="1:7" ht="15">
      <c r="A450" s="81" t="s">
        <v>538</v>
      </c>
      <c r="B450" s="80">
        <v>15</v>
      </c>
      <c r="C450" s="107">
        <v>0</v>
      </c>
      <c r="D450" s="80" t="s">
        <v>3018</v>
      </c>
      <c r="E450" s="80" t="b">
        <v>0</v>
      </c>
      <c r="F450" s="80" t="b">
        <v>0</v>
      </c>
      <c r="G450" s="80" t="b">
        <v>0</v>
      </c>
    </row>
    <row r="451" spans="1:7" ht="15">
      <c r="A451" s="81" t="s">
        <v>537</v>
      </c>
      <c r="B451" s="80">
        <v>12</v>
      </c>
      <c r="C451" s="107">
        <v>0.0037273081926175546</v>
      </c>
      <c r="D451" s="80" t="s">
        <v>3018</v>
      </c>
      <c r="E451" s="80" t="b">
        <v>0</v>
      </c>
      <c r="F451" s="80" t="b">
        <v>0</v>
      </c>
      <c r="G451" s="80" t="b">
        <v>0</v>
      </c>
    </row>
    <row r="452" spans="1:7" ht="15">
      <c r="A452" s="81" t="s">
        <v>530</v>
      </c>
      <c r="B452" s="80">
        <v>12</v>
      </c>
      <c r="C452" s="107">
        <v>0.0037273081926175546</v>
      </c>
      <c r="D452" s="80" t="s">
        <v>3018</v>
      </c>
      <c r="E452" s="80" t="b">
        <v>0</v>
      </c>
      <c r="F452" s="80" t="b">
        <v>0</v>
      </c>
      <c r="G452" s="80" t="b">
        <v>0</v>
      </c>
    </row>
    <row r="453" spans="1:7" ht="15">
      <c r="A453" s="81" t="s">
        <v>531</v>
      </c>
      <c r="B453" s="80">
        <v>11</v>
      </c>
      <c r="C453" s="107">
        <v>0.004748988182282109</v>
      </c>
      <c r="D453" s="80" t="s">
        <v>3018</v>
      </c>
      <c r="E453" s="80" t="b">
        <v>0</v>
      </c>
      <c r="F453" s="80" t="b">
        <v>0</v>
      </c>
      <c r="G453" s="80" t="b">
        <v>0</v>
      </c>
    </row>
    <row r="454" spans="1:7" ht="15">
      <c r="A454" s="81" t="s">
        <v>534</v>
      </c>
      <c r="B454" s="80">
        <v>10</v>
      </c>
      <c r="C454" s="107">
        <v>0.005643950610759014</v>
      </c>
      <c r="D454" s="80" t="s">
        <v>3018</v>
      </c>
      <c r="E454" s="80" t="b">
        <v>0</v>
      </c>
      <c r="F454" s="80" t="b">
        <v>0</v>
      </c>
      <c r="G454" s="80" t="b">
        <v>0</v>
      </c>
    </row>
    <row r="455" spans="1:7" ht="15">
      <c r="A455" s="81" t="s">
        <v>528</v>
      </c>
      <c r="B455" s="80">
        <v>10</v>
      </c>
      <c r="C455" s="107">
        <v>0.005643950610759014</v>
      </c>
      <c r="D455" s="80" t="s">
        <v>3018</v>
      </c>
      <c r="E455" s="80" t="b">
        <v>0</v>
      </c>
      <c r="F455" s="80" t="b">
        <v>0</v>
      </c>
      <c r="G455" s="80" t="b">
        <v>0</v>
      </c>
    </row>
    <row r="456" spans="1:7" ht="15">
      <c r="A456" s="81" t="s">
        <v>3057</v>
      </c>
      <c r="B456" s="80">
        <v>8</v>
      </c>
      <c r="C456" s="107">
        <v>0.007000032617018914</v>
      </c>
      <c r="D456" s="80" t="s">
        <v>3018</v>
      </c>
      <c r="E456" s="80" t="b">
        <v>0</v>
      </c>
      <c r="F456" s="80" t="b">
        <v>0</v>
      </c>
      <c r="G456" s="80" t="b">
        <v>0</v>
      </c>
    </row>
    <row r="457" spans="1:7" ht="15">
      <c r="A457" s="81" t="s">
        <v>536</v>
      </c>
      <c r="B457" s="80">
        <v>7</v>
      </c>
      <c r="C457" s="107">
        <v>0.007426129914390933</v>
      </c>
      <c r="D457" s="80" t="s">
        <v>3018</v>
      </c>
      <c r="E457" s="80" t="b">
        <v>0</v>
      </c>
      <c r="F457" s="80" t="b">
        <v>0</v>
      </c>
      <c r="G457" s="80" t="b">
        <v>0</v>
      </c>
    </row>
    <row r="458" spans="1:7" ht="15">
      <c r="A458" s="81" t="s">
        <v>526</v>
      </c>
      <c r="B458" s="80">
        <v>7</v>
      </c>
      <c r="C458" s="107">
        <v>0.007426129914390933</v>
      </c>
      <c r="D458" s="80" t="s">
        <v>3018</v>
      </c>
      <c r="E458" s="80" t="b">
        <v>0</v>
      </c>
      <c r="F458" s="80" t="b">
        <v>0</v>
      </c>
      <c r="G458" s="80" t="b">
        <v>0</v>
      </c>
    </row>
    <row r="459" spans="1:7" ht="15">
      <c r="A459" s="81" t="s">
        <v>527</v>
      </c>
      <c r="B459" s="80">
        <v>6</v>
      </c>
      <c r="C459" s="107">
        <v>0.007652692474462262</v>
      </c>
      <c r="D459" s="80" t="s">
        <v>3018</v>
      </c>
      <c r="E459" s="80" t="b">
        <v>0</v>
      </c>
      <c r="F459" s="80" t="b">
        <v>0</v>
      </c>
      <c r="G459" s="80" t="b">
        <v>0</v>
      </c>
    </row>
    <row r="460" spans="1:7" ht="15">
      <c r="A460" s="81" t="s">
        <v>3070</v>
      </c>
      <c r="B460" s="80">
        <v>4</v>
      </c>
      <c r="C460" s="107">
        <v>0.0073593752272784465</v>
      </c>
      <c r="D460" s="80" t="s">
        <v>3018</v>
      </c>
      <c r="E460" s="80" t="b">
        <v>0</v>
      </c>
      <c r="F460" s="80" t="b">
        <v>0</v>
      </c>
      <c r="G460" s="80" t="b">
        <v>0</v>
      </c>
    </row>
    <row r="461" spans="1:7" ht="15">
      <c r="A461" s="81" t="s">
        <v>724</v>
      </c>
      <c r="B461" s="80">
        <v>4</v>
      </c>
      <c r="C461" s="107">
        <v>0.0073593752272784465</v>
      </c>
      <c r="D461" s="80" t="s">
        <v>3018</v>
      </c>
      <c r="E461" s="80" t="b">
        <v>0</v>
      </c>
      <c r="F461" s="80" t="b">
        <v>0</v>
      </c>
      <c r="G461" s="80" t="b">
        <v>0</v>
      </c>
    </row>
    <row r="462" spans="1:7" ht="15">
      <c r="A462" s="81" t="s">
        <v>258</v>
      </c>
      <c r="B462" s="80">
        <v>4</v>
      </c>
      <c r="C462" s="107">
        <v>0.0073593752272784465</v>
      </c>
      <c r="D462" s="80" t="s">
        <v>3018</v>
      </c>
      <c r="E462" s="80" t="b">
        <v>0</v>
      </c>
      <c r="F462" s="80" t="b">
        <v>0</v>
      </c>
      <c r="G462" s="80" t="b">
        <v>0</v>
      </c>
    </row>
    <row r="463" spans="1:7" ht="15">
      <c r="A463" s="81" t="s">
        <v>3081</v>
      </c>
      <c r="B463" s="80">
        <v>3</v>
      </c>
      <c r="C463" s="107">
        <v>0.008414050609535578</v>
      </c>
      <c r="D463" s="80" t="s">
        <v>3018</v>
      </c>
      <c r="E463" s="80" t="b">
        <v>0</v>
      </c>
      <c r="F463" s="80" t="b">
        <v>0</v>
      </c>
      <c r="G463" s="80" t="b">
        <v>0</v>
      </c>
    </row>
    <row r="464" spans="1:7" ht="15">
      <c r="A464" s="81" t="s">
        <v>3096</v>
      </c>
      <c r="B464" s="80">
        <v>3</v>
      </c>
      <c r="C464" s="107">
        <v>0.006720865426307874</v>
      </c>
      <c r="D464" s="80" t="s">
        <v>3018</v>
      </c>
      <c r="E464" s="80" t="b">
        <v>0</v>
      </c>
      <c r="F464" s="80" t="b">
        <v>0</v>
      </c>
      <c r="G464" s="80" t="b">
        <v>0</v>
      </c>
    </row>
    <row r="465" spans="1:7" ht="15">
      <c r="A465" s="81" t="s">
        <v>3103</v>
      </c>
      <c r="B465" s="80">
        <v>3</v>
      </c>
      <c r="C465" s="107">
        <v>0.006720865426307874</v>
      </c>
      <c r="D465" s="80" t="s">
        <v>3018</v>
      </c>
      <c r="E465" s="80" t="b">
        <v>0</v>
      </c>
      <c r="F465" s="80" t="b">
        <v>0</v>
      </c>
      <c r="G465" s="80" t="b">
        <v>0</v>
      </c>
    </row>
    <row r="466" spans="1:7" ht="15">
      <c r="A466" s="81" t="s">
        <v>3208</v>
      </c>
      <c r="B466" s="80">
        <v>2</v>
      </c>
      <c r="C466" s="107">
        <v>0.007539046532408214</v>
      </c>
      <c r="D466" s="80" t="s">
        <v>3018</v>
      </c>
      <c r="E466" s="80" t="b">
        <v>0</v>
      </c>
      <c r="F466" s="80" t="b">
        <v>0</v>
      </c>
      <c r="G466" s="80" t="b">
        <v>0</v>
      </c>
    </row>
    <row r="467" spans="1:7" ht="15">
      <c r="A467" s="81" t="s">
        <v>3076</v>
      </c>
      <c r="B467" s="80">
        <v>2</v>
      </c>
      <c r="C467" s="107">
        <v>0.007539046532408214</v>
      </c>
      <c r="D467" s="80" t="s">
        <v>3018</v>
      </c>
      <c r="E467" s="80" t="b">
        <v>0</v>
      </c>
      <c r="F467" s="80" t="b">
        <v>0</v>
      </c>
      <c r="G467" s="80" t="b">
        <v>0</v>
      </c>
    </row>
    <row r="468" spans="1:7" ht="15">
      <c r="A468" s="81" t="s">
        <v>3141</v>
      </c>
      <c r="B468" s="80">
        <v>2</v>
      </c>
      <c r="C468" s="107">
        <v>0.007539046532408214</v>
      </c>
      <c r="D468" s="80" t="s">
        <v>3018</v>
      </c>
      <c r="E468" s="80" t="b">
        <v>0</v>
      </c>
      <c r="F468" s="80" t="b">
        <v>0</v>
      </c>
      <c r="G468" s="80" t="b">
        <v>0</v>
      </c>
    </row>
    <row r="469" spans="1:7" ht="15">
      <c r="A469" s="81" t="s">
        <v>3173</v>
      </c>
      <c r="B469" s="80">
        <v>2</v>
      </c>
      <c r="C469" s="107">
        <v>0.007539046532408214</v>
      </c>
      <c r="D469" s="80" t="s">
        <v>3018</v>
      </c>
      <c r="E469" s="80" t="b">
        <v>0</v>
      </c>
      <c r="F469" s="80" t="b">
        <v>0</v>
      </c>
      <c r="G469" s="80" t="b">
        <v>0</v>
      </c>
    </row>
    <row r="470" spans="1:7" ht="15">
      <c r="A470" s="81" t="s">
        <v>3156</v>
      </c>
      <c r="B470" s="80">
        <v>2</v>
      </c>
      <c r="C470" s="107">
        <v>0.005609367073023719</v>
      </c>
      <c r="D470" s="80" t="s">
        <v>3018</v>
      </c>
      <c r="E470" s="80" t="b">
        <v>0</v>
      </c>
      <c r="F470" s="80" t="b">
        <v>0</v>
      </c>
      <c r="G470" s="80" t="b">
        <v>0</v>
      </c>
    </row>
    <row r="471" spans="1:7" ht="15">
      <c r="A471" s="81" t="s">
        <v>3138</v>
      </c>
      <c r="B471" s="80">
        <v>2</v>
      </c>
      <c r="C471" s="107">
        <v>0.005609367073023719</v>
      </c>
      <c r="D471" s="80" t="s">
        <v>3018</v>
      </c>
      <c r="E471" s="80" t="b">
        <v>0</v>
      </c>
      <c r="F471" s="80" t="b">
        <v>0</v>
      </c>
      <c r="G471" s="80" t="b">
        <v>0</v>
      </c>
    </row>
    <row r="472" spans="1:7" ht="15">
      <c r="A472" s="81" t="s">
        <v>3145</v>
      </c>
      <c r="B472" s="80">
        <v>2</v>
      </c>
      <c r="C472" s="107">
        <v>0.005609367073023719</v>
      </c>
      <c r="D472" s="80" t="s">
        <v>3018</v>
      </c>
      <c r="E472" s="80" t="b">
        <v>0</v>
      </c>
      <c r="F472" s="80" t="b">
        <v>0</v>
      </c>
      <c r="G472" s="80" t="b">
        <v>0</v>
      </c>
    </row>
    <row r="473" spans="1:7" ht="15">
      <c r="A473" s="81" t="s">
        <v>3105</v>
      </c>
      <c r="B473" s="80">
        <v>2</v>
      </c>
      <c r="C473" s="107">
        <v>0.005609367073023719</v>
      </c>
      <c r="D473" s="80" t="s">
        <v>3018</v>
      </c>
      <c r="E473" s="80" t="b">
        <v>0</v>
      </c>
      <c r="F473" s="80" t="b">
        <v>0</v>
      </c>
      <c r="G473" s="80" t="b">
        <v>0</v>
      </c>
    </row>
    <row r="474" spans="1:7" ht="15">
      <c r="A474" s="81" t="s">
        <v>3176</v>
      </c>
      <c r="B474" s="80">
        <v>2</v>
      </c>
      <c r="C474" s="107">
        <v>0.007539046532408214</v>
      </c>
      <c r="D474" s="80" t="s">
        <v>3018</v>
      </c>
      <c r="E474" s="80" t="b">
        <v>0</v>
      </c>
      <c r="F474" s="80" t="b">
        <v>0</v>
      </c>
      <c r="G474" s="80" t="b">
        <v>0</v>
      </c>
    </row>
    <row r="475" spans="1:7" ht="15">
      <c r="A475" s="81" t="s">
        <v>3128</v>
      </c>
      <c r="B475" s="80">
        <v>2</v>
      </c>
      <c r="C475" s="107">
        <v>0.007539046532408214</v>
      </c>
      <c r="D475" s="80" t="s">
        <v>3018</v>
      </c>
      <c r="E475" s="80" t="b">
        <v>0</v>
      </c>
      <c r="F475" s="80" t="b">
        <v>0</v>
      </c>
      <c r="G475" s="80" t="b">
        <v>0</v>
      </c>
    </row>
    <row r="476" spans="1:7" ht="15">
      <c r="A476" s="81" t="s">
        <v>496</v>
      </c>
      <c r="B476" s="80">
        <v>5</v>
      </c>
      <c r="C476" s="107">
        <v>0</v>
      </c>
      <c r="D476" s="80" t="s">
        <v>3019</v>
      </c>
      <c r="E476" s="80" t="b">
        <v>0</v>
      </c>
      <c r="F476" s="80" t="b">
        <v>0</v>
      </c>
      <c r="G476" s="80" t="b">
        <v>0</v>
      </c>
    </row>
    <row r="477" spans="1:7" ht="15">
      <c r="A477" s="81" t="s">
        <v>498</v>
      </c>
      <c r="B477" s="80">
        <v>5</v>
      </c>
      <c r="C477" s="107">
        <v>0</v>
      </c>
      <c r="D477" s="80" t="s">
        <v>3019</v>
      </c>
      <c r="E477" s="80" t="b">
        <v>0</v>
      </c>
      <c r="F477" s="80" t="b">
        <v>0</v>
      </c>
      <c r="G477" s="80" t="b">
        <v>0</v>
      </c>
    </row>
    <row r="478" spans="1:7" ht="15">
      <c r="A478" s="81" t="s">
        <v>259</v>
      </c>
      <c r="B478" s="80">
        <v>5</v>
      </c>
      <c r="C478" s="107">
        <v>0.005634303081863745</v>
      </c>
      <c r="D478" s="80" t="s">
        <v>3019</v>
      </c>
      <c r="E478" s="80" t="b">
        <v>0</v>
      </c>
      <c r="F478" s="80" t="b">
        <v>0</v>
      </c>
      <c r="G478" s="80" t="b">
        <v>0</v>
      </c>
    </row>
    <row r="479" spans="1:7" ht="15">
      <c r="A479" s="81" t="s">
        <v>494</v>
      </c>
      <c r="B479" s="80">
        <v>5</v>
      </c>
      <c r="C479" s="107">
        <v>0</v>
      </c>
      <c r="D479" s="80" t="s">
        <v>3019</v>
      </c>
      <c r="E479" s="80" t="b">
        <v>0</v>
      </c>
      <c r="F479" s="80" t="b">
        <v>0</v>
      </c>
      <c r="G479" s="80" t="b">
        <v>0</v>
      </c>
    </row>
    <row r="480" spans="1:7" ht="15">
      <c r="A480" s="81" t="s">
        <v>492</v>
      </c>
      <c r="B480" s="80">
        <v>5</v>
      </c>
      <c r="C480" s="107">
        <v>0</v>
      </c>
      <c r="D480" s="80" t="s">
        <v>3019</v>
      </c>
      <c r="E480" s="80" t="b">
        <v>0</v>
      </c>
      <c r="F480" s="80" t="b">
        <v>0</v>
      </c>
      <c r="G480" s="80" t="b">
        <v>0</v>
      </c>
    </row>
    <row r="481" spans="1:7" ht="15">
      <c r="A481" s="81" t="s">
        <v>500</v>
      </c>
      <c r="B481" s="80">
        <v>5</v>
      </c>
      <c r="C481" s="107">
        <v>0</v>
      </c>
      <c r="D481" s="80" t="s">
        <v>3019</v>
      </c>
      <c r="E481" s="80" t="b">
        <v>0</v>
      </c>
      <c r="F481" s="80" t="b">
        <v>0</v>
      </c>
      <c r="G481" s="80" t="b">
        <v>0</v>
      </c>
    </row>
    <row r="482" spans="1:7" ht="15">
      <c r="A482" s="81" t="s">
        <v>501</v>
      </c>
      <c r="B482" s="80">
        <v>5</v>
      </c>
      <c r="C482" s="107">
        <v>0</v>
      </c>
      <c r="D482" s="80" t="s">
        <v>3019</v>
      </c>
      <c r="E482" s="80" t="b">
        <v>0</v>
      </c>
      <c r="F482" s="80" t="b">
        <v>0</v>
      </c>
      <c r="G482" s="80" t="b">
        <v>0</v>
      </c>
    </row>
    <row r="483" spans="1:7" ht="15">
      <c r="A483" s="81" t="s">
        <v>228</v>
      </c>
      <c r="B483" s="80">
        <v>5</v>
      </c>
      <c r="C483" s="107">
        <v>0</v>
      </c>
      <c r="D483" s="80" t="s">
        <v>3019</v>
      </c>
      <c r="E483" s="80" t="b">
        <v>0</v>
      </c>
      <c r="F483" s="80" t="b">
        <v>0</v>
      </c>
      <c r="G483" s="80" t="b">
        <v>0</v>
      </c>
    </row>
    <row r="484" spans="1:7" ht="15">
      <c r="A484" s="81" t="s">
        <v>495</v>
      </c>
      <c r="B484" s="80">
        <v>5</v>
      </c>
      <c r="C484" s="107">
        <v>0</v>
      </c>
      <c r="D484" s="80" t="s">
        <v>3019</v>
      </c>
      <c r="E484" s="80" t="b">
        <v>0</v>
      </c>
      <c r="F484" s="80" t="b">
        <v>0</v>
      </c>
      <c r="G484" s="80" t="b">
        <v>0</v>
      </c>
    </row>
    <row r="485" spans="1:7" ht="15">
      <c r="A485" s="81" t="s">
        <v>493</v>
      </c>
      <c r="B485" s="80">
        <v>5</v>
      </c>
      <c r="C485" s="107">
        <v>0</v>
      </c>
      <c r="D485" s="80" t="s">
        <v>3019</v>
      </c>
      <c r="E485" s="80" t="b">
        <v>0</v>
      </c>
      <c r="F485" s="80" t="b">
        <v>0</v>
      </c>
      <c r="G485" s="80" t="b">
        <v>0</v>
      </c>
    </row>
    <row r="486" spans="1:7" ht="15">
      <c r="A486" s="81" t="s">
        <v>499</v>
      </c>
      <c r="B486" s="80">
        <v>5</v>
      </c>
      <c r="C486" s="107">
        <v>0</v>
      </c>
      <c r="D486" s="80" t="s">
        <v>3019</v>
      </c>
      <c r="E486" s="80" t="b">
        <v>0</v>
      </c>
      <c r="F486" s="80" t="b">
        <v>0</v>
      </c>
      <c r="G486" s="80" t="b">
        <v>0</v>
      </c>
    </row>
    <row r="487" spans="1:7" ht="15">
      <c r="A487" s="81" t="s">
        <v>497</v>
      </c>
      <c r="B487" s="80">
        <v>5</v>
      </c>
      <c r="C487" s="107">
        <v>0</v>
      </c>
      <c r="D487" s="80" t="s">
        <v>3019</v>
      </c>
      <c r="E487" s="80" t="b">
        <v>0</v>
      </c>
      <c r="F487" s="80" t="b">
        <v>0</v>
      </c>
      <c r="G487" s="80" t="b">
        <v>0</v>
      </c>
    </row>
    <row r="488" spans="1:7" ht="15">
      <c r="A488" s="81" t="s">
        <v>262</v>
      </c>
      <c r="B488" s="80">
        <v>4</v>
      </c>
      <c r="C488" s="107">
        <v>0.004507442465490996</v>
      </c>
      <c r="D488" s="80" t="s">
        <v>3019</v>
      </c>
      <c r="E488" s="80" t="b">
        <v>0</v>
      </c>
      <c r="F488" s="80" t="b">
        <v>0</v>
      </c>
      <c r="G488" s="80" t="b">
        <v>0</v>
      </c>
    </row>
    <row r="489" spans="1:7" ht="15">
      <c r="A489" s="81" t="s">
        <v>260</v>
      </c>
      <c r="B489" s="80">
        <v>4</v>
      </c>
      <c r="C489" s="107">
        <v>0.004507442465490996</v>
      </c>
      <c r="D489" s="80" t="s">
        <v>3019</v>
      </c>
      <c r="E489" s="80" t="b">
        <v>0</v>
      </c>
      <c r="F489" s="80" t="b">
        <v>0</v>
      </c>
      <c r="G489" s="80" t="b">
        <v>0</v>
      </c>
    </row>
    <row r="490" spans="1:7" ht="15">
      <c r="A490" s="81" t="s">
        <v>261</v>
      </c>
      <c r="B490" s="80">
        <v>4</v>
      </c>
      <c r="C490" s="107">
        <v>0.004507442465490996</v>
      </c>
      <c r="D490" s="80" t="s">
        <v>3019</v>
      </c>
      <c r="E490" s="80" t="b">
        <v>0</v>
      </c>
      <c r="F490" s="80" t="b">
        <v>0</v>
      </c>
      <c r="G490" s="80" t="b">
        <v>0</v>
      </c>
    </row>
    <row r="491" spans="1:7" ht="15">
      <c r="A491" s="81" t="s">
        <v>3060</v>
      </c>
      <c r="B491" s="80">
        <v>3</v>
      </c>
      <c r="C491" s="107">
        <v>0.007738909870338014</v>
      </c>
      <c r="D491" s="80" t="s">
        <v>3019</v>
      </c>
      <c r="E491" s="80" t="b">
        <v>1</v>
      </c>
      <c r="F491" s="80" t="b">
        <v>0</v>
      </c>
      <c r="G491" s="80" t="b">
        <v>0</v>
      </c>
    </row>
    <row r="492" spans="1:7" ht="15">
      <c r="A492" s="81" t="s">
        <v>3082</v>
      </c>
      <c r="B492" s="80">
        <v>2</v>
      </c>
      <c r="C492" s="107">
        <v>0.009254418806326456</v>
      </c>
      <c r="D492" s="80" t="s">
        <v>3019</v>
      </c>
      <c r="E492" s="80" t="b">
        <v>0</v>
      </c>
      <c r="F492" s="80" t="b">
        <v>0</v>
      </c>
      <c r="G492" s="80" t="b">
        <v>0</v>
      </c>
    </row>
    <row r="493" spans="1:7" ht="15">
      <c r="A493" s="81" t="s">
        <v>228</v>
      </c>
      <c r="B493" s="80">
        <v>17</v>
      </c>
      <c r="C493" s="107">
        <v>0.008421666222144991</v>
      </c>
      <c r="D493" s="80" t="s">
        <v>3020</v>
      </c>
      <c r="E493" s="80" t="b">
        <v>0</v>
      </c>
      <c r="F493" s="80" t="b">
        <v>0</v>
      </c>
      <c r="G493" s="80" t="b">
        <v>0</v>
      </c>
    </row>
    <row r="494" spans="1:7" ht="15">
      <c r="A494" s="81" t="s">
        <v>3054</v>
      </c>
      <c r="B494" s="80">
        <v>10</v>
      </c>
      <c r="C494" s="107">
        <v>0.02866671112036341</v>
      </c>
      <c r="D494" s="80" t="s">
        <v>3020</v>
      </c>
      <c r="E494" s="80" t="b">
        <v>0</v>
      </c>
      <c r="F494" s="80" t="b">
        <v>0</v>
      </c>
      <c r="G494" s="80" t="b">
        <v>0</v>
      </c>
    </row>
    <row r="495" spans="1:7" ht="15">
      <c r="A495" s="81" t="s">
        <v>3080</v>
      </c>
      <c r="B495" s="80">
        <v>4</v>
      </c>
      <c r="C495" s="107">
        <v>0.011466684448145366</v>
      </c>
      <c r="D495" s="80" t="s">
        <v>3020</v>
      </c>
      <c r="E495" s="80" t="b">
        <v>0</v>
      </c>
      <c r="F495" s="80" t="b">
        <v>0</v>
      </c>
      <c r="G495" s="80" t="b">
        <v>0</v>
      </c>
    </row>
    <row r="496" spans="1:7" ht="15">
      <c r="A496" s="81" t="s">
        <v>471</v>
      </c>
      <c r="B496" s="80">
        <v>4</v>
      </c>
      <c r="C496" s="107">
        <v>0.011466684448145366</v>
      </c>
      <c r="D496" s="80" t="s">
        <v>3020</v>
      </c>
      <c r="E496" s="80" t="b">
        <v>0</v>
      </c>
      <c r="F496" s="80" t="b">
        <v>0</v>
      </c>
      <c r="G496" s="80" t="b">
        <v>0</v>
      </c>
    </row>
    <row r="497" spans="1:7" ht="15">
      <c r="A497" s="81" t="s">
        <v>278</v>
      </c>
      <c r="B497" s="80">
        <v>4</v>
      </c>
      <c r="C497" s="107">
        <v>0.011466684448145366</v>
      </c>
      <c r="D497" s="80" t="s">
        <v>3020</v>
      </c>
      <c r="E497" s="80" t="b">
        <v>0</v>
      </c>
      <c r="F497" s="80" t="b">
        <v>0</v>
      </c>
      <c r="G497" s="80" t="b">
        <v>0</v>
      </c>
    </row>
    <row r="498" spans="1:7" ht="15">
      <c r="A498" s="81" t="s">
        <v>509</v>
      </c>
      <c r="B498" s="80">
        <v>3</v>
      </c>
      <c r="C498" s="107">
        <v>0.010014414127901099</v>
      </c>
      <c r="D498" s="80" t="s">
        <v>3020</v>
      </c>
      <c r="E498" s="80" t="b">
        <v>0</v>
      </c>
      <c r="F498" s="80" t="b">
        <v>0</v>
      </c>
      <c r="G498" s="80" t="b">
        <v>0</v>
      </c>
    </row>
    <row r="499" spans="1:7" ht="15">
      <c r="A499" s="81" t="s">
        <v>3084</v>
      </c>
      <c r="B499" s="80">
        <v>3</v>
      </c>
      <c r="C499" s="107">
        <v>0.012007900079474847</v>
      </c>
      <c r="D499" s="80" t="s">
        <v>3020</v>
      </c>
      <c r="E499" s="80" t="b">
        <v>0</v>
      </c>
      <c r="F499" s="80" t="b">
        <v>0</v>
      </c>
      <c r="G499" s="80" t="b">
        <v>0</v>
      </c>
    </row>
    <row r="500" spans="1:7" ht="15">
      <c r="A500" s="81" t="s">
        <v>3100</v>
      </c>
      <c r="B500" s="80">
        <v>3</v>
      </c>
      <c r="C500" s="107">
        <v>0.010014414127901099</v>
      </c>
      <c r="D500" s="80" t="s">
        <v>3020</v>
      </c>
      <c r="E500" s="80" t="b">
        <v>0</v>
      </c>
      <c r="F500" s="80" t="b">
        <v>0</v>
      </c>
      <c r="G500" s="80" t="b">
        <v>0</v>
      </c>
    </row>
    <row r="501" spans="1:7" ht="15">
      <c r="A501" s="81" t="s">
        <v>3102</v>
      </c>
      <c r="B501" s="80">
        <v>3</v>
      </c>
      <c r="C501" s="107">
        <v>0.012007900079474847</v>
      </c>
      <c r="D501" s="80" t="s">
        <v>3020</v>
      </c>
      <c r="E501" s="80" t="b">
        <v>0</v>
      </c>
      <c r="F501" s="80" t="b">
        <v>0</v>
      </c>
      <c r="G501" s="80" t="b">
        <v>0</v>
      </c>
    </row>
    <row r="502" spans="1:7" ht="15">
      <c r="A502" s="81" t="s">
        <v>3111</v>
      </c>
      <c r="B502" s="80">
        <v>2</v>
      </c>
      <c r="C502" s="107">
        <v>0.010277191215227115</v>
      </c>
      <c r="D502" s="80" t="s">
        <v>3020</v>
      </c>
      <c r="E502" s="80" t="b">
        <v>0</v>
      </c>
      <c r="F502" s="80" t="b">
        <v>0</v>
      </c>
      <c r="G502" s="80" t="b">
        <v>0</v>
      </c>
    </row>
    <row r="503" spans="1:7" ht="15">
      <c r="A503" s="81" t="s">
        <v>3132</v>
      </c>
      <c r="B503" s="80">
        <v>2</v>
      </c>
      <c r="C503" s="107">
        <v>0.010277191215227115</v>
      </c>
      <c r="D503" s="80" t="s">
        <v>3020</v>
      </c>
      <c r="E503" s="80" t="b">
        <v>0</v>
      </c>
      <c r="F503" s="80" t="b">
        <v>0</v>
      </c>
      <c r="G503" s="80" t="b">
        <v>0</v>
      </c>
    </row>
    <row r="504" spans="1:7" ht="15">
      <c r="A504" s="81" t="s">
        <v>3125</v>
      </c>
      <c r="B504" s="80">
        <v>2</v>
      </c>
      <c r="C504" s="107">
        <v>0.0080052667196499</v>
      </c>
      <c r="D504" s="80" t="s">
        <v>3020</v>
      </c>
      <c r="E504" s="80" t="b">
        <v>0</v>
      </c>
      <c r="F504" s="80" t="b">
        <v>0</v>
      </c>
      <c r="G504" s="80" t="b">
        <v>0</v>
      </c>
    </row>
    <row r="505" spans="1:7" ht="15">
      <c r="A505" s="81" t="s">
        <v>3219</v>
      </c>
      <c r="B505" s="80">
        <v>2</v>
      </c>
      <c r="C505" s="107">
        <v>0.0080052667196499</v>
      </c>
      <c r="D505" s="80" t="s">
        <v>3020</v>
      </c>
      <c r="E505" s="80" t="b">
        <v>0</v>
      </c>
      <c r="F505" s="80" t="b">
        <v>0</v>
      </c>
      <c r="G505" s="80" t="b">
        <v>0</v>
      </c>
    </row>
    <row r="506" spans="1:7" ht="15">
      <c r="A506" s="81" t="s">
        <v>3126</v>
      </c>
      <c r="B506" s="80">
        <v>2</v>
      </c>
      <c r="C506" s="107">
        <v>0.0080052667196499</v>
      </c>
      <c r="D506" s="80" t="s">
        <v>3020</v>
      </c>
      <c r="E506" s="80" t="b">
        <v>0</v>
      </c>
      <c r="F506" s="80" t="b">
        <v>1</v>
      </c>
      <c r="G506" s="80" t="b">
        <v>0</v>
      </c>
    </row>
    <row r="507" spans="1:7" ht="15">
      <c r="A507" s="81" t="s">
        <v>3094</v>
      </c>
      <c r="B507" s="80">
        <v>2</v>
      </c>
      <c r="C507" s="107">
        <v>0.0080052667196499</v>
      </c>
      <c r="D507" s="80" t="s">
        <v>3020</v>
      </c>
      <c r="E507" s="80" t="b">
        <v>0</v>
      </c>
      <c r="F507" s="80" t="b">
        <v>0</v>
      </c>
      <c r="G507" s="80" t="b">
        <v>0</v>
      </c>
    </row>
    <row r="508" spans="1:7" ht="15">
      <c r="A508" s="81" t="s">
        <v>3136</v>
      </c>
      <c r="B508" s="80">
        <v>2</v>
      </c>
      <c r="C508" s="107">
        <v>0.0080052667196499</v>
      </c>
      <c r="D508" s="80" t="s">
        <v>3020</v>
      </c>
      <c r="E508" s="80" t="b">
        <v>0</v>
      </c>
      <c r="F508" s="80" t="b">
        <v>0</v>
      </c>
      <c r="G508" s="80" t="b">
        <v>0</v>
      </c>
    </row>
    <row r="509" spans="1:7" ht="15">
      <c r="A509" s="81" t="s">
        <v>3169</v>
      </c>
      <c r="B509" s="80">
        <v>2</v>
      </c>
      <c r="C509" s="107">
        <v>0.0080052667196499</v>
      </c>
      <c r="D509" s="80" t="s">
        <v>3020</v>
      </c>
      <c r="E509" s="80" t="b">
        <v>0</v>
      </c>
      <c r="F509" s="80" t="b">
        <v>0</v>
      </c>
      <c r="G509" s="80" t="b">
        <v>0</v>
      </c>
    </row>
    <row r="510" spans="1:7" ht="15">
      <c r="A510" s="81" t="s">
        <v>3055</v>
      </c>
      <c r="B510" s="80">
        <v>2</v>
      </c>
      <c r="C510" s="107">
        <v>0.0080052667196499</v>
      </c>
      <c r="D510" s="80" t="s">
        <v>3020</v>
      </c>
      <c r="E510" s="80" t="b">
        <v>0</v>
      </c>
      <c r="F510" s="80" t="b">
        <v>0</v>
      </c>
      <c r="G510" s="80" t="b">
        <v>0</v>
      </c>
    </row>
    <row r="511" spans="1:7" ht="15">
      <c r="A511" s="81" t="s">
        <v>3182</v>
      </c>
      <c r="B511" s="80">
        <v>2</v>
      </c>
      <c r="C511" s="107">
        <v>0.0080052667196499</v>
      </c>
      <c r="D511" s="80" t="s">
        <v>3020</v>
      </c>
      <c r="E511" s="80" t="b">
        <v>0</v>
      </c>
      <c r="F511" s="80" t="b">
        <v>0</v>
      </c>
      <c r="G511" s="80" t="b">
        <v>0</v>
      </c>
    </row>
    <row r="512" spans="1:7" ht="15">
      <c r="A512" s="81" t="s">
        <v>3209</v>
      </c>
      <c r="B512" s="80">
        <v>2</v>
      </c>
      <c r="C512" s="107">
        <v>0.0080052667196499</v>
      </c>
      <c r="D512" s="80" t="s">
        <v>3020</v>
      </c>
      <c r="E512" s="80" t="b">
        <v>0</v>
      </c>
      <c r="F512" s="80" t="b">
        <v>0</v>
      </c>
      <c r="G512" s="80" t="b">
        <v>0</v>
      </c>
    </row>
    <row r="513" spans="1:7" ht="15">
      <c r="A513" s="81" t="s">
        <v>3216</v>
      </c>
      <c r="B513" s="80">
        <v>2</v>
      </c>
      <c r="C513" s="107">
        <v>0.0080052667196499</v>
      </c>
      <c r="D513" s="80" t="s">
        <v>3020</v>
      </c>
      <c r="E513" s="80" t="b">
        <v>0</v>
      </c>
      <c r="F513" s="80" t="b">
        <v>0</v>
      </c>
      <c r="G513" s="80" t="b">
        <v>0</v>
      </c>
    </row>
    <row r="514" spans="1:7" ht="15">
      <c r="A514" s="81" t="s">
        <v>3083</v>
      </c>
      <c r="B514" s="80">
        <v>2</v>
      </c>
      <c r="C514" s="107">
        <v>0.0080052667196499</v>
      </c>
      <c r="D514" s="80" t="s">
        <v>3020</v>
      </c>
      <c r="E514" s="80" t="b">
        <v>0</v>
      </c>
      <c r="F514" s="80" t="b">
        <v>0</v>
      </c>
      <c r="G514" s="80" t="b">
        <v>0</v>
      </c>
    </row>
    <row r="515" spans="1:7" ht="15">
      <c r="A515" s="81" t="s">
        <v>3091</v>
      </c>
      <c r="B515" s="80">
        <v>2</v>
      </c>
      <c r="C515" s="107">
        <v>0.010277191215227115</v>
      </c>
      <c r="D515" s="80" t="s">
        <v>3020</v>
      </c>
      <c r="E515" s="80" t="b">
        <v>1</v>
      </c>
      <c r="F515" s="80" t="b">
        <v>0</v>
      </c>
      <c r="G515" s="80" t="b">
        <v>0</v>
      </c>
    </row>
    <row r="516" spans="1:7" ht="15">
      <c r="A516" s="81" t="s">
        <v>3124</v>
      </c>
      <c r="B516" s="80">
        <v>2</v>
      </c>
      <c r="C516" s="107">
        <v>0.010277191215227115</v>
      </c>
      <c r="D516" s="80" t="s">
        <v>3020</v>
      </c>
      <c r="E516" s="80" t="b">
        <v>0</v>
      </c>
      <c r="F516" s="80" t="b">
        <v>0</v>
      </c>
      <c r="G516" s="80" t="b">
        <v>0</v>
      </c>
    </row>
    <row r="517" spans="1:7" ht="15">
      <c r="A517" s="81" t="s">
        <v>3214</v>
      </c>
      <c r="B517" s="80">
        <v>2</v>
      </c>
      <c r="C517" s="107">
        <v>0.010277191215227115</v>
      </c>
      <c r="D517" s="80" t="s">
        <v>3020</v>
      </c>
      <c r="E517" s="80" t="b">
        <v>0</v>
      </c>
      <c r="F517" s="80" t="b">
        <v>0</v>
      </c>
      <c r="G517" s="80" t="b">
        <v>0</v>
      </c>
    </row>
    <row r="518" spans="1:7" ht="15">
      <c r="A518" s="81" t="s">
        <v>3205</v>
      </c>
      <c r="B518" s="80">
        <v>2</v>
      </c>
      <c r="C518" s="107">
        <v>0.0080052667196499</v>
      </c>
      <c r="D518" s="80" t="s">
        <v>3020</v>
      </c>
      <c r="E518" s="80" t="b">
        <v>0</v>
      </c>
      <c r="F518" s="80" t="b">
        <v>0</v>
      </c>
      <c r="G518" s="80" t="b">
        <v>0</v>
      </c>
    </row>
    <row r="519" spans="1:7" ht="15">
      <c r="A519" s="81" t="s">
        <v>3112</v>
      </c>
      <c r="B519" s="80">
        <v>2</v>
      </c>
      <c r="C519" s="107">
        <v>0.0080052667196499</v>
      </c>
      <c r="D519" s="80" t="s">
        <v>3020</v>
      </c>
      <c r="E519" s="80" t="b">
        <v>0</v>
      </c>
      <c r="F519" s="80" t="b">
        <v>0</v>
      </c>
      <c r="G519" s="80" t="b">
        <v>0</v>
      </c>
    </row>
    <row r="520" spans="1:7" ht="15">
      <c r="A520" s="81" t="s">
        <v>3121</v>
      </c>
      <c r="B520" s="80">
        <v>2</v>
      </c>
      <c r="C520" s="107">
        <v>0.0080052667196499</v>
      </c>
      <c r="D520" s="80" t="s">
        <v>3020</v>
      </c>
      <c r="E520" s="80" t="b">
        <v>0</v>
      </c>
      <c r="F520" s="80" t="b">
        <v>0</v>
      </c>
      <c r="G520" s="80" t="b">
        <v>0</v>
      </c>
    </row>
    <row r="521" spans="1:7" ht="15">
      <c r="A521" s="81" t="s">
        <v>3150</v>
      </c>
      <c r="B521" s="80">
        <v>2</v>
      </c>
      <c r="C521" s="107">
        <v>0.010277191215227115</v>
      </c>
      <c r="D521" s="80" t="s">
        <v>3020</v>
      </c>
      <c r="E521" s="80" t="b">
        <v>0</v>
      </c>
      <c r="F521" s="80" t="b">
        <v>0</v>
      </c>
      <c r="G521" s="80" t="b">
        <v>0</v>
      </c>
    </row>
    <row r="522" spans="1:7" ht="15">
      <c r="A522" s="81" t="s">
        <v>3188</v>
      </c>
      <c r="B522" s="80">
        <v>2</v>
      </c>
      <c r="C522" s="107">
        <v>0.0080052667196499</v>
      </c>
      <c r="D522" s="80" t="s">
        <v>3020</v>
      </c>
      <c r="E522" s="80" t="b">
        <v>0</v>
      </c>
      <c r="F522" s="80" t="b">
        <v>0</v>
      </c>
      <c r="G522" s="80" t="b">
        <v>0</v>
      </c>
    </row>
    <row r="523" spans="1:7" ht="15">
      <c r="A523" s="81" t="s">
        <v>3158</v>
      </c>
      <c r="B523" s="80">
        <v>2</v>
      </c>
      <c r="C523" s="107">
        <v>0.0080052667196499</v>
      </c>
      <c r="D523" s="80" t="s">
        <v>3020</v>
      </c>
      <c r="E523" s="80" t="b">
        <v>0</v>
      </c>
      <c r="F523" s="80" t="b">
        <v>0</v>
      </c>
      <c r="G523" s="80" t="b">
        <v>0</v>
      </c>
    </row>
    <row r="524" spans="1:7" ht="15">
      <c r="A524" s="81" t="s">
        <v>3204</v>
      </c>
      <c r="B524" s="80">
        <v>2</v>
      </c>
      <c r="C524" s="107">
        <v>0.0080052667196499</v>
      </c>
      <c r="D524" s="80" t="s">
        <v>3020</v>
      </c>
      <c r="E524" s="80" t="b">
        <v>0</v>
      </c>
      <c r="F524" s="80" t="b">
        <v>0</v>
      </c>
      <c r="G524" s="80" t="b">
        <v>0</v>
      </c>
    </row>
    <row r="525" spans="1:7" ht="15">
      <c r="A525" s="81" t="s">
        <v>3184</v>
      </c>
      <c r="B525" s="80">
        <v>2</v>
      </c>
      <c r="C525" s="107">
        <v>0.0080052667196499</v>
      </c>
      <c r="D525" s="80" t="s">
        <v>3020</v>
      </c>
      <c r="E525" s="80" t="b">
        <v>0</v>
      </c>
      <c r="F525" s="80" t="b">
        <v>0</v>
      </c>
      <c r="G525" s="80" t="b">
        <v>0</v>
      </c>
    </row>
    <row r="526" spans="1:7" ht="15">
      <c r="A526" s="81" t="s">
        <v>3064</v>
      </c>
      <c r="B526" s="80">
        <v>2</v>
      </c>
      <c r="C526" s="107">
        <v>0.0080052667196499</v>
      </c>
      <c r="D526" s="80" t="s">
        <v>3020</v>
      </c>
      <c r="E526" s="80" t="b">
        <v>0</v>
      </c>
      <c r="F526" s="80" t="b">
        <v>0</v>
      </c>
      <c r="G526" s="80" t="b">
        <v>0</v>
      </c>
    </row>
    <row r="527" spans="1:7" ht="15">
      <c r="A527" s="81" t="s">
        <v>3089</v>
      </c>
      <c r="B527" s="80">
        <v>2</v>
      </c>
      <c r="C527" s="107">
        <v>0.0080052667196499</v>
      </c>
      <c r="D527" s="80" t="s">
        <v>3020</v>
      </c>
      <c r="E527" s="80" t="b">
        <v>0</v>
      </c>
      <c r="F527" s="80" t="b">
        <v>0</v>
      </c>
      <c r="G527" s="80" t="b">
        <v>0</v>
      </c>
    </row>
    <row r="528" spans="1:7" ht="15">
      <c r="A528" s="81" t="s">
        <v>3201</v>
      </c>
      <c r="B528" s="80">
        <v>2</v>
      </c>
      <c r="C528" s="107">
        <v>0.0080052667196499</v>
      </c>
      <c r="D528" s="80" t="s">
        <v>3020</v>
      </c>
      <c r="E528" s="80" t="b">
        <v>0</v>
      </c>
      <c r="F528" s="80" t="b">
        <v>1</v>
      </c>
      <c r="G528" s="80" t="b">
        <v>0</v>
      </c>
    </row>
    <row r="529" spans="1:7" ht="15">
      <c r="A529" s="81" t="s">
        <v>3093</v>
      </c>
      <c r="B529" s="80">
        <v>2</v>
      </c>
      <c r="C529" s="107">
        <v>0.0080052667196499</v>
      </c>
      <c r="D529" s="80" t="s">
        <v>3020</v>
      </c>
      <c r="E529" s="80" t="b">
        <v>0</v>
      </c>
      <c r="F529" s="80" t="b">
        <v>0</v>
      </c>
      <c r="G529" s="80" t="b">
        <v>0</v>
      </c>
    </row>
    <row r="530" spans="1:7" ht="15">
      <c r="A530" s="81" t="s">
        <v>228</v>
      </c>
      <c r="B530" s="80">
        <v>6</v>
      </c>
      <c r="C530" s="107">
        <v>0.00917994825998716</v>
      </c>
      <c r="D530" s="80" t="s">
        <v>3022</v>
      </c>
      <c r="E530" s="80" t="b">
        <v>0</v>
      </c>
      <c r="F530" s="80" t="b">
        <v>0</v>
      </c>
      <c r="G530" s="80" t="b">
        <v>0</v>
      </c>
    </row>
    <row r="531" spans="1:7" ht="15">
      <c r="A531" s="81" t="s">
        <v>3064</v>
      </c>
      <c r="B531" s="80">
        <v>4</v>
      </c>
      <c r="C531" s="107">
        <v>0.01928193115409707</v>
      </c>
      <c r="D531" s="80" t="s">
        <v>3022</v>
      </c>
      <c r="E531" s="80" t="b">
        <v>0</v>
      </c>
      <c r="F531" s="80" t="b">
        <v>0</v>
      </c>
      <c r="G531" s="80" t="b">
        <v>0</v>
      </c>
    </row>
    <row r="532" spans="1:7" ht="15">
      <c r="A532" s="81" t="s">
        <v>3061</v>
      </c>
      <c r="B532" s="80">
        <v>4</v>
      </c>
      <c r="C532" s="107">
        <v>0.010977655411642416</v>
      </c>
      <c r="D532" s="80" t="s">
        <v>3022</v>
      </c>
      <c r="E532" s="80" t="b">
        <v>0</v>
      </c>
      <c r="F532" s="80" t="b">
        <v>0</v>
      </c>
      <c r="G532" s="80" t="b">
        <v>0</v>
      </c>
    </row>
    <row r="533" spans="1:7" ht="15">
      <c r="A533" s="81" t="s">
        <v>3075</v>
      </c>
      <c r="B533" s="80">
        <v>3</v>
      </c>
      <c r="C533" s="107">
        <v>0.010818180936834572</v>
      </c>
      <c r="D533" s="80" t="s">
        <v>3022</v>
      </c>
      <c r="E533" s="80" t="b">
        <v>0</v>
      </c>
      <c r="F533" s="80" t="b">
        <v>0</v>
      </c>
      <c r="G533" s="80" t="b">
        <v>0</v>
      </c>
    </row>
    <row r="534" spans="1:7" ht="15">
      <c r="A534" s="81" t="s">
        <v>3104</v>
      </c>
      <c r="B534" s="80">
        <v>3</v>
      </c>
      <c r="C534" s="107">
        <v>0.010818180936834572</v>
      </c>
      <c r="D534" s="80" t="s">
        <v>3022</v>
      </c>
      <c r="E534" s="80" t="b">
        <v>0</v>
      </c>
      <c r="F534" s="80" t="b">
        <v>0</v>
      </c>
      <c r="G534" s="80" t="b">
        <v>0</v>
      </c>
    </row>
    <row r="535" spans="1:7" ht="15">
      <c r="A535" s="81" t="s">
        <v>3073</v>
      </c>
      <c r="B535" s="80">
        <v>2</v>
      </c>
      <c r="C535" s="107">
        <v>0.009640965577048535</v>
      </c>
      <c r="D535" s="80" t="s">
        <v>3022</v>
      </c>
      <c r="E535" s="80" t="b">
        <v>0</v>
      </c>
      <c r="F535" s="80" t="b">
        <v>0</v>
      </c>
      <c r="G535" s="80" t="b">
        <v>0</v>
      </c>
    </row>
    <row r="536" spans="1:7" ht="15">
      <c r="A536" s="81" t="s">
        <v>3213</v>
      </c>
      <c r="B536" s="80">
        <v>2</v>
      </c>
      <c r="C536" s="107">
        <v>0.009640965577048535</v>
      </c>
      <c r="D536" s="80" t="s">
        <v>3022</v>
      </c>
      <c r="E536" s="80" t="b">
        <v>0</v>
      </c>
      <c r="F536" s="80" t="b">
        <v>0</v>
      </c>
      <c r="G536" s="80" t="b">
        <v>0</v>
      </c>
    </row>
    <row r="537" spans="1:7" ht="15">
      <c r="A537" s="81" t="s">
        <v>3110</v>
      </c>
      <c r="B537" s="80">
        <v>2</v>
      </c>
      <c r="C537" s="107">
        <v>0.013793103448275862</v>
      </c>
      <c r="D537" s="80" t="s">
        <v>3022</v>
      </c>
      <c r="E537" s="80" t="b">
        <v>0</v>
      </c>
      <c r="F537" s="80" t="b">
        <v>0</v>
      </c>
      <c r="G537" s="80" t="b">
        <v>0</v>
      </c>
    </row>
    <row r="538" spans="1:7" ht="15">
      <c r="A538" s="81" t="s">
        <v>3131</v>
      </c>
      <c r="B538" s="80">
        <v>2</v>
      </c>
      <c r="C538" s="107">
        <v>0.013793103448275862</v>
      </c>
      <c r="D538" s="80" t="s">
        <v>3022</v>
      </c>
      <c r="E538" s="80" t="b">
        <v>0</v>
      </c>
      <c r="F538" s="80" t="b">
        <v>0</v>
      </c>
      <c r="G538" s="80" t="b">
        <v>0</v>
      </c>
    </row>
    <row r="539" spans="1:7" ht="15">
      <c r="A539" s="81" t="s">
        <v>3072</v>
      </c>
      <c r="B539" s="80">
        <v>2</v>
      </c>
      <c r="C539" s="107">
        <v>0.009640965577048535</v>
      </c>
      <c r="D539" s="80" t="s">
        <v>3022</v>
      </c>
      <c r="E539" s="80" t="b">
        <v>0</v>
      </c>
      <c r="F539" s="80" t="b">
        <v>0</v>
      </c>
      <c r="G539" s="80" t="b">
        <v>0</v>
      </c>
    </row>
    <row r="540" spans="1:7" ht="15">
      <c r="A540" s="81" t="s">
        <v>3187</v>
      </c>
      <c r="B540" s="80">
        <v>2</v>
      </c>
      <c r="C540" s="107">
        <v>0.013793103448275862</v>
      </c>
      <c r="D540" s="80" t="s">
        <v>3022</v>
      </c>
      <c r="E540" s="80" t="b">
        <v>0</v>
      </c>
      <c r="F540" s="80" t="b">
        <v>0</v>
      </c>
      <c r="G540" s="80" t="b">
        <v>0</v>
      </c>
    </row>
    <row r="541" spans="1:7" ht="15">
      <c r="A541" s="81" t="s">
        <v>3066</v>
      </c>
      <c r="B541" s="80">
        <v>2</v>
      </c>
      <c r="C541" s="107">
        <v>0.009640965577048535</v>
      </c>
      <c r="D541" s="80" t="s">
        <v>3022</v>
      </c>
      <c r="E541" s="80" t="b">
        <v>0</v>
      </c>
      <c r="F541" s="80" t="b">
        <v>0</v>
      </c>
      <c r="G541" s="80" t="b">
        <v>0</v>
      </c>
    </row>
    <row r="542" spans="1:7" ht="15">
      <c r="A542" s="81" t="s">
        <v>3155</v>
      </c>
      <c r="B542" s="80">
        <v>2</v>
      </c>
      <c r="C542" s="107">
        <v>0.009640965577048535</v>
      </c>
      <c r="D542" s="80" t="s">
        <v>3022</v>
      </c>
      <c r="E542" s="80" t="b">
        <v>0</v>
      </c>
      <c r="F542" s="80" t="b">
        <v>0</v>
      </c>
      <c r="G542" s="80" t="b">
        <v>0</v>
      </c>
    </row>
    <row r="543" spans="1:7" ht="15">
      <c r="A543" s="81" t="s">
        <v>3212</v>
      </c>
      <c r="B543" s="80">
        <v>2</v>
      </c>
      <c r="C543" s="107">
        <v>0.009640965577048535</v>
      </c>
      <c r="D543" s="80" t="s">
        <v>3022</v>
      </c>
      <c r="E543" s="80" t="b">
        <v>0</v>
      </c>
      <c r="F543" s="80" t="b">
        <v>0</v>
      </c>
      <c r="G543" s="80" t="b">
        <v>0</v>
      </c>
    </row>
    <row r="544" spans="1:7" ht="15">
      <c r="A544" s="81" t="s">
        <v>3151</v>
      </c>
      <c r="B544" s="80">
        <v>2</v>
      </c>
      <c r="C544" s="107">
        <v>0.013793103448275862</v>
      </c>
      <c r="D544" s="80" t="s">
        <v>3022</v>
      </c>
      <c r="E544" s="80" t="b">
        <v>0</v>
      </c>
      <c r="F544" s="80" t="b">
        <v>0</v>
      </c>
      <c r="G544" s="80" t="b">
        <v>0</v>
      </c>
    </row>
    <row r="545" spans="1:7" ht="15">
      <c r="A545" s="81" t="s">
        <v>3076</v>
      </c>
      <c r="B545" s="80">
        <v>2</v>
      </c>
      <c r="C545" s="107">
        <v>0.009640965577048535</v>
      </c>
      <c r="D545" s="80" t="s">
        <v>3022</v>
      </c>
      <c r="E545" s="80" t="b">
        <v>0</v>
      </c>
      <c r="F545" s="80" t="b">
        <v>0</v>
      </c>
      <c r="G545" s="80" t="b">
        <v>0</v>
      </c>
    </row>
    <row r="546" spans="1:7" ht="15">
      <c r="A546" s="81" t="s">
        <v>3192</v>
      </c>
      <c r="B546" s="80">
        <v>2</v>
      </c>
      <c r="C546" s="107">
        <v>0.013683181621090055</v>
      </c>
      <c r="D546" s="80" t="s">
        <v>3023</v>
      </c>
      <c r="E546" s="80" t="b">
        <v>0</v>
      </c>
      <c r="F546" s="80" t="b">
        <v>0</v>
      </c>
      <c r="G546" s="80" t="b">
        <v>0</v>
      </c>
    </row>
    <row r="547" spans="1:7" ht="15">
      <c r="A547" s="81" t="s">
        <v>3210</v>
      </c>
      <c r="B547" s="80">
        <v>2</v>
      </c>
      <c r="C547" s="107">
        <v>0.013683181621090055</v>
      </c>
      <c r="D547" s="80" t="s">
        <v>3023</v>
      </c>
      <c r="E547" s="80" t="b">
        <v>0</v>
      </c>
      <c r="F547" s="80" t="b">
        <v>0</v>
      </c>
      <c r="G547" s="80" t="b">
        <v>0</v>
      </c>
    </row>
    <row r="548" spans="1:7" ht="15">
      <c r="A548" s="81" t="s">
        <v>228</v>
      </c>
      <c r="B548" s="80">
        <v>2</v>
      </c>
      <c r="C548" s="107">
        <v>0</v>
      </c>
      <c r="D548" s="80" t="s">
        <v>3023</v>
      </c>
      <c r="E548" s="80" t="b">
        <v>0</v>
      </c>
      <c r="F548" s="80" t="b">
        <v>0</v>
      </c>
      <c r="G548" s="80" t="b">
        <v>0</v>
      </c>
    </row>
    <row r="549" spans="1:7" ht="15">
      <c r="A549" s="81" t="s">
        <v>3153</v>
      </c>
      <c r="B549" s="80">
        <v>2</v>
      </c>
      <c r="C549" s="107">
        <v>0.013683181621090055</v>
      </c>
      <c r="D549" s="80" t="s">
        <v>3023</v>
      </c>
      <c r="E549" s="80" t="b">
        <v>0</v>
      </c>
      <c r="F549" s="80" t="b">
        <v>0</v>
      </c>
      <c r="G549" s="80" t="b">
        <v>0</v>
      </c>
    </row>
    <row r="550" spans="1:7" ht="15">
      <c r="A550" s="81" t="s">
        <v>3221</v>
      </c>
      <c r="B550" s="80">
        <v>2</v>
      </c>
      <c r="C550" s="107">
        <v>0</v>
      </c>
      <c r="D550" s="80" t="s">
        <v>3025</v>
      </c>
      <c r="E550" s="80" t="b">
        <v>0</v>
      </c>
      <c r="F550" s="80" t="b">
        <v>0</v>
      </c>
      <c r="G550"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99E4F-8550-4DB2-97CB-6CB9517CD91E}">
  <dimension ref="A1:L2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3233</v>
      </c>
      <c r="B1" s="7" t="s">
        <v>3234</v>
      </c>
      <c r="C1" s="7" t="s">
        <v>3224</v>
      </c>
      <c r="D1" s="7" t="s">
        <v>3228</v>
      </c>
      <c r="E1" s="7" t="s">
        <v>3235</v>
      </c>
      <c r="F1" s="7" t="s">
        <v>144</v>
      </c>
      <c r="G1" s="7" t="s">
        <v>3236</v>
      </c>
      <c r="H1" s="7" t="s">
        <v>3237</v>
      </c>
      <c r="I1" s="7" t="s">
        <v>3238</v>
      </c>
      <c r="J1" s="7" t="s">
        <v>3239</v>
      </c>
      <c r="K1" s="7" t="s">
        <v>3240</v>
      </c>
      <c r="L1" s="7" t="s">
        <v>3241</v>
      </c>
    </row>
    <row r="2" spans="1:12" ht="15">
      <c r="A2" s="80" t="s">
        <v>3052</v>
      </c>
      <c r="B2" s="80" t="s">
        <v>3053</v>
      </c>
      <c r="C2" s="80">
        <v>23</v>
      </c>
      <c r="D2" s="107">
        <v>0.008118311844256673</v>
      </c>
      <c r="E2" s="107">
        <v>1.90759048821862</v>
      </c>
      <c r="F2" s="80" t="s">
        <v>3229</v>
      </c>
      <c r="G2" s="80" t="b">
        <v>1</v>
      </c>
      <c r="H2" s="80" t="b">
        <v>0</v>
      </c>
      <c r="I2" s="80" t="b">
        <v>0</v>
      </c>
      <c r="J2" s="80" t="b">
        <v>0</v>
      </c>
      <c r="K2" s="80" t="b">
        <v>0</v>
      </c>
      <c r="L2" s="80" t="b">
        <v>0</v>
      </c>
    </row>
    <row r="3" spans="1:12" ht="15">
      <c r="A3" s="81" t="s">
        <v>533</v>
      </c>
      <c r="B3" s="80" t="s">
        <v>532</v>
      </c>
      <c r="C3" s="80">
        <v>14</v>
      </c>
      <c r="D3" s="107">
        <v>0.006404691740502298</v>
      </c>
      <c r="E3" s="107">
        <v>2.0817472474971015</v>
      </c>
      <c r="F3" s="80" t="s">
        <v>3229</v>
      </c>
      <c r="G3" s="80" t="b">
        <v>0</v>
      </c>
      <c r="H3" s="80" t="b">
        <v>0</v>
      </c>
      <c r="I3" s="80" t="b">
        <v>0</v>
      </c>
      <c r="J3" s="80" t="b">
        <v>0</v>
      </c>
      <c r="K3" s="80" t="b">
        <v>0</v>
      </c>
      <c r="L3" s="80" t="b">
        <v>0</v>
      </c>
    </row>
    <row r="4" spans="1:12" ht="15">
      <c r="A4" s="81" t="s">
        <v>530</v>
      </c>
      <c r="B4" s="80" t="s">
        <v>529</v>
      </c>
      <c r="C4" s="80">
        <v>12</v>
      </c>
      <c r="D4" s="107">
        <v>0.005879149968347686</v>
      </c>
      <c r="E4" s="107">
        <v>2.1117104708745447</v>
      </c>
      <c r="F4" s="80" t="s">
        <v>3229</v>
      </c>
      <c r="G4" s="80" t="b">
        <v>0</v>
      </c>
      <c r="H4" s="80" t="b">
        <v>0</v>
      </c>
      <c r="I4" s="80" t="b">
        <v>0</v>
      </c>
      <c r="J4" s="80" t="b">
        <v>0</v>
      </c>
      <c r="K4" s="80" t="b">
        <v>0</v>
      </c>
      <c r="L4" s="80" t="b">
        <v>0</v>
      </c>
    </row>
    <row r="5" spans="1:12" ht="15">
      <c r="A5" s="81" t="s">
        <v>538</v>
      </c>
      <c r="B5" s="80" t="s">
        <v>537</v>
      </c>
      <c r="C5" s="80">
        <v>12</v>
      </c>
      <c r="D5" s="107">
        <v>0.005879149968347686</v>
      </c>
      <c r="E5" s="107">
        <v>2.1117104708745447</v>
      </c>
      <c r="F5" s="80" t="s">
        <v>3229</v>
      </c>
      <c r="G5" s="80" t="b">
        <v>0</v>
      </c>
      <c r="H5" s="80" t="b">
        <v>0</v>
      </c>
      <c r="I5" s="80" t="b">
        <v>0</v>
      </c>
      <c r="J5" s="80" t="b">
        <v>0</v>
      </c>
      <c r="K5" s="80" t="b">
        <v>0</v>
      </c>
      <c r="L5" s="80" t="b">
        <v>0</v>
      </c>
    </row>
    <row r="6" spans="1:12" ht="15">
      <c r="A6" s="81" t="s">
        <v>532</v>
      </c>
      <c r="B6" s="80" t="s">
        <v>531</v>
      </c>
      <c r="C6" s="80">
        <v>11</v>
      </c>
      <c r="D6" s="107">
        <v>0.005590710949633011</v>
      </c>
      <c r="E6" s="107">
        <v>2.141673694251988</v>
      </c>
      <c r="F6" s="80" t="s">
        <v>3229</v>
      </c>
      <c r="G6" s="80" t="b">
        <v>0</v>
      </c>
      <c r="H6" s="80" t="b">
        <v>0</v>
      </c>
      <c r="I6" s="80" t="b">
        <v>0</v>
      </c>
      <c r="J6" s="80" t="b">
        <v>0</v>
      </c>
      <c r="K6" s="80" t="b">
        <v>0</v>
      </c>
      <c r="L6" s="80" t="b">
        <v>0</v>
      </c>
    </row>
    <row r="7" spans="1:12" ht="15">
      <c r="A7" s="81" t="s">
        <v>531</v>
      </c>
      <c r="B7" s="80" t="s">
        <v>530</v>
      </c>
      <c r="C7" s="80">
        <v>10</v>
      </c>
      <c r="D7" s="107">
        <v>0.005283107665726602</v>
      </c>
      <c r="E7" s="107">
        <v>2.167227798724376</v>
      </c>
      <c r="F7" s="80" t="s">
        <v>3229</v>
      </c>
      <c r="G7" s="80" t="b">
        <v>0</v>
      </c>
      <c r="H7" s="80" t="b">
        <v>0</v>
      </c>
      <c r="I7" s="80" t="b">
        <v>0</v>
      </c>
      <c r="J7" s="80" t="b">
        <v>0</v>
      </c>
      <c r="K7" s="80" t="b">
        <v>0</v>
      </c>
      <c r="L7" s="80" t="b">
        <v>0</v>
      </c>
    </row>
    <row r="8" spans="1:12" ht="15">
      <c r="A8" s="81" t="s">
        <v>529</v>
      </c>
      <c r="B8" s="80" t="s">
        <v>528</v>
      </c>
      <c r="C8" s="80">
        <v>10</v>
      </c>
      <c r="D8" s="107">
        <v>0.005283107665726602</v>
      </c>
      <c r="E8" s="107">
        <v>2.1117104708745447</v>
      </c>
      <c r="F8" s="80" t="s">
        <v>3229</v>
      </c>
      <c r="G8" s="80" t="b">
        <v>0</v>
      </c>
      <c r="H8" s="80" t="b">
        <v>0</v>
      </c>
      <c r="I8" s="80" t="b">
        <v>0</v>
      </c>
      <c r="J8" s="80" t="b">
        <v>0</v>
      </c>
      <c r="K8" s="80" t="b">
        <v>0</v>
      </c>
      <c r="L8" s="80" t="b">
        <v>0</v>
      </c>
    </row>
    <row r="9" spans="1:12" ht="15">
      <c r="A9" s="81" t="s">
        <v>528</v>
      </c>
      <c r="B9" s="80" t="s">
        <v>228</v>
      </c>
      <c r="C9" s="80">
        <v>10</v>
      </c>
      <c r="D9" s="107">
        <v>0.005283107665726602</v>
      </c>
      <c r="E9" s="107">
        <v>1.2707683906314458</v>
      </c>
      <c r="F9" s="80" t="s">
        <v>3229</v>
      </c>
      <c r="G9" s="80" t="b">
        <v>0</v>
      </c>
      <c r="H9" s="80" t="b">
        <v>0</v>
      </c>
      <c r="I9" s="80" t="b">
        <v>0</v>
      </c>
      <c r="J9" s="80" t="b">
        <v>0</v>
      </c>
      <c r="K9" s="80" t="b">
        <v>0</v>
      </c>
      <c r="L9" s="80" t="b">
        <v>0</v>
      </c>
    </row>
    <row r="10" spans="1:12" ht="15">
      <c r="A10" s="81" t="s">
        <v>534</v>
      </c>
      <c r="B10" s="80" t="s">
        <v>533</v>
      </c>
      <c r="C10" s="80">
        <v>9</v>
      </c>
      <c r="D10" s="107">
        <v>0.004954417555986746</v>
      </c>
      <c r="E10" s="107">
        <v>2.06595298031387</v>
      </c>
      <c r="F10" s="80" t="s">
        <v>3229</v>
      </c>
      <c r="G10" s="80" t="b">
        <v>0</v>
      </c>
      <c r="H10" s="80" t="b">
        <v>0</v>
      </c>
      <c r="I10" s="80" t="b">
        <v>0</v>
      </c>
      <c r="J10" s="80" t="b">
        <v>0</v>
      </c>
      <c r="K10" s="80" t="b">
        <v>0</v>
      </c>
      <c r="L10" s="80" t="b">
        <v>0</v>
      </c>
    </row>
    <row r="11" spans="1:12" ht="15">
      <c r="A11" s="81" t="s">
        <v>535</v>
      </c>
      <c r="B11" s="80" t="s">
        <v>534</v>
      </c>
      <c r="C11" s="80">
        <v>9</v>
      </c>
      <c r="D11" s="107">
        <v>0.004954417555986746</v>
      </c>
      <c r="E11" s="107">
        <v>2.06595298031387</v>
      </c>
      <c r="F11" s="80" t="s">
        <v>3229</v>
      </c>
      <c r="G11" s="80" t="b">
        <v>0</v>
      </c>
      <c r="H11" s="80" t="b">
        <v>0</v>
      </c>
      <c r="I11" s="80" t="b">
        <v>0</v>
      </c>
      <c r="J11" s="80" t="b">
        <v>0</v>
      </c>
      <c r="K11" s="80" t="b">
        <v>0</v>
      </c>
      <c r="L11" s="80" t="b">
        <v>0</v>
      </c>
    </row>
    <row r="12" spans="1:12" ht="15">
      <c r="A12" s="81" t="s">
        <v>3056</v>
      </c>
      <c r="B12" s="80" t="s">
        <v>3054</v>
      </c>
      <c r="C12" s="80">
        <v>8</v>
      </c>
      <c r="D12" s="107">
        <v>0.00810433392705535</v>
      </c>
      <c r="E12" s="107">
        <v>1.9356192118188635</v>
      </c>
      <c r="F12" s="80" t="s">
        <v>3229</v>
      </c>
      <c r="G12" s="80" t="b">
        <v>0</v>
      </c>
      <c r="H12" s="80" t="b">
        <v>0</v>
      </c>
      <c r="I12" s="80" t="b">
        <v>0</v>
      </c>
      <c r="J12" s="80" t="b">
        <v>0</v>
      </c>
      <c r="K12" s="80" t="b">
        <v>0</v>
      </c>
      <c r="L12" s="80" t="b">
        <v>0</v>
      </c>
    </row>
    <row r="13" spans="1:12" ht="15">
      <c r="A13" s="81" t="s">
        <v>537</v>
      </c>
      <c r="B13" s="80" t="s">
        <v>536</v>
      </c>
      <c r="C13" s="80">
        <v>7</v>
      </c>
      <c r="D13" s="107">
        <v>0.004223775811912743</v>
      </c>
      <c r="E13" s="107">
        <v>2.2086204838826013</v>
      </c>
      <c r="F13" s="80" t="s">
        <v>3229</v>
      </c>
      <c r="G13" s="80" t="b">
        <v>0</v>
      </c>
      <c r="H13" s="80" t="b">
        <v>0</v>
      </c>
      <c r="I13" s="80" t="b">
        <v>0</v>
      </c>
      <c r="J13" s="80" t="b">
        <v>0</v>
      </c>
      <c r="K13" s="80" t="b">
        <v>0</v>
      </c>
      <c r="L13" s="80" t="b">
        <v>0</v>
      </c>
    </row>
    <row r="14" spans="1:12" ht="15">
      <c r="A14" s="81" t="s">
        <v>536</v>
      </c>
      <c r="B14" s="80" t="s">
        <v>535</v>
      </c>
      <c r="C14" s="80">
        <v>7</v>
      </c>
      <c r="D14" s="107">
        <v>0.004223775811912743</v>
      </c>
      <c r="E14" s="107">
        <v>2.1117104708745447</v>
      </c>
      <c r="F14" s="80" t="s">
        <v>3229</v>
      </c>
      <c r="G14" s="80" t="b">
        <v>0</v>
      </c>
      <c r="H14" s="80" t="b">
        <v>0</v>
      </c>
      <c r="I14" s="80" t="b">
        <v>0</v>
      </c>
      <c r="J14" s="80" t="b">
        <v>0</v>
      </c>
      <c r="K14" s="80" t="b">
        <v>0</v>
      </c>
      <c r="L14" s="80" t="b">
        <v>0</v>
      </c>
    </row>
    <row r="15" spans="1:12" ht="15">
      <c r="A15" s="81" t="s">
        <v>300</v>
      </c>
      <c r="B15" s="80" t="s">
        <v>228</v>
      </c>
      <c r="C15" s="80">
        <v>6</v>
      </c>
      <c r="D15" s="107">
        <v>0.0038150863627409233</v>
      </c>
      <c r="E15" s="107">
        <v>1.1458296540231456</v>
      </c>
      <c r="F15" s="80" t="s">
        <v>3229</v>
      </c>
      <c r="G15" s="80" t="b">
        <v>0</v>
      </c>
      <c r="H15" s="80" t="b">
        <v>0</v>
      </c>
      <c r="I15" s="80" t="b">
        <v>0</v>
      </c>
      <c r="J15" s="80" t="b">
        <v>0</v>
      </c>
      <c r="K15" s="80" t="b">
        <v>0</v>
      </c>
      <c r="L15" s="80" t="b">
        <v>0</v>
      </c>
    </row>
    <row r="16" spans="1:12" ht="15">
      <c r="A16" s="81" t="s">
        <v>255</v>
      </c>
      <c r="B16" s="80" t="s">
        <v>301</v>
      </c>
      <c r="C16" s="80">
        <v>6</v>
      </c>
      <c r="D16" s="107">
        <v>0.0038150863627409233</v>
      </c>
      <c r="E16" s="107">
        <v>2.3847117429382823</v>
      </c>
      <c r="F16" s="80" t="s">
        <v>3229</v>
      </c>
      <c r="G16" s="80" t="b">
        <v>0</v>
      </c>
      <c r="H16" s="80" t="b">
        <v>0</v>
      </c>
      <c r="I16" s="80" t="b">
        <v>0</v>
      </c>
      <c r="J16" s="80" t="b">
        <v>0</v>
      </c>
      <c r="K16" s="80" t="b">
        <v>0</v>
      </c>
      <c r="L16" s="80" t="b">
        <v>0</v>
      </c>
    </row>
    <row r="17" spans="1:12" ht="15">
      <c r="A17" s="81" t="s">
        <v>302</v>
      </c>
      <c r="B17" s="80" t="s">
        <v>255</v>
      </c>
      <c r="C17" s="80">
        <v>6</v>
      </c>
      <c r="D17" s="107">
        <v>0.0038150863627409233</v>
      </c>
      <c r="E17" s="107">
        <v>2.3847117429382823</v>
      </c>
      <c r="F17" s="80" t="s">
        <v>3229</v>
      </c>
      <c r="G17" s="80" t="b">
        <v>0</v>
      </c>
      <c r="H17" s="80" t="b">
        <v>0</v>
      </c>
      <c r="I17" s="80" t="b">
        <v>0</v>
      </c>
      <c r="J17" s="80" t="b">
        <v>0</v>
      </c>
      <c r="K17" s="80" t="b">
        <v>0</v>
      </c>
      <c r="L17" s="80" t="b">
        <v>0</v>
      </c>
    </row>
    <row r="18" spans="1:12" ht="15">
      <c r="A18" s="81" t="s">
        <v>228</v>
      </c>
      <c r="B18" s="80" t="s">
        <v>527</v>
      </c>
      <c r="C18" s="80">
        <v>6</v>
      </c>
      <c r="D18" s="107">
        <v>0.0038150863627409233</v>
      </c>
      <c r="E18" s="107">
        <v>1.3100781246413782</v>
      </c>
      <c r="F18" s="80" t="s">
        <v>3229</v>
      </c>
      <c r="G18" s="80" t="b">
        <v>0</v>
      </c>
      <c r="H18" s="80" t="b">
        <v>0</v>
      </c>
      <c r="I18" s="80" t="b">
        <v>0</v>
      </c>
      <c r="J18" s="80" t="b">
        <v>0</v>
      </c>
      <c r="K18" s="80" t="b">
        <v>0</v>
      </c>
      <c r="L18" s="80" t="b">
        <v>0</v>
      </c>
    </row>
    <row r="19" spans="1:12" ht="15">
      <c r="A19" s="81" t="s">
        <v>535</v>
      </c>
      <c r="B19" s="80" t="s">
        <v>533</v>
      </c>
      <c r="C19" s="80">
        <v>6</v>
      </c>
      <c r="D19" s="107">
        <v>0.0038150863627409233</v>
      </c>
      <c r="E19" s="107">
        <v>1.7137704622025072</v>
      </c>
      <c r="F19" s="80" t="s">
        <v>3229</v>
      </c>
      <c r="G19" s="80" t="b">
        <v>0</v>
      </c>
      <c r="H19" s="80" t="b">
        <v>0</v>
      </c>
      <c r="I19" s="80" t="b">
        <v>0</v>
      </c>
      <c r="J19" s="80" t="b">
        <v>0</v>
      </c>
      <c r="K19" s="80" t="b">
        <v>0</v>
      </c>
      <c r="L19" s="80" t="b">
        <v>0</v>
      </c>
    </row>
    <row r="20" spans="1:12" ht="15">
      <c r="A20" s="81" t="s">
        <v>527</v>
      </c>
      <c r="B20" s="80" t="s">
        <v>526</v>
      </c>
      <c r="C20" s="80">
        <v>6</v>
      </c>
      <c r="D20" s="107">
        <v>0.0038150863627409233</v>
      </c>
      <c r="E20" s="107">
        <v>2.442703689915969</v>
      </c>
      <c r="F20" s="80" t="s">
        <v>3229</v>
      </c>
      <c r="G20" s="80" t="b">
        <v>0</v>
      </c>
      <c r="H20" s="80" t="b">
        <v>0</v>
      </c>
      <c r="I20" s="80" t="b">
        <v>0</v>
      </c>
      <c r="J20" s="80" t="b">
        <v>0</v>
      </c>
      <c r="K20" s="80" t="b">
        <v>0</v>
      </c>
      <c r="L20" s="80" t="b">
        <v>0</v>
      </c>
    </row>
    <row r="21" spans="1:12" ht="15">
      <c r="A21" s="81" t="s">
        <v>301</v>
      </c>
      <c r="B21" s="80" t="s">
        <v>300</v>
      </c>
      <c r="C21" s="80">
        <v>6</v>
      </c>
      <c r="D21" s="107">
        <v>0.0038150863627409233</v>
      </c>
      <c r="E21" s="107">
        <v>2.442703689915969</v>
      </c>
      <c r="F21" s="80" t="s">
        <v>3229</v>
      </c>
      <c r="G21" s="80" t="b">
        <v>0</v>
      </c>
      <c r="H21" s="80" t="b">
        <v>0</v>
      </c>
      <c r="I21" s="80" t="b">
        <v>0</v>
      </c>
      <c r="J21" s="80" t="b">
        <v>0</v>
      </c>
      <c r="K21" s="80" t="b">
        <v>0</v>
      </c>
      <c r="L21" s="80" t="b">
        <v>0</v>
      </c>
    </row>
    <row r="22" spans="1:12" ht="15">
      <c r="A22" s="81" t="s">
        <v>296</v>
      </c>
      <c r="B22" s="80" t="s">
        <v>295</v>
      </c>
      <c r="C22" s="80">
        <v>5</v>
      </c>
      <c r="D22" s="107">
        <v>0.003371146648335868</v>
      </c>
      <c r="E22" s="107">
        <v>2.5888317255942073</v>
      </c>
      <c r="F22" s="80" t="s">
        <v>3229</v>
      </c>
      <c r="G22" s="80" t="b">
        <v>0</v>
      </c>
      <c r="H22" s="80" t="b">
        <v>0</v>
      </c>
      <c r="I22" s="80" t="b">
        <v>0</v>
      </c>
      <c r="J22" s="80" t="b">
        <v>0</v>
      </c>
      <c r="K22" s="80" t="b">
        <v>0</v>
      </c>
      <c r="L22" s="80" t="b">
        <v>0</v>
      </c>
    </row>
    <row r="23" spans="1:12" ht="15">
      <c r="A23" s="81" t="s">
        <v>500</v>
      </c>
      <c r="B23" s="80" t="s">
        <v>499</v>
      </c>
      <c r="C23" s="80">
        <v>5</v>
      </c>
      <c r="D23" s="107">
        <v>0.003371146648335868</v>
      </c>
      <c r="E23" s="107">
        <v>2.5888317255942073</v>
      </c>
      <c r="F23" s="80" t="s">
        <v>3229</v>
      </c>
      <c r="G23" s="80" t="b">
        <v>0</v>
      </c>
      <c r="H23" s="80" t="b">
        <v>0</v>
      </c>
      <c r="I23" s="80" t="b">
        <v>0</v>
      </c>
      <c r="J23" s="80" t="b">
        <v>0</v>
      </c>
      <c r="K23" s="80" t="b">
        <v>0</v>
      </c>
      <c r="L23" s="80" t="b">
        <v>0</v>
      </c>
    </row>
    <row r="24" spans="1:12" ht="15">
      <c r="A24" s="81" t="s">
        <v>494</v>
      </c>
      <c r="B24" s="80" t="s">
        <v>493</v>
      </c>
      <c r="C24" s="80">
        <v>5</v>
      </c>
      <c r="D24" s="107">
        <v>0.003371146648335868</v>
      </c>
      <c r="E24" s="107">
        <v>2.5888317255942073</v>
      </c>
      <c r="F24" s="80" t="s">
        <v>3229</v>
      </c>
      <c r="G24" s="80" t="b">
        <v>0</v>
      </c>
      <c r="H24" s="80" t="b">
        <v>0</v>
      </c>
      <c r="I24" s="80" t="b">
        <v>0</v>
      </c>
      <c r="J24" s="80" t="b">
        <v>0</v>
      </c>
      <c r="K24" s="80" t="b">
        <v>0</v>
      </c>
      <c r="L24" s="80" t="b">
        <v>0</v>
      </c>
    </row>
    <row r="25" spans="1:12" ht="15">
      <c r="A25" s="81" t="s">
        <v>295</v>
      </c>
      <c r="B25" s="80" t="s">
        <v>3067</v>
      </c>
      <c r="C25" s="80">
        <v>5</v>
      </c>
      <c r="D25" s="107">
        <v>0.003371146648335868</v>
      </c>
      <c r="E25" s="107">
        <v>2.5888317255942073</v>
      </c>
      <c r="F25" s="80" t="s">
        <v>3229</v>
      </c>
      <c r="G25" s="80" t="b">
        <v>0</v>
      </c>
      <c r="H25" s="80" t="b">
        <v>0</v>
      </c>
      <c r="I25" s="80" t="b">
        <v>0</v>
      </c>
      <c r="J25" s="80" t="b">
        <v>0</v>
      </c>
      <c r="K25" s="80" t="b">
        <v>0</v>
      </c>
      <c r="L25" s="80" t="b">
        <v>0</v>
      </c>
    </row>
    <row r="26" spans="1:12" ht="15">
      <c r="A26" s="81" t="s">
        <v>537</v>
      </c>
      <c r="B26" s="80" t="s">
        <v>535</v>
      </c>
      <c r="C26" s="80">
        <v>5</v>
      </c>
      <c r="D26" s="107">
        <v>0.003371146648335868</v>
      </c>
      <c r="E26" s="107">
        <v>1.7314992291629387</v>
      </c>
      <c r="F26" s="80" t="s">
        <v>3229</v>
      </c>
      <c r="G26" s="80" t="b">
        <v>0</v>
      </c>
      <c r="H26" s="80" t="b">
        <v>0</v>
      </c>
      <c r="I26" s="80" t="b">
        <v>0</v>
      </c>
      <c r="J26" s="80" t="b">
        <v>0</v>
      </c>
      <c r="K26" s="80" t="b">
        <v>0</v>
      </c>
      <c r="L26" s="80" t="b">
        <v>0</v>
      </c>
    </row>
    <row r="27" spans="1:12" ht="15">
      <c r="A27" s="81" t="s">
        <v>298</v>
      </c>
      <c r="B27" s="80" t="s">
        <v>297</v>
      </c>
      <c r="C27" s="80">
        <v>5</v>
      </c>
      <c r="D27" s="107">
        <v>0.003371146648335868</v>
      </c>
      <c r="E27" s="107">
        <v>2.5888317255942073</v>
      </c>
      <c r="F27" s="80" t="s">
        <v>3229</v>
      </c>
      <c r="G27" s="80" t="b">
        <v>0</v>
      </c>
      <c r="H27" s="80" t="b">
        <v>0</v>
      </c>
      <c r="I27" s="80" t="b">
        <v>0</v>
      </c>
      <c r="J27" s="80" t="b">
        <v>0</v>
      </c>
      <c r="K27" s="80" t="b">
        <v>0</v>
      </c>
      <c r="L27" s="80" t="b">
        <v>0</v>
      </c>
    </row>
    <row r="28" spans="1:12" ht="15">
      <c r="A28" s="81" t="s">
        <v>496</v>
      </c>
      <c r="B28" s="80" t="s">
        <v>495</v>
      </c>
      <c r="C28" s="80">
        <v>5</v>
      </c>
      <c r="D28" s="107">
        <v>0.003371146648335868</v>
      </c>
      <c r="E28" s="107">
        <v>2.5888317255942073</v>
      </c>
      <c r="F28" s="80" t="s">
        <v>3229</v>
      </c>
      <c r="G28" s="80" t="b">
        <v>0</v>
      </c>
      <c r="H28" s="80" t="b">
        <v>0</v>
      </c>
      <c r="I28" s="80" t="b">
        <v>0</v>
      </c>
      <c r="J28" s="80" t="b">
        <v>0</v>
      </c>
      <c r="K28" s="80" t="b">
        <v>0</v>
      </c>
      <c r="L28" s="80" t="b">
        <v>0</v>
      </c>
    </row>
    <row r="29" spans="1:12" ht="15">
      <c r="A29" s="81" t="s">
        <v>495</v>
      </c>
      <c r="B29" s="80" t="s">
        <v>228</v>
      </c>
      <c r="C29" s="80">
        <v>5</v>
      </c>
      <c r="D29" s="107">
        <v>0.003371146648335868</v>
      </c>
      <c r="E29" s="107">
        <v>1.2707683906314458</v>
      </c>
      <c r="F29" s="80" t="s">
        <v>3229</v>
      </c>
      <c r="G29" s="80" t="b">
        <v>0</v>
      </c>
      <c r="H29" s="80" t="b">
        <v>0</v>
      </c>
      <c r="I29" s="80" t="b">
        <v>0</v>
      </c>
      <c r="J29" s="80" t="b">
        <v>0</v>
      </c>
      <c r="K29" s="80" t="b">
        <v>0</v>
      </c>
      <c r="L29" s="80" t="b">
        <v>0</v>
      </c>
    </row>
    <row r="30" spans="1:12" ht="15">
      <c r="A30" s="81" t="s">
        <v>228</v>
      </c>
      <c r="B30" s="80" t="s">
        <v>299</v>
      </c>
      <c r="C30" s="80">
        <v>5</v>
      </c>
      <c r="D30" s="107">
        <v>0.003371146648335868</v>
      </c>
      <c r="E30" s="107">
        <v>1.3100781246413784</v>
      </c>
      <c r="F30" s="80" t="s">
        <v>3229</v>
      </c>
      <c r="G30" s="80" t="b">
        <v>0</v>
      </c>
      <c r="H30" s="80" t="b">
        <v>0</v>
      </c>
      <c r="I30" s="80" t="b">
        <v>0</v>
      </c>
      <c r="J30" s="80" t="b">
        <v>0</v>
      </c>
      <c r="K30" s="80" t="b">
        <v>0</v>
      </c>
      <c r="L30" s="80" t="b">
        <v>0</v>
      </c>
    </row>
    <row r="31" spans="1:12" ht="15">
      <c r="A31" s="81" t="s">
        <v>294</v>
      </c>
      <c r="B31" s="80" t="s">
        <v>293</v>
      </c>
      <c r="C31" s="80">
        <v>5</v>
      </c>
      <c r="D31" s="107">
        <v>0.003371146648335868</v>
      </c>
      <c r="E31" s="107">
        <v>2.5888317255942073</v>
      </c>
      <c r="F31" s="80" t="s">
        <v>3229</v>
      </c>
      <c r="G31" s="80" t="b">
        <v>0</v>
      </c>
      <c r="H31" s="80" t="b">
        <v>0</v>
      </c>
      <c r="I31" s="80" t="b">
        <v>0</v>
      </c>
      <c r="J31" s="80" t="b">
        <v>0</v>
      </c>
      <c r="K31" s="80" t="b">
        <v>0</v>
      </c>
      <c r="L31" s="80" t="b">
        <v>0</v>
      </c>
    </row>
    <row r="32" spans="1:12" ht="15">
      <c r="A32" s="81" t="s">
        <v>287</v>
      </c>
      <c r="B32" s="80" t="s">
        <v>286</v>
      </c>
      <c r="C32" s="80">
        <v>5</v>
      </c>
      <c r="D32" s="107">
        <v>0.003371146648335868</v>
      </c>
      <c r="E32" s="107">
        <v>2.5888317255942073</v>
      </c>
      <c r="F32" s="80" t="s">
        <v>3229</v>
      </c>
      <c r="G32" s="80" t="b">
        <v>0</v>
      </c>
      <c r="H32" s="80" t="b">
        <v>0</v>
      </c>
      <c r="I32" s="80" t="b">
        <v>0</v>
      </c>
      <c r="J32" s="80" t="b">
        <v>0</v>
      </c>
      <c r="K32" s="80" t="b">
        <v>0</v>
      </c>
      <c r="L32" s="80" t="b">
        <v>0</v>
      </c>
    </row>
    <row r="33" spans="1:12" ht="15">
      <c r="A33" s="81" t="s">
        <v>228</v>
      </c>
      <c r="B33" s="80" t="s">
        <v>494</v>
      </c>
      <c r="C33" s="80">
        <v>5</v>
      </c>
      <c r="D33" s="107">
        <v>0.003371146648335868</v>
      </c>
      <c r="E33" s="107">
        <v>1.3100781246413784</v>
      </c>
      <c r="F33" s="80" t="s">
        <v>3229</v>
      </c>
      <c r="G33" s="80" t="b">
        <v>0</v>
      </c>
      <c r="H33" s="80" t="b">
        <v>0</v>
      </c>
      <c r="I33" s="80" t="b">
        <v>0</v>
      </c>
      <c r="J33" s="80" t="b">
        <v>0</v>
      </c>
      <c r="K33" s="80" t="b">
        <v>0</v>
      </c>
      <c r="L33" s="80" t="b">
        <v>0</v>
      </c>
    </row>
    <row r="34" spans="1:12" ht="15">
      <c r="A34" s="81" t="s">
        <v>292</v>
      </c>
      <c r="B34" s="80" t="s">
        <v>291</v>
      </c>
      <c r="C34" s="80">
        <v>5</v>
      </c>
      <c r="D34" s="107">
        <v>0.003371146648335868</v>
      </c>
      <c r="E34" s="107">
        <v>2.5888317255942073</v>
      </c>
      <c r="F34" s="80" t="s">
        <v>3229</v>
      </c>
      <c r="G34" s="80" t="b">
        <v>0</v>
      </c>
      <c r="H34" s="80" t="b">
        <v>0</v>
      </c>
      <c r="I34" s="80" t="b">
        <v>0</v>
      </c>
      <c r="J34" s="80" t="b">
        <v>0</v>
      </c>
      <c r="K34" s="80" t="b">
        <v>0</v>
      </c>
      <c r="L34" s="80" t="b">
        <v>0</v>
      </c>
    </row>
    <row r="35" spans="1:12" ht="15">
      <c r="A35" s="81" t="s">
        <v>501</v>
      </c>
      <c r="B35" s="80" t="s">
        <v>500</v>
      </c>
      <c r="C35" s="80">
        <v>5</v>
      </c>
      <c r="D35" s="107">
        <v>0.003371146648335868</v>
      </c>
      <c r="E35" s="107">
        <v>2.5888317255942073</v>
      </c>
      <c r="F35" s="80" t="s">
        <v>3229</v>
      </c>
      <c r="G35" s="80" t="b">
        <v>0</v>
      </c>
      <c r="H35" s="80" t="b">
        <v>0</v>
      </c>
      <c r="I35" s="80" t="b">
        <v>0</v>
      </c>
      <c r="J35" s="80" t="b">
        <v>0</v>
      </c>
      <c r="K35" s="80" t="b">
        <v>0</v>
      </c>
      <c r="L35" s="80" t="b">
        <v>0</v>
      </c>
    </row>
    <row r="36" spans="1:12" ht="15">
      <c r="A36" s="81" t="s">
        <v>529</v>
      </c>
      <c r="B36" s="80" t="s">
        <v>228</v>
      </c>
      <c r="C36" s="80">
        <v>5</v>
      </c>
      <c r="D36" s="107">
        <v>0.003371146648335868</v>
      </c>
      <c r="E36" s="107">
        <v>0.7936471359117833</v>
      </c>
      <c r="F36" s="80" t="s">
        <v>3229</v>
      </c>
      <c r="G36" s="80" t="b">
        <v>0</v>
      </c>
      <c r="H36" s="80" t="b">
        <v>0</v>
      </c>
      <c r="I36" s="80" t="b">
        <v>0</v>
      </c>
      <c r="J36" s="80" t="b">
        <v>0</v>
      </c>
      <c r="K36" s="80" t="b">
        <v>0</v>
      </c>
      <c r="L36" s="80" t="b">
        <v>0</v>
      </c>
    </row>
    <row r="37" spans="1:12" ht="15">
      <c r="A37" s="81" t="s">
        <v>498</v>
      </c>
      <c r="B37" s="80" t="s">
        <v>497</v>
      </c>
      <c r="C37" s="80">
        <v>5</v>
      </c>
      <c r="D37" s="107">
        <v>0.003371146648335868</v>
      </c>
      <c r="E37" s="107">
        <v>2.5888317255942073</v>
      </c>
      <c r="F37" s="80" t="s">
        <v>3229</v>
      </c>
      <c r="G37" s="80" t="b">
        <v>0</v>
      </c>
      <c r="H37" s="80" t="b">
        <v>0</v>
      </c>
      <c r="I37" s="80" t="b">
        <v>0</v>
      </c>
      <c r="J37" s="80" t="b">
        <v>0</v>
      </c>
      <c r="K37" s="80" t="b">
        <v>0</v>
      </c>
      <c r="L37" s="80" t="b">
        <v>0</v>
      </c>
    </row>
    <row r="38" spans="1:12" ht="15">
      <c r="A38" s="81" t="s">
        <v>297</v>
      </c>
      <c r="B38" s="80" t="s">
        <v>296</v>
      </c>
      <c r="C38" s="80">
        <v>5</v>
      </c>
      <c r="D38" s="107">
        <v>0.003371146648335868</v>
      </c>
      <c r="E38" s="107">
        <v>2.5888317255942073</v>
      </c>
      <c r="F38" s="80" t="s">
        <v>3229</v>
      </c>
      <c r="G38" s="80" t="b">
        <v>0</v>
      </c>
      <c r="H38" s="80" t="b">
        <v>0</v>
      </c>
      <c r="I38" s="80" t="b">
        <v>0</v>
      </c>
      <c r="J38" s="80" t="b">
        <v>0</v>
      </c>
      <c r="K38" s="80" t="b">
        <v>0</v>
      </c>
      <c r="L38" s="80" t="b">
        <v>0</v>
      </c>
    </row>
    <row r="39" spans="1:12" ht="15">
      <c r="A39" s="81" t="s">
        <v>288</v>
      </c>
      <c r="B39" s="80" t="s">
        <v>287</v>
      </c>
      <c r="C39" s="80">
        <v>5</v>
      </c>
      <c r="D39" s="107">
        <v>0.003371146648335868</v>
      </c>
      <c r="E39" s="107">
        <v>2.5888317255942073</v>
      </c>
      <c r="F39" s="80" t="s">
        <v>3229</v>
      </c>
      <c r="G39" s="80" t="b">
        <v>0</v>
      </c>
      <c r="H39" s="80" t="b">
        <v>0</v>
      </c>
      <c r="I39" s="80" t="b">
        <v>0</v>
      </c>
      <c r="J39" s="80" t="b">
        <v>0</v>
      </c>
      <c r="K39" s="80" t="b">
        <v>0</v>
      </c>
      <c r="L39" s="80" t="b">
        <v>0</v>
      </c>
    </row>
    <row r="40" spans="1:12" ht="15">
      <c r="A40" s="81" t="s">
        <v>293</v>
      </c>
      <c r="B40" s="80" t="s">
        <v>292</v>
      </c>
      <c r="C40" s="80">
        <v>5</v>
      </c>
      <c r="D40" s="107">
        <v>0.003371146648335868</v>
      </c>
      <c r="E40" s="107">
        <v>2.5888317255942073</v>
      </c>
      <c r="F40" s="80" t="s">
        <v>3229</v>
      </c>
      <c r="G40" s="80" t="b">
        <v>0</v>
      </c>
      <c r="H40" s="80" t="b">
        <v>0</v>
      </c>
      <c r="I40" s="80" t="b">
        <v>0</v>
      </c>
      <c r="J40" s="80" t="b">
        <v>0</v>
      </c>
      <c r="K40" s="80" t="b">
        <v>0</v>
      </c>
      <c r="L40" s="80" t="b">
        <v>0</v>
      </c>
    </row>
    <row r="41" spans="1:12" ht="15">
      <c r="A41" s="81" t="s">
        <v>290</v>
      </c>
      <c r="B41" s="80" t="s">
        <v>289</v>
      </c>
      <c r="C41" s="80">
        <v>5</v>
      </c>
      <c r="D41" s="107">
        <v>0.003371146648335868</v>
      </c>
      <c r="E41" s="107">
        <v>2.5096504795465826</v>
      </c>
      <c r="F41" s="80" t="s">
        <v>3229</v>
      </c>
      <c r="G41" s="80" t="b">
        <v>0</v>
      </c>
      <c r="H41" s="80" t="b">
        <v>0</v>
      </c>
      <c r="I41" s="80" t="b">
        <v>0</v>
      </c>
      <c r="J41" s="80" t="b">
        <v>0</v>
      </c>
      <c r="K41" s="80" t="b">
        <v>0</v>
      </c>
      <c r="L41" s="80" t="b">
        <v>0</v>
      </c>
    </row>
    <row r="42" spans="1:12" ht="15">
      <c r="A42" s="81" t="s">
        <v>499</v>
      </c>
      <c r="B42" s="80" t="s">
        <v>498</v>
      </c>
      <c r="C42" s="80">
        <v>5</v>
      </c>
      <c r="D42" s="107">
        <v>0.003371146648335868</v>
      </c>
      <c r="E42" s="107">
        <v>2.5888317255942073</v>
      </c>
      <c r="F42" s="80" t="s">
        <v>3229</v>
      </c>
      <c r="G42" s="80" t="b">
        <v>0</v>
      </c>
      <c r="H42" s="80" t="b">
        <v>0</v>
      </c>
      <c r="I42" s="80" t="b">
        <v>0</v>
      </c>
      <c r="J42" s="80" t="b">
        <v>0</v>
      </c>
      <c r="K42" s="80" t="b">
        <v>0</v>
      </c>
      <c r="L42" s="80" t="b">
        <v>0</v>
      </c>
    </row>
    <row r="43" spans="1:12" ht="15">
      <c r="A43" s="81" t="s">
        <v>3067</v>
      </c>
      <c r="B43" s="80" t="s">
        <v>294</v>
      </c>
      <c r="C43" s="80">
        <v>5</v>
      </c>
      <c r="D43" s="107">
        <v>0.003371146648335868</v>
      </c>
      <c r="E43" s="107">
        <v>2.5888317255942073</v>
      </c>
      <c r="F43" s="80" t="s">
        <v>3229</v>
      </c>
      <c r="G43" s="80" t="b">
        <v>0</v>
      </c>
      <c r="H43" s="80" t="b">
        <v>0</v>
      </c>
      <c r="I43" s="80" t="b">
        <v>0</v>
      </c>
      <c r="J43" s="80" t="b">
        <v>0</v>
      </c>
      <c r="K43" s="80" t="b">
        <v>0</v>
      </c>
      <c r="L43" s="80" t="b">
        <v>0</v>
      </c>
    </row>
    <row r="44" spans="1:12" ht="15">
      <c r="A44" s="81" t="s">
        <v>376</v>
      </c>
      <c r="B44" s="80" t="s">
        <v>375</v>
      </c>
      <c r="C44" s="80">
        <v>4</v>
      </c>
      <c r="D44" s="107">
        <v>0.0028848184587715667</v>
      </c>
      <c r="E44" s="107">
        <v>2.287801729930226</v>
      </c>
      <c r="F44" s="80" t="s">
        <v>3229</v>
      </c>
      <c r="G44" s="80" t="b">
        <v>0</v>
      </c>
      <c r="H44" s="80" t="b">
        <v>0</v>
      </c>
      <c r="I44" s="80" t="b">
        <v>0</v>
      </c>
      <c r="J44" s="80" t="b">
        <v>0</v>
      </c>
      <c r="K44" s="80" t="b">
        <v>0</v>
      </c>
      <c r="L44" s="80" t="b">
        <v>0</v>
      </c>
    </row>
    <row r="45" spans="1:12" ht="15">
      <c r="A45" s="81" t="s">
        <v>370</v>
      </c>
      <c r="B45" s="80" t="s">
        <v>369</v>
      </c>
      <c r="C45" s="80">
        <v>4</v>
      </c>
      <c r="D45" s="107">
        <v>0.0028848184587715667</v>
      </c>
      <c r="E45" s="107">
        <v>2.6857417386022635</v>
      </c>
      <c r="F45" s="80" t="s">
        <v>3229</v>
      </c>
      <c r="G45" s="80" t="b">
        <v>0</v>
      </c>
      <c r="H45" s="80" t="b">
        <v>0</v>
      </c>
      <c r="I45" s="80" t="b">
        <v>0</v>
      </c>
      <c r="J45" s="80" t="b">
        <v>0</v>
      </c>
      <c r="K45" s="80" t="b">
        <v>0</v>
      </c>
      <c r="L45" s="80" t="b">
        <v>0</v>
      </c>
    </row>
    <row r="46" spans="1:12" ht="15">
      <c r="A46" s="81" t="s">
        <v>373</v>
      </c>
      <c r="B46" s="80" t="s">
        <v>372</v>
      </c>
      <c r="C46" s="80">
        <v>4</v>
      </c>
      <c r="D46" s="107">
        <v>0.0028848184587715667</v>
      </c>
      <c r="E46" s="107">
        <v>2.6857417386022635</v>
      </c>
      <c r="F46" s="80" t="s">
        <v>3229</v>
      </c>
      <c r="G46" s="80" t="b">
        <v>0</v>
      </c>
      <c r="H46" s="80" t="b">
        <v>0</v>
      </c>
      <c r="I46" s="80" t="b">
        <v>0</v>
      </c>
      <c r="J46" s="80" t="b">
        <v>0</v>
      </c>
      <c r="K46" s="80" t="b">
        <v>0</v>
      </c>
      <c r="L46" s="80" t="b">
        <v>0</v>
      </c>
    </row>
    <row r="47" spans="1:12" ht="15">
      <c r="A47" s="81" t="s">
        <v>299</v>
      </c>
      <c r="B47" s="80" t="s">
        <v>298</v>
      </c>
      <c r="C47" s="80">
        <v>4</v>
      </c>
      <c r="D47" s="107">
        <v>0.0028848184587715667</v>
      </c>
      <c r="E47" s="107">
        <v>2.491921712586151</v>
      </c>
      <c r="F47" s="80" t="s">
        <v>3229</v>
      </c>
      <c r="G47" s="80" t="b">
        <v>0</v>
      </c>
      <c r="H47" s="80" t="b">
        <v>0</v>
      </c>
      <c r="I47" s="80" t="b">
        <v>0</v>
      </c>
      <c r="J47" s="80" t="b">
        <v>0</v>
      </c>
      <c r="K47" s="80" t="b">
        <v>0</v>
      </c>
      <c r="L47" s="80" t="b">
        <v>0</v>
      </c>
    </row>
    <row r="48" spans="1:12" ht="15">
      <c r="A48" s="81" t="s">
        <v>253</v>
      </c>
      <c r="B48" s="80" t="s">
        <v>228</v>
      </c>
      <c r="C48" s="80">
        <v>4</v>
      </c>
      <c r="D48" s="107">
        <v>0.0028848184587715667</v>
      </c>
      <c r="E48" s="107">
        <v>1.0946771315757646</v>
      </c>
      <c r="F48" s="80" t="s">
        <v>3229</v>
      </c>
      <c r="G48" s="80" t="b">
        <v>0</v>
      </c>
      <c r="H48" s="80" t="b">
        <v>0</v>
      </c>
      <c r="I48" s="80" t="b">
        <v>0</v>
      </c>
      <c r="J48" s="80" t="b">
        <v>0</v>
      </c>
      <c r="K48" s="80" t="b">
        <v>0</v>
      </c>
      <c r="L48" s="80" t="b">
        <v>0</v>
      </c>
    </row>
    <row r="49" spans="1:12" ht="15">
      <c r="A49" s="81" t="s">
        <v>3065</v>
      </c>
      <c r="B49" s="80" t="s">
        <v>3077</v>
      </c>
      <c r="C49" s="80">
        <v>4</v>
      </c>
      <c r="D49" s="107">
        <v>0.0028848184587715667</v>
      </c>
      <c r="E49" s="107">
        <v>2.5096504795465826</v>
      </c>
      <c r="F49" s="80" t="s">
        <v>3229</v>
      </c>
      <c r="G49" s="80" t="b">
        <v>0</v>
      </c>
      <c r="H49" s="80" t="b">
        <v>0</v>
      </c>
      <c r="I49" s="80" t="b">
        <v>0</v>
      </c>
      <c r="J49" s="80" t="b">
        <v>0</v>
      </c>
      <c r="K49" s="80" t="b">
        <v>0</v>
      </c>
      <c r="L49" s="80" t="b">
        <v>0</v>
      </c>
    </row>
    <row r="50" spans="1:12" ht="15">
      <c r="A50" s="81" t="s">
        <v>375</v>
      </c>
      <c r="B50" s="80" t="s">
        <v>374</v>
      </c>
      <c r="C50" s="80">
        <v>4</v>
      </c>
      <c r="D50" s="107">
        <v>0.0028848184587715667</v>
      </c>
      <c r="E50" s="107">
        <v>2.6857417386022635</v>
      </c>
      <c r="F50" s="80" t="s">
        <v>3229</v>
      </c>
      <c r="G50" s="80" t="b">
        <v>0</v>
      </c>
      <c r="H50" s="80" t="b">
        <v>0</v>
      </c>
      <c r="I50" s="80" t="b">
        <v>0</v>
      </c>
      <c r="J50" s="80" t="b">
        <v>0</v>
      </c>
      <c r="K50" s="80" t="b">
        <v>0</v>
      </c>
      <c r="L50" s="80" t="b">
        <v>0</v>
      </c>
    </row>
    <row r="51" spans="1:12" ht="15">
      <c r="A51" s="81" t="s">
        <v>261</v>
      </c>
      <c r="B51" s="80" t="s">
        <v>492</v>
      </c>
      <c r="C51" s="80">
        <v>4</v>
      </c>
      <c r="D51" s="107">
        <v>0.0028848184587715667</v>
      </c>
      <c r="E51" s="107">
        <v>2.5888317255942073</v>
      </c>
      <c r="F51" s="80" t="s">
        <v>3229</v>
      </c>
      <c r="G51" s="80" t="b">
        <v>0</v>
      </c>
      <c r="H51" s="80" t="b">
        <v>0</v>
      </c>
      <c r="I51" s="80" t="b">
        <v>0</v>
      </c>
      <c r="J51" s="80" t="b">
        <v>0</v>
      </c>
      <c r="K51" s="80" t="b">
        <v>0</v>
      </c>
      <c r="L51" s="80" t="b">
        <v>0</v>
      </c>
    </row>
    <row r="52" spans="1:12" ht="15">
      <c r="A52" s="81" t="s">
        <v>371</v>
      </c>
      <c r="B52" s="80" t="s">
        <v>370</v>
      </c>
      <c r="C52" s="80">
        <v>4</v>
      </c>
      <c r="D52" s="107">
        <v>0.0028848184587715667</v>
      </c>
      <c r="E52" s="107">
        <v>2.6857417386022635</v>
      </c>
      <c r="F52" s="80" t="s">
        <v>3229</v>
      </c>
      <c r="G52" s="80" t="b">
        <v>0</v>
      </c>
      <c r="H52" s="80" t="b">
        <v>0</v>
      </c>
      <c r="I52" s="80" t="b">
        <v>0</v>
      </c>
      <c r="J52" s="80" t="b">
        <v>0</v>
      </c>
      <c r="K52" s="80" t="b">
        <v>0</v>
      </c>
      <c r="L52" s="80" t="b">
        <v>0</v>
      </c>
    </row>
    <row r="53" spans="1:12" ht="15">
      <c r="A53" s="81" t="s">
        <v>228</v>
      </c>
      <c r="B53" s="80" t="s">
        <v>238</v>
      </c>
      <c r="C53" s="80">
        <v>4</v>
      </c>
      <c r="D53" s="107">
        <v>0.0028848184587715667</v>
      </c>
      <c r="E53" s="107">
        <v>1.213168111633322</v>
      </c>
      <c r="F53" s="80" t="s">
        <v>3229</v>
      </c>
      <c r="G53" s="80" t="b">
        <v>0</v>
      </c>
      <c r="H53" s="80" t="b">
        <v>0</v>
      </c>
      <c r="I53" s="80" t="b">
        <v>0</v>
      </c>
      <c r="J53" s="80" t="b">
        <v>0</v>
      </c>
      <c r="K53" s="80" t="b">
        <v>0</v>
      </c>
      <c r="L53" s="80" t="b">
        <v>0</v>
      </c>
    </row>
    <row r="54" spans="1:12" ht="15">
      <c r="A54" s="81" t="s">
        <v>372</v>
      </c>
      <c r="B54" s="80" t="s">
        <v>228</v>
      </c>
      <c r="C54" s="80">
        <v>4</v>
      </c>
      <c r="D54" s="107">
        <v>0.0028848184587715667</v>
      </c>
      <c r="E54" s="107">
        <v>1.2707683906314458</v>
      </c>
      <c r="F54" s="80" t="s">
        <v>3229</v>
      </c>
      <c r="G54" s="80" t="b">
        <v>0</v>
      </c>
      <c r="H54" s="80" t="b">
        <v>0</v>
      </c>
      <c r="I54" s="80" t="b">
        <v>0</v>
      </c>
      <c r="J54" s="80" t="b">
        <v>0</v>
      </c>
      <c r="K54" s="80" t="b">
        <v>0</v>
      </c>
      <c r="L54" s="80" t="b">
        <v>0</v>
      </c>
    </row>
    <row r="55" spans="1:12" ht="15">
      <c r="A55" s="81" t="s">
        <v>291</v>
      </c>
      <c r="B55" s="80" t="s">
        <v>290</v>
      </c>
      <c r="C55" s="80">
        <v>4</v>
      </c>
      <c r="D55" s="107">
        <v>0.0028848184587715667</v>
      </c>
      <c r="E55" s="107">
        <v>2.412740466538526</v>
      </c>
      <c r="F55" s="80" t="s">
        <v>3229</v>
      </c>
      <c r="G55" s="80" t="b">
        <v>0</v>
      </c>
      <c r="H55" s="80" t="b">
        <v>0</v>
      </c>
      <c r="I55" s="80" t="b">
        <v>0</v>
      </c>
      <c r="J55" s="80" t="b">
        <v>0</v>
      </c>
      <c r="K55" s="80" t="b">
        <v>0</v>
      </c>
      <c r="L55" s="80" t="b">
        <v>0</v>
      </c>
    </row>
    <row r="56" spans="1:12" ht="15">
      <c r="A56" s="81" t="s">
        <v>259</v>
      </c>
      <c r="B56" s="80" t="s">
        <v>501</v>
      </c>
      <c r="C56" s="80">
        <v>4</v>
      </c>
      <c r="D56" s="107">
        <v>0.0028848184587715667</v>
      </c>
      <c r="E56" s="107">
        <v>2.412740466538526</v>
      </c>
      <c r="F56" s="80" t="s">
        <v>3229</v>
      </c>
      <c r="G56" s="80" t="b">
        <v>0</v>
      </c>
      <c r="H56" s="80" t="b">
        <v>0</v>
      </c>
      <c r="I56" s="80" t="b">
        <v>0</v>
      </c>
      <c r="J56" s="80" t="b">
        <v>0</v>
      </c>
      <c r="K56" s="80" t="b">
        <v>0</v>
      </c>
      <c r="L56" s="80" t="b">
        <v>0</v>
      </c>
    </row>
    <row r="57" spans="1:12" ht="15">
      <c r="A57" s="81" t="s">
        <v>228</v>
      </c>
      <c r="B57" s="80" t="s">
        <v>371</v>
      </c>
      <c r="C57" s="80">
        <v>4</v>
      </c>
      <c r="D57" s="107">
        <v>0.0028848184587715667</v>
      </c>
      <c r="E57" s="107">
        <v>1.3100781246413784</v>
      </c>
      <c r="F57" s="80" t="s">
        <v>3229</v>
      </c>
      <c r="G57" s="80" t="b">
        <v>0</v>
      </c>
      <c r="H57" s="80" t="b">
        <v>0</v>
      </c>
      <c r="I57" s="80" t="b">
        <v>0</v>
      </c>
      <c r="J57" s="80" t="b">
        <v>0</v>
      </c>
      <c r="K57" s="80" t="b">
        <v>0</v>
      </c>
      <c r="L57" s="80" t="b">
        <v>0</v>
      </c>
    </row>
    <row r="58" spans="1:12" ht="15">
      <c r="A58" s="81" t="s">
        <v>229</v>
      </c>
      <c r="B58" s="80" t="s">
        <v>228</v>
      </c>
      <c r="C58" s="80">
        <v>4</v>
      </c>
      <c r="D58" s="107">
        <v>0.0028848184587715667</v>
      </c>
      <c r="E58" s="107">
        <v>0.9697383949674646</v>
      </c>
      <c r="F58" s="80" t="s">
        <v>3229</v>
      </c>
      <c r="G58" s="80" t="b">
        <v>0</v>
      </c>
      <c r="H58" s="80" t="b">
        <v>0</v>
      </c>
      <c r="I58" s="80" t="b">
        <v>0</v>
      </c>
      <c r="J58" s="80" t="b">
        <v>0</v>
      </c>
      <c r="K58" s="80" t="b">
        <v>0</v>
      </c>
      <c r="L58" s="80" t="b">
        <v>0</v>
      </c>
    </row>
    <row r="59" spans="1:12" ht="15">
      <c r="A59" s="81" t="s">
        <v>289</v>
      </c>
      <c r="B59" s="80" t="s">
        <v>288</v>
      </c>
      <c r="C59" s="80">
        <v>4</v>
      </c>
      <c r="D59" s="107">
        <v>0.0028848184587715667</v>
      </c>
      <c r="E59" s="107">
        <v>2.491921712586151</v>
      </c>
      <c r="F59" s="80" t="s">
        <v>3229</v>
      </c>
      <c r="G59" s="80" t="b">
        <v>0</v>
      </c>
      <c r="H59" s="80" t="b">
        <v>0</v>
      </c>
      <c r="I59" s="80" t="b">
        <v>0</v>
      </c>
      <c r="J59" s="80" t="b">
        <v>0</v>
      </c>
      <c r="K59" s="80" t="b">
        <v>0</v>
      </c>
      <c r="L59" s="80" t="b">
        <v>0</v>
      </c>
    </row>
    <row r="60" spans="1:12" ht="15">
      <c r="A60" s="81" t="s">
        <v>267</v>
      </c>
      <c r="B60" s="80" t="s">
        <v>266</v>
      </c>
      <c r="C60" s="80">
        <v>3</v>
      </c>
      <c r="D60" s="107">
        <v>0.002345298870654002</v>
      </c>
      <c r="E60" s="107">
        <v>2.8106804752105634</v>
      </c>
      <c r="F60" s="80" t="s">
        <v>3229</v>
      </c>
      <c r="G60" s="80" t="b">
        <v>0</v>
      </c>
      <c r="H60" s="80" t="b">
        <v>0</v>
      </c>
      <c r="I60" s="80" t="b">
        <v>0</v>
      </c>
      <c r="J60" s="80" t="b">
        <v>0</v>
      </c>
      <c r="K60" s="80" t="b">
        <v>0</v>
      </c>
      <c r="L60" s="80" t="b">
        <v>0</v>
      </c>
    </row>
    <row r="61" spans="1:12" ht="15">
      <c r="A61" s="81" t="s">
        <v>414</v>
      </c>
      <c r="B61" s="80" t="s">
        <v>3052</v>
      </c>
      <c r="C61" s="80">
        <v>3</v>
      </c>
      <c r="D61" s="107">
        <v>0.002345298870654002</v>
      </c>
      <c r="E61" s="107">
        <v>1.6065604925546388</v>
      </c>
      <c r="F61" s="80" t="s">
        <v>3229</v>
      </c>
      <c r="G61" s="80" t="b">
        <v>0</v>
      </c>
      <c r="H61" s="80" t="b">
        <v>0</v>
      </c>
      <c r="I61" s="80" t="b">
        <v>0</v>
      </c>
      <c r="J61" s="80" t="b">
        <v>1</v>
      </c>
      <c r="K61" s="80" t="b">
        <v>0</v>
      </c>
      <c r="L61" s="80" t="b">
        <v>0</v>
      </c>
    </row>
    <row r="62" spans="1:12" ht="15">
      <c r="A62" s="81" t="s">
        <v>493</v>
      </c>
      <c r="B62" s="80" t="s">
        <v>262</v>
      </c>
      <c r="C62" s="80">
        <v>3</v>
      </c>
      <c r="D62" s="107">
        <v>0.002345298870654002</v>
      </c>
      <c r="E62" s="107">
        <v>2.4638929889859074</v>
      </c>
      <c r="F62" s="80" t="s">
        <v>3229</v>
      </c>
      <c r="G62" s="80" t="b">
        <v>0</v>
      </c>
      <c r="H62" s="80" t="b">
        <v>0</v>
      </c>
      <c r="I62" s="80" t="b">
        <v>0</v>
      </c>
      <c r="J62" s="80" t="b">
        <v>0</v>
      </c>
      <c r="K62" s="80" t="b">
        <v>0</v>
      </c>
      <c r="L62" s="80" t="b">
        <v>0</v>
      </c>
    </row>
    <row r="63" spans="1:12" ht="15">
      <c r="A63" s="81" t="s">
        <v>252</v>
      </c>
      <c r="B63" s="80" t="s">
        <v>228</v>
      </c>
      <c r="C63" s="80">
        <v>3</v>
      </c>
      <c r="D63" s="107">
        <v>0.002345298870654002</v>
      </c>
      <c r="E63" s="107">
        <v>1.0489196410150894</v>
      </c>
      <c r="F63" s="80" t="s">
        <v>3229</v>
      </c>
      <c r="G63" s="80" t="b">
        <v>0</v>
      </c>
      <c r="H63" s="80" t="b">
        <v>0</v>
      </c>
      <c r="I63" s="80" t="b">
        <v>0</v>
      </c>
      <c r="J63" s="80" t="b">
        <v>0</v>
      </c>
      <c r="K63" s="80" t="b">
        <v>0</v>
      </c>
      <c r="L63" s="80" t="b">
        <v>0</v>
      </c>
    </row>
    <row r="64" spans="1:12" ht="15">
      <c r="A64" s="81" t="s">
        <v>497</v>
      </c>
      <c r="B64" s="80" t="s">
        <v>260</v>
      </c>
      <c r="C64" s="80">
        <v>3</v>
      </c>
      <c r="D64" s="107">
        <v>0.002345298870654002</v>
      </c>
      <c r="E64" s="107">
        <v>2.5888317255942073</v>
      </c>
      <c r="F64" s="80" t="s">
        <v>3229</v>
      </c>
      <c r="G64" s="80" t="b">
        <v>0</v>
      </c>
      <c r="H64" s="80" t="b">
        <v>0</v>
      </c>
      <c r="I64" s="80" t="b">
        <v>0</v>
      </c>
      <c r="J64" s="80" t="b">
        <v>0</v>
      </c>
      <c r="K64" s="80" t="b">
        <v>0</v>
      </c>
      <c r="L64" s="80" t="b">
        <v>0</v>
      </c>
    </row>
    <row r="65" spans="1:12" ht="15">
      <c r="A65" s="81" t="s">
        <v>228</v>
      </c>
      <c r="B65" s="80" t="s">
        <v>234</v>
      </c>
      <c r="C65" s="80">
        <v>3</v>
      </c>
      <c r="D65" s="107">
        <v>0.002345298870654002</v>
      </c>
      <c r="E65" s="107">
        <v>1.009048128977397</v>
      </c>
      <c r="F65" s="80" t="s">
        <v>3229</v>
      </c>
      <c r="G65" s="80" t="b">
        <v>0</v>
      </c>
      <c r="H65" s="80" t="b">
        <v>0</v>
      </c>
      <c r="I65" s="80" t="b">
        <v>0</v>
      </c>
      <c r="J65" s="80" t="b">
        <v>0</v>
      </c>
      <c r="K65" s="80" t="b">
        <v>0</v>
      </c>
      <c r="L65" s="80" t="b">
        <v>0</v>
      </c>
    </row>
    <row r="66" spans="1:12" ht="15">
      <c r="A66" s="81" t="s">
        <v>3059</v>
      </c>
      <c r="B66" s="80" t="s">
        <v>3062</v>
      </c>
      <c r="C66" s="80">
        <v>3</v>
      </c>
      <c r="D66" s="107">
        <v>0.002345298870654002</v>
      </c>
      <c r="E66" s="107">
        <v>2.016734957643688</v>
      </c>
      <c r="F66" s="80" t="s">
        <v>3229</v>
      </c>
      <c r="G66" s="80" t="b">
        <v>0</v>
      </c>
      <c r="H66" s="80" t="b">
        <v>0</v>
      </c>
      <c r="I66" s="80" t="b">
        <v>0</v>
      </c>
      <c r="J66" s="80" t="b">
        <v>0</v>
      </c>
      <c r="K66" s="80" t="b">
        <v>0</v>
      </c>
      <c r="L66" s="80" t="b">
        <v>0</v>
      </c>
    </row>
    <row r="67" spans="1:12" ht="15">
      <c r="A67" s="81" t="s">
        <v>3096</v>
      </c>
      <c r="B67" s="80" t="s">
        <v>538</v>
      </c>
      <c r="C67" s="80">
        <v>3</v>
      </c>
      <c r="D67" s="107">
        <v>0.002345298870654002</v>
      </c>
      <c r="E67" s="107">
        <v>2.1117104708745447</v>
      </c>
      <c r="F67" s="80" t="s">
        <v>3229</v>
      </c>
      <c r="G67" s="80" t="b">
        <v>0</v>
      </c>
      <c r="H67" s="80" t="b">
        <v>0</v>
      </c>
      <c r="I67" s="80" t="b">
        <v>0</v>
      </c>
      <c r="J67" s="80" t="b">
        <v>0</v>
      </c>
      <c r="K67" s="80" t="b">
        <v>0</v>
      </c>
      <c r="L67" s="80" t="b">
        <v>0</v>
      </c>
    </row>
    <row r="68" spans="1:12" ht="15">
      <c r="A68" s="81" t="s">
        <v>492</v>
      </c>
      <c r="B68" s="80" t="s">
        <v>3060</v>
      </c>
      <c r="C68" s="80">
        <v>3</v>
      </c>
      <c r="D68" s="107">
        <v>0.002345298870654002</v>
      </c>
      <c r="E68" s="107">
        <v>2.317764953307669</v>
      </c>
      <c r="F68" s="80" t="s">
        <v>3229</v>
      </c>
      <c r="G68" s="80" t="b">
        <v>0</v>
      </c>
      <c r="H68" s="80" t="b">
        <v>0</v>
      </c>
      <c r="I68" s="80" t="b">
        <v>0</v>
      </c>
      <c r="J68" s="80" t="b">
        <v>1</v>
      </c>
      <c r="K68" s="80" t="b">
        <v>0</v>
      </c>
      <c r="L68" s="80" t="b">
        <v>0</v>
      </c>
    </row>
    <row r="69" spans="1:12" ht="15">
      <c r="A69" s="81" t="s">
        <v>3053</v>
      </c>
      <c r="B69" s="80" t="s">
        <v>3065</v>
      </c>
      <c r="C69" s="80">
        <v>3</v>
      </c>
      <c r="D69" s="107">
        <v>0.002345298870654002</v>
      </c>
      <c r="E69" s="107">
        <v>1.625043898248652</v>
      </c>
      <c r="F69" s="80" t="s">
        <v>3229</v>
      </c>
      <c r="G69" s="80" t="b">
        <v>0</v>
      </c>
      <c r="H69" s="80" t="b">
        <v>0</v>
      </c>
      <c r="I69" s="80" t="b">
        <v>0</v>
      </c>
      <c r="J69" s="80" t="b">
        <v>0</v>
      </c>
      <c r="K69" s="80" t="b">
        <v>0</v>
      </c>
      <c r="L69" s="80" t="b">
        <v>0</v>
      </c>
    </row>
    <row r="70" spans="1:12" ht="15">
      <c r="A70" s="81" t="s">
        <v>374</v>
      </c>
      <c r="B70" s="80" t="s">
        <v>373</v>
      </c>
      <c r="C70" s="80">
        <v>3</v>
      </c>
      <c r="D70" s="107">
        <v>0.002345298870654002</v>
      </c>
      <c r="E70" s="107">
        <v>2.5608030019939636</v>
      </c>
      <c r="F70" s="80" t="s">
        <v>3229</v>
      </c>
      <c r="G70" s="80" t="b">
        <v>0</v>
      </c>
      <c r="H70" s="80" t="b">
        <v>0</v>
      </c>
      <c r="I70" s="80" t="b">
        <v>0</v>
      </c>
      <c r="J70" s="80" t="b">
        <v>0</v>
      </c>
      <c r="K70" s="80" t="b">
        <v>0</v>
      </c>
      <c r="L70" s="80" t="b">
        <v>0</v>
      </c>
    </row>
    <row r="71" spans="1:12" ht="15">
      <c r="A71" s="81" t="s">
        <v>538</v>
      </c>
      <c r="B71" s="80" t="s">
        <v>535</v>
      </c>
      <c r="C71" s="80">
        <v>3</v>
      </c>
      <c r="D71" s="107">
        <v>0.002345298870654002</v>
      </c>
      <c r="E71" s="107">
        <v>1.412740466538526</v>
      </c>
      <c r="F71" s="80" t="s">
        <v>3229</v>
      </c>
      <c r="G71" s="80" t="b">
        <v>0</v>
      </c>
      <c r="H71" s="80" t="b">
        <v>0</v>
      </c>
      <c r="I71" s="80" t="b">
        <v>0</v>
      </c>
      <c r="J71" s="80" t="b">
        <v>0</v>
      </c>
      <c r="K71" s="80" t="b">
        <v>0</v>
      </c>
      <c r="L71" s="80" t="b">
        <v>0</v>
      </c>
    </row>
    <row r="72" spans="1:12" ht="15">
      <c r="A72" s="81" t="s">
        <v>262</v>
      </c>
      <c r="B72" s="80" t="s">
        <v>261</v>
      </c>
      <c r="C72" s="80">
        <v>3</v>
      </c>
      <c r="D72" s="107">
        <v>0.002345298870654002</v>
      </c>
      <c r="E72" s="107">
        <v>2.5608030019939636</v>
      </c>
      <c r="F72" s="80" t="s">
        <v>3229</v>
      </c>
      <c r="G72" s="80" t="b">
        <v>0</v>
      </c>
      <c r="H72" s="80" t="b">
        <v>0</v>
      </c>
      <c r="I72" s="80" t="b">
        <v>0</v>
      </c>
      <c r="J72" s="80" t="b">
        <v>0</v>
      </c>
      <c r="K72" s="80" t="b">
        <v>0</v>
      </c>
      <c r="L72" s="80" t="b">
        <v>0</v>
      </c>
    </row>
    <row r="73" spans="1:12" ht="15">
      <c r="A73" s="81" t="s">
        <v>260</v>
      </c>
      <c r="B73" s="80" t="s">
        <v>496</v>
      </c>
      <c r="C73" s="80">
        <v>3</v>
      </c>
      <c r="D73" s="107">
        <v>0.002345298870654002</v>
      </c>
      <c r="E73" s="107">
        <v>2.4638929889859074</v>
      </c>
      <c r="F73" s="80" t="s">
        <v>3229</v>
      </c>
      <c r="G73" s="80" t="b">
        <v>0</v>
      </c>
      <c r="H73" s="80" t="b">
        <v>0</v>
      </c>
      <c r="I73" s="80" t="b">
        <v>0</v>
      </c>
      <c r="J73" s="80" t="b">
        <v>0</v>
      </c>
      <c r="K73" s="80" t="b">
        <v>0</v>
      </c>
      <c r="L73" s="80" t="b">
        <v>0</v>
      </c>
    </row>
    <row r="74" spans="1:12" ht="15">
      <c r="A74" s="81" t="s">
        <v>234</v>
      </c>
      <c r="B74" s="80" t="s">
        <v>228</v>
      </c>
      <c r="C74" s="80">
        <v>3</v>
      </c>
      <c r="D74" s="107">
        <v>0.002345298870654002</v>
      </c>
      <c r="E74" s="107">
        <v>0.8447996583591645</v>
      </c>
      <c r="F74" s="80" t="s">
        <v>3229</v>
      </c>
      <c r="G74" s="80" t="b">
        <v>0</v>
      </c>
      <c r="H74" s="80" t="b">
        <v>0</v>
      </c>
      <c r="I74" s="80" t="b">
        <v>0</v>
      </c>
      <c r="J74" s="80" t="b">
        <v>0</v>
      </c>
      <c r="K74" s="80" t="b">
        <v>0</v>
      </c>
      <c r="L74" s="80" t="b">
        <v>0</v>
      </c>
    </row>
    <row r="75" spans="1:12" ht="15">
      <c r="A75" s="81" t="s">
        <v>238</v>
      </c>
      <c r="B75" s="80" t="s">
        <v>471</v>
      </c>
      <c r="C75" s="80">
        <v>3</v>
      </c>
      <c r="D75" s="107">
        <v>0.002345298870654002</v>
      </c>
      <c r="E75" s="107">
        <v>2.1117104708745447</v>
      </c>
      <c r="F75" s="80" t="s">
        <v>3229</v>
      </c>
      <c r="G75" s="80" t="b">
        <v>0</v>
      </c>
      <c r="H75" s="80" t="b">
        <v>0</v>
      </c>
      <c r="I75" s="80" t="b">
        <v>0</v>
      </c>
      <c r="J75" s="80" t="b">
        <v>0</v>
      </c>
      <c r="K75" s="80" t="b">
        <v>0</v>
      </c>
      <c r="L75" s="80" t="b">
        <v>0</v>
      </c>
    </row>
    <row r="76" spans="1:12" ht="15">
      <c r="A76" s="81" t="s">
        <v>229</v>
      </c>
      <c r="B76" s="80" t="s">
        <v>376</v>
      </c>
      <c r="C76" s="80">
        <v>2</v>
      </c>
      <c r="D76" s="107">
        <v>0.0017342463555748103</v>
      </c>
      <c r="E76" s="107">
        <v>1.7314992291629387</v>
      </c>
      <c r="F76" s="80" t="s">
        <v>3229</v>
      </c>
      <c r="G76" s="80" t="b">
        <v>0</v>
      </c>
      <c r="H76" s="80" t="b">
        <v>0</v>
      </c>
      <c r="I76" s="80" t="b">
        <v>0</v>
      </c>
      <c r="J76" s="80" t="b">
        <v>0</v>
      </c>
      <c r="K76" s="80" t="b">
        <v>0</v>
      </c>
      <c r="L76" s="80" t="b">
        <v>0</v>
      </c>
    </row>
    <row r="77" spans="1:12" ht="15">
      <c r="A77" s="81" t="s">
        <v>283</v>
      </c>
      <c r="B77" s="80" t="s">
        <v>282</v>
      </c>
      <c r="C77" s="80">
        <v>2</v>
      </c>
      <c r="D77" s="107">
        <v>0.0017342463555748103</v>
      </c>
      <c r="E77" s="107">
        <v>2.9867717342662448</v>
      </c>
      <c r="F77" s="80" t="s">
        <v>3229</v>
      </c>
      <c r="G77" s="80" t="b">
        <v>0</v>
      </c>
      <c r="H77" s="80" t="b">
        <v>0</v>
      </c>
      <c r="I77" s="80" t="b">
        <v>0</v>
      </c>
      <c r="J77" s="80" t="b">
        <v>0</v>
      </c>
      <c r="K77" s="80" t="b">
        <v>0</v>
      </c>
      <c r="L77" s="80" t="b">
        <v>0</v>
      </c>
    </row>
    <row r="78" spans="1:12" ht="15">
      <c r="A78" s="81" t="s">
        <v>270</v>
      </c>
      <c r="B78" s="80" t="s">
        <v>269</v>
      </c>
      <c r="C78" s="80">
        <v>2</v>
      </c>
      <c r="D78" s="107">
        <v>0.0017342463555748103</v>
      </c>
      <c r="E78" s="107">
        <v>2.9867717342662448</v>
      </c>
      <c r="F78" s="80" t="s">
        <v>3229</v>
      </c>
      <c r="G78" s="80" t="b">
        <v>0</v>
      </c>
      <c r="H78" s="80" t="b">
        <v>0</v>
      </c>
      <c r="I78" s="80" t="b">
        <v>0</v>
      </c>
      <c r="J78" s="80" t="b">
        <v>0</v>
      </c>
      <c r="K78" s="80" t="b">
        <v>0</v>
      </c>
      <c r="L78" s="80" t="b">
        <v>0</v>
      </c>
    </row>
    <row r="79" spans="1:12" ht="15">
      <c r="A79" s="81" t="s">
        <v>228</v>
      </c>
      <c r="B79" s="80" t="s">
        <v>3073</v>
      </c>
      <c r="C79" s="80">
        <v>2</v>
      </c>
      <c r="D79" s="107">
        <v>0.0017342463555748103</v>
      </c>
      <c r="E79" s="107">
        <v>1.133986865585697</v>
      </c>
      <c r="F79" s="80" t="s">
        <v>3229</v>
      </c>
      <c r="G79" s="80" t="b">
        <v>0</v>
      </c>
      <c r="H79" s="80" t="b">
        <v>0</v>
      </c>
      <c r="I79" s="80" t="b">
        <v>0</v>
      </c>
      <c r="J79" s="80" t="b">
        <v>0</v>
      </c>
      <c r="K79" s="80" t="b">
        <v>0</v>
      </c>
      <c r="L79" s="80" t="b">
        <v>0</v>
      </c>
    </row>
    <row r="80" spans="1:12" ht="15">
      <c r="A80" s="81" t="s">
        <v>3097</v>
      </c>
      <c r="B80" s="80" t="s">
        <v>3159</v>
      </c>
      <c r="C80" s="80">
        <v>2</v>
      </c>
      <c r="D80" s="107">
        <v>0.0020260834817638373</v>
      </c>
      <c r="E80" s="107">
        <v>2.810680475210564</v>
      </c>
      <c r="F80" s="80" t="s">
        <v>3229</v>
      </c>
      <c r="G80" s="80" t="b">
        <v>0</v>
      </c>
      <c r="H80" s="80" t="b">
        <v>0</v>
      </c>
      <c r="I80" s="80" t="b">
        <v>0</v>
      </c>
      <c r="J80" s="80" t="b">
        <v>0</v>
      </c>
      <c r="K80" s="80" t="b">
        <v>0</v>
      </c>
      <c r="L80" s="80" t="b">
        <v>0</v>
      </c>
    </row>
    <row r="81" spans="1:12" ht="15">
      <c r="A81" s="81" t="s">
        <v>526</v>
      </c>
      <c r="B81" s="80" t="s">
        <v>3057</v>
      </c>
      <c r="C81" s="80">
        <v>2</v>
      </c>
      <c r="D81" s="107">
        <v>0.0017342463555748103</v>
      </c>
      <c r="E81" s="107">
        <v>2.141673694251988</v>
      </c>
      <c r="F81" s="80" t="s">
        <v>3229</v>
      </c>
      <c r="G81" s="80" t="b">
        <v>0</v>
      </c>
      <c r="H81" s="80" t="b">
        <v>0</v>
      </c>
      <c r="I81" s="80" t="b">
        <v>0</v>
      </c>
      <c r="J81" s="80" t="b">
        <v>0</v>
      </c>
      <c r="K81" s="80" t="b">
        <v>0</v>
      </c>
      <c r="L81" s="80" t="b">
        <v>0</v>
      </c>
    </row>
    <row r="82" spans="1:12" ht="15">
      <c r="A82" s="81" t="s">
        <v>282</v>
      </c>
      <c r="B82" s="80" t="s">
        <v>281</v>
      </c>
      <c r="C82" s="80">
        <v>2</v>
      </c>
      <c r="D82" s="107">
        <v>0.0017342463555748103</v>
      </c>
      <c r="E82" s="107">
        <v>2.9867717342662448</v>
      </c>
      <c r="F82" s="80" t="s">
        <v>3229</v>
      </c>
      <c r="G82" s="80" t="b">
        <v>0</v>
      </c>
      <c r="H82" s="80" t="b">
        <v>0</v>
      </c>
      <c r="I82" s="80" t="b">
        <v>0</v>
      </c>
      <c r="J82" s="80" t="b">
        <v>0</v>
      </c>
      <c r="K82" s="80" t="b">
        <v>0</v>
      </c>
      <c r="L82" s="80" t="b">
        <v>0</v>
      </c>
    </row>
    <row r="83" spans="1:12" ht="15">
      <c r="A83" s="81" t="s">
        <v>468</v>
      </c>
      <c r="B83" s="80" t="s">
        <v>467</v>
      </c>
      <c r="C83" s="80">
        <v>2</v>
      </c>
      <c r="D83" s="107">
        <v>0.0017342463555748103</v>
      </c>
      <c r="E83" s="107">
        <v>2.9867717342662448</v>
      </c>
      <c r="F83" s="80" t="s">
        <v>3229</v>
      </c>
      <c r="G83" s="80" t="b">
        <v>0</v>
      </c>
      <c r="H83" s="80" t="b">
        <v>0</v>
      </c>
      <c r="I83" s="80" t="b">
        <v>0</v>
      </c>
      <c r="J83" s="80" t="b">
        <v>0</v>
      </c>
      <c r="K83" s="80" t="b">
        <v>0</v>
      </c>
      <c r="L83" s="80" t="b">
        <v>0</v>
      </c>
    </row>
    <row r="84" spans="1:12" ht="15">
      <c r="A84" s="81" t="s">
        <v>3159</v>
      </c>
      <c r="B84" s="80" t="s">
        <v>3135</v>
      </c>
      <c r="C84" s="80">
        <v>2</v>
      </c>
      <c r="D84" s="107">
        <v>0.0020260834817638373</v>
      </c>
      <c r="E84" s="107">
        <v>2.9867717342662448</v>
      </c>
      <c r="F84" s="80" t="s">
        <v>3229</v>
      </c>
      <c r="G84" s="80" t="b">
        <v>0</v>
      </c>
      <c r="H84" s="80" t="b">
        <v>0</v>
      </c>
      <c r="I84" s="80" t="b">
        <v>0</v>
      </c>
      <c r="J84" s="80" t="b">
        <v>0</v>
      </c>
      <c r="K84" s="80" t="b">
        <v>0</v>
      </c>
      <c r="L84" s="80" t="b">
        <v>0</v>
      </c>
    </row>
    <row r="85" spans="1:12" ht="15">
      <c r="A85" s="81" t="s">
        <v>422</v>
      </c>
      <c r="B85" s="80" t="s">
        <v>421</v>
      </c>
      <c r="C85" s="80">
        <v>2</v>
      </c>
      <c r="D85" s="107">
        <v>0.0017342463555748103</v>
      </c>
      <c r="E85" s="107">
        <v>2.9867717342662448</v>
      </c>
      <c r="F85" s="80" t="s">
        <v>3229</v>
      </c>
      <c r="G85" s="80" t="b">
        <v>0</v>
      </c>
      <c r="H85" s="80" t="b">
        <v>0</v>
      </c>
      <c r="I85" s="80" t="b">
        <v>0</v>
      </c>
      <c r="J85" s="80" t="b">
        <v>0</v>
      </c>
      <c r="K85" s="80" t="b">
        <v>0</v>
      </c>
      <c r="L85" s="80" t="b">
        <v>0</v>
      </c>
    </row>
    <row r="86" spans="1:12" ht="15">
      <c r="A86" s="81" t="s">
        <v>467</v>
      </c>
      <c r="B86" s="80" t="s">
        <v>466</v>
      </c>
      <c r="C86" s="80">
        <v>2</v>
      </c>
      <c r="D86" s="107">
        <v>0.0017342463555748103</v>
      </c>
      <c r="E86" s="107">
        <v>2.9867717342662448</v>
      </c>
      <c r="F86" s="80" t="s">
        <v>3229</v>
      </c>
      <c r="G86" s="80" t="b">
        <v>0</v>
      </c>
      <c r="H86" s="80" t="b">
        <v>0</v>
      </c>
      <c r="I86" s="80" t="b">
        <v>0</v>
      </c>
      <c r="J86" s="80" t="b">
        <v>0</v>
      </c>
      <c r="K86" s="80" t="b">
        <v>0</v>
      </c>
      <c r="L86" s="80" t="b">
        <v>0</v>
      </c>
    </row>
    <row r="87" spans="1:12" ht="15">
      <c r="A87" s="81" t="s">
        <v>3060</v>
      </c>
      <c r="B87" s="80" t="s">
        <v>3085</v>
      </c>
      <c r="C87" s="80">
        <v>2</v>
      </c>
      <c r="D87" s="107">
        <v>0.0017342463555748103</v>
      </c>
      <c r="E87" s="107">
        <v>2.3335592204909013</v>
      </c>
      <c r="F87" s="80" t="s">
        <v>3229</v>
      </c>
      <c r="G87" s="80" t="b">
        <v>1</v>
      </c>
      <c r="H87" s="80" t="b">
        <v>0</v>
      </c>
      <c r="I87" s="80" t="b">
        <v>0</v>
      </c>
      <c r="J87" s="80" t="b">
        <v>0</v>
      </c>
      <c r="K87" s="80" t="b">
        <v>0</v>
      </c>
      <c r="L87" s="80" t="b">
        <v>0</v>
      </c>
    </row>
    <row r="88" spans="1:12" ht="15">
      <c r="A88" s="81" t="s">
        <v>273</v>
      </c>
      <c r="B88" s="80" t="s">
        <v>272</v>
      </c>
      <c r="C88" s="80">
        <v>2</v>
      </c>
      <c r="D88" s="107">
        <v>0.0017342463555748103</v>
      </c>
      <c r="E88" s="107">
        <v>2.6345892161548825</v>
      </c>
      <c r="F88" s="80" t="s">
        <v>3229</v>
      </c>
      <c r="G88" s="80" t="b">
        <v>0</v>
      </c>
      <c r="H88" s="80" t="b">
        <v>0</v>
      </c>
      <c r="I88" s="80" t="b">
        <v>0</v>
      </c>
      <c r="J88" s="80" t="b">
        <v>0</v>
      </c>
      <c r="K88" s="80" t="b">
        <v>0</v>
      </c>
      <c r="L88" s="80" t="b">
        <v>0</v>
      </c>
    </row>
    <row r="89" spans="1:12" ht="15">
      <c r="A89" s="81" t="s">
        <v>532</v>
      </c>
      <c r="B89" s="80" t="s">
        <v>530</v>
      </c>
      <c r="C89" s="80">
        <v>2</v>
      </c>
      <c r="D89" s="107">
        <v>0.0017342463555748103</v>
      </c>
      <c r="E89" s="107">
        <v>1.3635224438683444</v>
      </c>
      <c r="F89" s="80" t="s">
        <v>3229</v>
      </c>
      <c r="G89" s="80" t="b">
        <v>0</v>
      </c>
      <c r="H89" s="80" t="b">
        <v>0</v>
      </c>
      <c r="I89" s="80" t="b">
        <v>0</v>
      </c>
      <c r="J89" s="80" t="b">
        <v>0</v>
      </c>
      <c r="K89" s="80" t="b">
        <v>0</v>
      </c>
      <c r="L89" s="80" t="b">
        <v>0</v>
      </c>
    </row>
    <row r="90" spans="1:12" ht="15">
      <c r="A90" s="81" t="s">
        <v>3155</v>
      </c>
      <c r="B90" s="80" t="s">
        <v>3064</v>
      </c>
      <c r="C90" s="80">
        <v>2</v>
      </c>
      <c r="D90" s="107">
        <v>0.0017342463555748103</v>
      </c>
      <c r="E90" s="107">
        <v>2.5888317255942073</v>
      </c>
      <c r="F90" s="80" t="s">
        <v>3229</v>
      </c>
      <c r="G90" s="80" t="b">
        <v>0</v>
      </c>
      <c r="H90" s="80" t="b">
        <v>0</v>
      </c>
      <c r="I90" s="80" t="b">
        <v>0</v>
      </c>
      <c r="J90" s="80" t="b">
        <v>0</v>
      </c>
      <c r="K90" s="80" t="b">
        <v>0</v>
      </c>
      <c r="L90" s="80" t="b">
        <v>0</v>
      </c>
    </row>
    <row r="91" spans="1:12" ht="15">
      <c r="A91" s="81" t="s">
        <v>3098</v>
      </c>
      <c r="B91" s="80" t="s">
        <v>228</v>
      </c>
      <c r="C91" s="80">
        <v>2</v>
      </c>
      <c r="D91" s="107">
        <v>0.0017342463555748103</v>
      </c>
      <c r="E91" s="107">
        <v>1.0946771315757646</v>
      </c>
      <c r="F91" s="80" t="s">
        <v>3229</v>
      </c>
      <c r="G91" s="80" t="b">
        <v>0</v>
      </c>
      <c r="H91" s="80" t="b">
        <v>0</v>
      </c>
      <c r="I91" s="80" t="b">
        <v>0</v>
      </c>
      <c r="J91" s="80" t="b">
        <v>0</v>
      </c>
      <c r="K91" s="80" t="b">
        <v>0</v>
      </c>
      <c r="L91" s="80" t="b">
        <v>0</v>
      </c>
    </row>
    <row r="92" spans="1:12" ht="15">
      <c r="A92" s="81" t="s">
        <v>266</v>
      </c>
      <c r="B92" s="80" t="s">
        <v>265</v>
      </c>
      <c r="C92" s="80">
        <v>2</v>
      </c>
      <c r="D92" s="107">
        <v>0.0017342463555748103</v>
      </c>
      <c r="E92" s="107">
        <v>2.810680475210564</v>
      </c>
      <c r="F92" s="80" t="s">
        <v>3229</v>
      </c>
      <c r="G92" s="80" t="b">
        <v>0</v>
      </c>
      <c r="H92" s="80" t="b">
        <v>0</v>
      </c>
      <c r="I92" s="80" t="b">
        <v>0</v>
      </c>
      <c r="J92" s="80" t="b">
        <v>0</v>
      </c>
      <c r="K92" s="80" t="b">
        <v>0</v>
      </c>
      <c r="L92" s="80" t="b">
        <v>0</v>
      </c>
    </row>
    <row r="93" spans="1:12" ht="15">
      <c r="A93" s="81" t="s">
        <v>258</v>
      </c>
      <c r="B93" s="80" t="s">
        <v>538</v>
      </c>
      <c r="C93" s="80">
        <v>2</v>
      </c>
      <c r="D93" s="107">
        <v>0.0017342463555748103</v>
      </c>
      <c r="E93" s="107">
        <v>2.1117104708745447</v>
      </c>
      <c r="F93" s="80" t="s">
        <v>3229</v>
      </c>
      <c r="G93" s="80" t="b">
        <v>0</v>
      </c>
      <c r="H93" s="80" t="b">
        <v>0</v>
      </c>
      <c r="I93" s="80" t="b">
        <v>0</v>
      </c>
      <c r="J93" s="80" t="b">
        <v>0</v>
      </c>
      <c r="K93" s="80" t="b">
        <v>0</v>
      </c>
      <c r="L93" s="80" t="b">
        <v>0</v>
      </c>
    </row>
    <row r="94" spans="1:12" ht="15">
      <c r="A94" s="81" t="s">
        <v>526</v>
      </c>
      <c r="B94" s="80" t="s">
        <v>258</v>
      </c>
      <c r="C94" s="80">
        <v>2</v>
      </c>
      <c r="D94" s="107">
        <v>0.0017342463555748103</v>
      </c>
      <c r="E94" s="107">
        <v>2.3847117429382823</v>
      </c>
      <c r="F94" s="80" t="s">
        <v>3229</v>
      </c>
      <c r="G94" s="80" t="b">
        <v>0</v>
      </c>
      <c r="H94" s="80" t="b">
        <v>0</v>
      </c>
      <c r="I94" s="80" t="b">
        <v>0</v>
      </c>
      <c r="J94" s="80" t="b">
        <v>0</v>
      </c>
      <c r="K94" s="80" t="b">
        <v>0</v>
      </c>
      <c r="L94" s="80" t="b">
        <v>0</v>
      </c>
    </row>
    <row r="95" spans="1:12" ht="15">
      <c r="A95" s="81" t="s">
        <v>3085</v>
      </c>
      <c r="B95" s="80" t="s">
        <v>3082</v>
      </c>
      <c r="C95" s="80">
        <v>2</v>
      </c>
      <c r="D95" s="107">
        <v>0.0017342463555748103</v>
      </c>
      <c r="E95" s="107">
        <v>2.5096504795465826</v>
      </c>
      <c r="F95" s="80" t="s">
        <v>3229</v>
      </c>
      <c r="G95" s="80" t="b">
        <v>0</v>
      </c>
      <c r="H95" s="80" t="b">
        <v>0</v>
      </c>
      <c r="I95" s="80" t="b">
        <v>0</v>
      </c>
      <c r="J95" s="80" t="b">
        <v>0</v>
      </c>
      <c r="K95" s="80" t="b">
        <v>0</v>
      </c>
      <c r="L95" s="80" t="b">
        <v>0</v>
      </c>
    </row>
    <row r="96" spans="1:12" ht="15">
      <c r="A96" s="81" t="s">
        <v>3073</v>
      </c>
      <c r="B96" s="80" t="s">
        <v>3104</v>
      </c>
      <c r="C96" s="80">
        <v>2</v>
      </c>
      <c r="D96" s="107">
        <v>0.0017342463555748103</v>
      </c>
      <c r="E96" s="107">
        <v>2.6345892161548825</v>
      </c>
      <c r="F96" s="80" t="s">
        <v>3229</v>
      </c>
      <c r="G96" s="80" t="b">
        <v>0</v>
      </c>
      <c r="H96" s="80" t="b">
        <v>0</v>
      </c>
      <c r="I96" s="80" t="b">
        <v>0</v>
      </c>
      <c r="J96" s="80" t="b">
        <v>0</v>
      </c>
      <c r="K96" s="80" t="b">
        <v>0</v>
      </c>
      <c r="L96" s="80" t="b">
        <v>0</v>
      </c>
    </row>
    <row r="97" spans="1:12" ht="15">
      <c r="A97" s="81" t="s">
        <v>272</v>
      </c>
      <c r="B97" s="80" t="s">
        <v>271</v>
      </c>
      <c r="C97" s="80">
        <v>2</v>
      </c>
      <c r="D97" s="107">
        <v>0.0017342463555748103</v>
      </c>
      <c r="E97" s="107">
        <v>2.810680475210564</v>
      </c>
      <c r="F97" s="80" t="s">
        <v>3229</v>
      </c>
      <c r="G97" s="80" t="b">
        <v>0</v>
      </c>
      <c r="H97" s="80" t="b">
        <v>0</v>
      </c>
      <c r="I97" s="80" t="b">
        <v>0</v>
      </c>
      <c r="J97" s="80" t="b">
        <v>0</v>
      </c>
      <c r="K97" s="80" t="b">
        <v>0</v>
      </c>
      <c r="L97" s="80" t="b">
        <v>0</v>
      </c>
    </row>
    <row r="98" spans="1:12" ht="15">
      <c r="A98" s="81" t="s">
        <v>234</v>
      </c>
      <c r="B98" s="80" t="s">
        <v>273</v>
      </c>
      <c r="C98" s="80">
        <v>2</v>
      </c>
      <c r="D98" s="107">
        <v>0.0017342463555748103</v>
      </c>
      <c r="E98" s="107">
        <v>2.2086204838826013</v>
      </c>
      <c r="F98" s="80" t="s">
        <v>3229</v>
      </c>
      <c r="G98" s="80" t="b">
        <v>0</v>
      </c>
      <c r="H98" s="80" t="b">
        <v>0</v>
      </c>
      <c r="I98" s="80" t="b">
        <v>0</v>
      </c>
      <c r="J98" s="80" t="b">
        <v>0</v>
      </c>
      <c r="K98" s="80" t="b">
        <v>0</v>
      </c>
      <c r="L98" s="80" t="b">
        <v>0</v>
      </c>
    </row>
    <row r="99" spans="1:12" ht="15">
      <c r="A99" s="81" t="s">
        <v>269</v>
      </c>
      <c r="B99" s="80" t="s">
        <v>268</v>
      </c>
      <c r="C99" s="80">
        <v>2</v>
      </c>
      <c r="D99" s="107">
        <v>0.0017342463555748103</v>
      </c>
      <c r="E99" s="107">
        <v>2.810680475210564</v>
      </c>
      <c r="F99" s="80" t="s">
        <v>3229</v>
      </c>
      <c r="G99" s="80" t="b">
        <v>0</v>
      </c>
      <c r="H99" s="80" t="b">
        <v>0</v>
      </c>
      <c r="I99" s="80" t="b">
        <v>0</v>
      </c>
      <c r="J99" s="80" t="b">
        <v>0</v>
      </c>
      <c r="K99" s="80" t="b">
        <v>0</v>
      </c>
      <c r="L99" s="80" t="b">
        <v>0</v>
      </c>
    </row>
    <row r="100" spans="1:12" ht="15">
      <c r="A100" s="81" t="s">
        <v>466</v>
      </c>
      <c r="B100" s="80" t="s">
        <v>465</v>
      </c>
      <c r="C100" s="80">
        <v>2</v>
      </c>
      <c r="D100" s="107">
        <v>0.0017342463555748103</v>
      </c>
      <c r="E100" s="107">
        <v>2.9867717342662448</v>
      </c>
      <c r="F100" s="80" t="s">
        <v>3229</v>
      </c>
      <c r="G100" s="80" t="b">
        <v>0</v>
      </c>
      <c r="H100" s="80" t="b">
        <v>0</v>
      </c>
      <c r="I100" s="80" t="b">
        <v>0</v>
      </c>
      <c r="J100" s="80" t="b">
        <v>0</v>
      </c>
      <c r="K100" s="80" t="b">
        <v>0</v>
      </c>
      <c r="L100" s="80" t="b">
        <v>0</v>
      </c>
    </row>
    <row r="101" spans="1:12" ht="15">
      <c r="A101" s="81" t="s">
        <v>3208</v>
      </c>
      <c r="B101" s="80" t="s">
        <v>3141</v>
      </c>
      <c r="C101" s="80">
        <v>2</v>
      </c>
      <c r="D101" s="107">
        <v>0.0020260834817638373</v>
      </c>
      <c r="E101" s="107">
        <v>2.9867717342662448</v>
      </c>
      <c r="F101" s="80" t="s">
        <v>3229</v>
      </c>
      <c r="G101" s="80" t="b">
        <v>0</v>
      </c>
      <c r="H101" s="80" t="b">
        <v>0</v>
      </c>
      <c r="I101" s="80" t="b">
        <v>0</v>
      </c>
      <c r="J101" s="80" t="b">
        <v>0</v>
      </c>
      <c r="K101" s="80" t="b">
        <v>0</v>
      </c>
      <c r="L101" s="80" t="b">
        <v>0</v>
      </c>
    </row>
    <row r="102" spans="1:12" ht="15">
      <c r="A102" s="81" t="s">
        <v>228</v>
      </c>
      <c r="B102" s="80" t="s">
        <v>3118</v>
      </c>
      <c r="C102" s="80">
        <v>2</v>
      </c>
      <c r="D102" s="107">
        <v>0.0017342463555748103</v>
      </c>
      <c r="E102" s="107">
        <v>1.3100781246413784</v>
      </c>
      <c r="F102" s="80" t="s">
        <v>3229</v>
      </c>
      <c r="G102" s="80" t="b">
        <v>0</v>
      </c>
      <c r="H102" s="80" t="b">
        <v>0</v>
      </c>
      <c r="I102" s="80" t="b">
        <v>0</v>
      </c>
      <c r="J102" s="80" t="b">
        <v>0</v>
      </c>
      <c r="K102" s="80" t="b">
        <v>0</v>
      </c>
      <c r="L102" s="80" t="b">
        <v>0</v>
      </c>
    </row>
    <row r="103" spans="1:12" ht="15">
      <c r="A103" s="81" t="s">
        <v>3062</v>
      </c>
      <c r="B103" s="80" t="s">
        <v>3059</v>
      </c>
      <c r="C103" s="80">
        <v>2</v>
      </c>
      <c r="D103" s="107">
        <v>0.0017342463555748103</v>
      </c>
      <c r="E103" s="107">
        <v>1.9655824351963067</v>
      </c>
      <c r="F103" s="80" t="s">
        <v>3229</v>
      </c>
      <c r="G103" s="80" t="b">
        <v>0</v>
      </c>
      <c r="H103" s="80" t="b">
        <v>0</v>
      </c>
      <c r="I103" s="80" t="b">
        <v>0</v>
      </c>
      <c r="J103" s="80" t="b">
        <v>0</v>
      </c>
      <c r="K103" s="80" t="b">
        <v>0</v>
      </c>
      <c r="L103" s="80" t="b">
        <v>0</v>
      </c>
    </row>
    <row r="104" spans="1:12" ht="15">
      <c r="A104" s="81" t="s">
        <v>469</v>
      </c>
      <c r="B104" s="80" t="s">
        <v>259</v>
      </c>
      <c r="C104" s="80">
        <v>2</v>
      </c>
      <c r="D104" s="107">
        <v>0.0017342463555748103</v>
      </c>
      <c r="E104" s="107">
        <v>2.6857417386022635</v>
      </c>
      <c r="F104" s="80" t="s">
        <v>3229</v>
      </c>
      <c r="G104" s="80" t="b">
        <v>0</v>
      </c>
      <c r="H104" s="80" t="b">
        <v>0</v>
      </c>
      <c r="I104" s="80" t="b">
        <v>0</v>
      </c>
      <c r="J104" s="80" t="b">
        <v>0</v>
      </c>
      <c r="K104" s="80" t="b">
        <v>0</v>
      </c>
      <c r="L104" s="80" t="b">
        <v>0</v>
      </c>
    </row>
    <row r="105" spans="1:12" ht="15">
      <c r="A105" s="81" t="s">
        <v>3059</v>
      </c>
      <c r="B105" s="80" t="s">
        <v>228</v>
      </c>
      <c r="C105" s="80">
        <v>2</v>
      </c>
      <c r="D105" s="107">
        <v>0.0017342463555748103</v>
      </c>
      <c r="E105" s="107">
        <v>0.6687083993034834</v>
      </c>
      <c r="F105" s="80" t="s">
        <v>3229</v>
      </c>
      <c r="G105" s="80" t="b">
        <v>0</v>
      </c>
      <c r="H105" s="80" t="b">
        <v>0</v>
      </c>
      <c r="I105" s="80" t="b">
        <v>0</v>
      </c>
      <c r="J105" s="80" t="b">
        <v>0</v>
      </c>
      <c r="K105" s="80" t="b">
        <v>0</v>
      </c>
      <c r="L105" s="80" t="b">
        <v>0</v>
      </c>
    </row>
    <row r="106" spans="1:12" ht="15">
      <c r="A106" s="81" t="s">
        <v>3078</v>
      </c>
      <c r="B106" s="80" t="s">
        <v>3078</v>
      </c>
      <c r="C106" s="80">
        <v>2</v>
      </c>
      <c r="D106" s="107">
        <v>0.0020260834817638373</v>
      </c>
      <c r="E106" s="107">
        <v>2.3847117429382823</v>
      </c>
      <c r="F106" s="80" t="s">
        <v>3229</v>
      </c>
      <c r="G106" s="80" t="b">
        <v>0</v>
      </c>
      <c r="H106" s="80" t="b">
        <v>0</v>
      </c>
      <c r="I106" s="80" t="b">
        <v>0</v>
      </c>
      <c r="J106" s="80" t="b">
        <v>0</v>
      </c>
      <c r="K106" s="80" t="b">
        <v>0</v>
      </c>
      <c r="L106" s="80" t="b">
        <v>0</v>
      </c>
    </row>
    <row r="107" spans="1:12" ht="15">
      <c r="A107" s="81" t="s">
        <v>228</v>
      </c>
      <c r="B107" s="80" t="s">
        <v>3127</v>
      </c>
      <c r="C107" s="80">
        <v>2</v>
      </c>
      <c r="D107" s="107">
        <v>0.0017342463555748103</v>
      </c>
      <c r="E107" s="107">
        <v>1.3100781246413784</v>
      </c>
      <c r="F107" s="80" t="s">
        <v>3229</v>
      </c>
      <c r="G107" s="80" t="b">
        <v>0</v>
      </c>
      <c r="H107" s="80" t="b">
        <v>0</v>
      </c>
      <c r="I107" s="80" t="b">
        <v>0</v>
      </c>
      <c r="J107" s="80" t="b">
        <v>0</v>
      </c>
      <c r="K107" s="80" t="b">
        <v>0</v>
      </c>
      <c r="L107" s="80" t="b">
        <v>0</v>
      </c>
    </row>
    <row r="108" spans="1:12" ht="15">
      <c r="A108" s="81" t="s">
        <v>268</v>
      </c>
      <c r="B108" s="80" t="s">
        <v>267</v>
      </c>
      <c r="C108" s="80">
        <v>2</v>
      </c>
      <c r="D108" s="107">
        <v>0.0017342463555748103</v>
      </c>
      <c r="E108" s="107">
        <v>2.6345892161548825</v>
      </c>
      <c r="F108" s="80" t="s">
        <v>3229</v>
      </c>
      <c r="G108" s="80" t="b">
        <v>0</v>
      </c>
      <c r="H108" s="80" t="b">
        <v>0</v>
      </c>
      <c r="I108" s="80" t="b">
        <v>0</v>
      </c>
      <c r="J108" s="80" t="b">
        <v>0</v>
      </c>
      <c r="K108" s="80" t="b">
        <v>0</v>
      </c>
      <c r="L108" s="80" t="b">
        <v>0</v>
      </c>
    </row>
    <row r="109" spans="1:12" ht="15">
      <c r="A109" s="81" t="s">
        <v>3183</v>
      </c>
      <c r="B109" s="80" t="s">
        <v>228</v>
      </c>
      <c r="C109" s="80">
        <v>2</v>
      </c>
      <c r="D109" s="107">
        <v>0.0017342463555748103</v>
      </c>
      <c r="E109" s="107">
        <v>1.2707683906314458</v>
      </c>
      <c r="F109" s="80" t="s">
        <v>3229</v>
      </c>
      <c r="G109" s="80" t="b">
        <v>0</v>
      </c>
      <c r="H109" s="80" t="b">
        <v>0</v>
      </c>
      <c r="I109" s="80" t="b">
        <v>0</v>
      </c>
      <c r="J109" s="80" t="b">
        <v>0</v>
      </c>
      <c r="K109" s="80" t="b">
        <v>0</v>
      </c>
      <c r="L109" s="80" t="b">
        <v>0</v>
      </c>
    </row>
    <row r="110" spans="1:12" ht="15">
      <c r="A110" s="81" t="s">
        <v>3211</v>
      </c>
      <c r="B110" s="80" t="s">
        <v>228</v>
      </c>
      <c r="C110" s="80">
        <v>2</v>
      </c>
      <c r="D110" s="107">
        <v>0.0017342463555748103</v>
      </c>
      <c r="E110" s="107">
        <v>1.2707683906314458</v>
      </c>
      <c r="F110" s="80" t="s">
        <v>3229</v>
      </c>
      <c r="G110" s="80" t="b">
        <v>0</v>
      </c>
      <c r="H110" s="80" t="b">
        <v>0</v>
      </c>
      <c r="I110" s="80" t="b">
        <v>0</v>
      </c>
      <c r="J110" s="80" t="b">
        <v>0</v>
      </c>
      <c r="K110" s="80" t="b">
        <v>0</v>
      </c>
      <c r="L110" s="80" t="b">
        <v>0</v>
      </c>
    </row>
    <row r="111" spans="1:12" ht="15">
      <c r="A111" s="81" t="s">
        <v>471</v>
      </c>
      <c r="B111" s="80" t="s">
        <v>228</v>
      </c>
      <c r="C111" s="80">
        <v>2</v>
      </c>
      <c r="D111" s="107">
        <v>0.0017342463555748103</v>
      </c>
      <c r="E111" s="107">
        <v>0.617555876856102</v>
      </c>
      <c r="F111" s="80" t="s">
        <v>3229</v>
      </c>
      <c r="G111" s="80" t="b">
        <v>0</v>
      </c>
      <c r="H111" s="80" t="b">
        <v>0</v>
      </c>
      <c r="I111" s="80" t="b">
        <v>0</v>
      </c>
      <c r="J111" s="80" t="b">
        <v>0</v>
      </c>
      <c r="K111" s="80" t="b">
        <v>0</v>
      </c>
      <c r="L111" s="80" t="b">
        <v>0</v>
      </c>
    </row>
    <row r="112" spans="1:12" ht="15">
      <c r="A112" s="81" t="s">
        <v>228</v>
      </c>
      <c r="B112" s="80" t="s">
        <v>376</v>
      </c>
      <c r="C112" s="80">
        <v>2</v>
      </c>
      <c r="D112" s="107">
        <v>0.0017342463555748103</v>
      </c>
      <c r="E112" s="107">
        <v>0.6568656108660346</v>
      </c>
      <c r="F112" s="80" t="s">
        <v>3229</v>
      </c>
      <c r="G112" s="80" t="b">
        <v>0</v>
      </c>
      <c r="H112" s="80" t="b">
        <v>0</v>
      </c>
      <c r="I112" s="80" t="b">
        <v>0</v>
      </c>
      <c r="J112" s="80" t="b">
        <v>0</v>
      </c>
      <c r="K112" s="80" t="b">
        <v>0</v>
      </c>
      <c r="L112" s="80" t="b">
        <v>0</v>
      </c>
    </row>
    <row r="113" spans="1:12" ht="15">
      <c r="A113" s="81" t="s">
        <v>421</v>
      </c>
      <c r="B113" s="80" t="s">
        <v>228</v>
      </c>
      <c r="C113" s="80">
        <v>2</v>
      </c>
      <c r="D113" s="107">
        <v>0.0017342463555748103</v>
      </c>
      <c r="E113" s="107">
        <v>1.2707683906314458</v>
      </c>
      <c r="F113" s="80" t="s">
        <v>3229</v>
      </c>
      <c r="G113" s="80" t="b">
        <v>0</v>
      </c>
      <c r="H113" s="80" t="b">
        <v>0</v>
      </c>
      <c r="I113" s="80" t="b">
        <v>0</v>
      </c>
      <c r="J113" s="80" t="b">
        <v>0</v>
      </c>
      <c r="K113" s="80" t="b">
        <v>0</v>
      </c>
      <c r="L113" s="80" t="b">
        <v>0</v>
      </c>
    </row>
    <row r="114" spans="1:12" ht="15">
      <c r="A114" s="81" t="s">
        <v>3053</v>
      </c>
      <c r="B114" s="80" t="s">
        <v>3168</v>
      </c>
      <c r="C114" s="80">
        <v>2</v>
      </c>
      <c r="D114" s="107">
        <v>0.0017342463555748103</v>
      </c>
      <c r="E114" s="107">
        <v>1.9260738939126332</v>
      </c>
      <c r="F114" s="80" t="s">
        <v>3229</v>
      </c>
      <c r="G114" s="80" t="b">
        <v>0</v>
      </c>
      <c r="H114" s="80" t="b">
        <v>0</v>
      </c>
      <c r="I114" s="80" t="b">
        <v>0</v>
      </c>
      <c r="J114" s="80" t="b">
        <v>0</v>
      </c>
      <c r="K114" s="80" t="b">
        <v>0</v>
      </c>
      <c r="L114" s="80" t="b">
        <v>0</v>
      </c>
    </row>
    <row r="115" spans="1:12" ht="15">
      <c r="A115" s="81" t="s">
        <v>3081</v>
      </c>
      <c r="B115" s="80" t="s">
        <v>3105</v>
      </c>
      <c r="C115" s="80">
        <v>2</v>
      </c>
      <c r="D115" s="107">
        <v>0.0017342463555748103</v>
      </c>
      <c r="E115" s="107">
        <v>2.5096504795465826</v>
      </c>
      <c r="F115" s="80" t="s">
        <v>3229</v>
      </c>
      <c r="G115" s="80" t="b">
        <v>0</v>
      </c>
      <c r="H115" s="80" t="b">
        <v>0</v>
      </c>
      <c r="I115" s="80" t="b">
        <v>0</v>
      </c>
      <c r="J115" s="80" t="b">
        <v>0</v>
      </c>
      <c r="K115" s="80" t="b">
        <v>0</v>
      </c>
      <c r="L115" s="80" t="b">
        <v>0</v>
      </c>
    </row>
    <row r="116" spans="1:12" ht="15">
      <c r="A116" s="81" t="s">
        <v>470</v>
      </c>
      <c r="B116" s="80" t="s">
        <v>469</v>
      </c>
      <c r="C116" s="80">
        <v>2</v>
      </c>
      <c r="D116" s="107">
        <v>0.0017342463555748103</v>
      </c>
      <c r="E116" s="107">
        <v>2.9867717342662448</v>
      </c>
      <c r="F116" s="80" t="s">
        <v>3229</v>
      </c>
      <c r="G116" s="80" t="b">
        <v>0</v>
      </c>
      <c r="H116" s="80" t="b">
        <v>0</v>
      </c>
      <c r="I116" s="80" t="b">
        <v>0</v>
      </c>
      <c r="J116" s="80" t="b">
        <v>0</v>
      </c>
      <c r="K116" s="80" t="b">
        <v>0</v>
      </c>
      <c r="L116" s="80" t="b">
        <v>0</v>
      </c>
    </row>
    <row r="117" spans="1:12" ht="15">
      <c r="A117" s="81" t="s">
        <v>3080</v>
      </c>
      <c r="B117" s="80" t="s">
        <v>3112</v>
      </c>
      <c r="C117" s="80">
        <v>2</v>
      </c>
      <c r="D117" s="107">
        <v>0.0017342463555748103</v>
      </c>
      <c r="E117" s="107">
        <v>2.6857417386022635</v>
      </c>
      <c r="F117" s="80" t="s">
        <v>3229</v>
      </c>
      <c r="G117" s="80" t="b">
        <v>0</v>
      </c>
      <c r="H117" s="80" t="b">
        <v>0</v>
      </c>
      <c r="I117" s="80" t="b">
        <v>0</v>
      </c>
      <c r="J117" s="80" t="b">
        <v>0</v>
      </c>
      <c r="K117" s="80" t="b">
        <v>0</v>
      </c>
      <c r="L117" s="80" t="b">
        <v>0</v>
      </c>
    </row>
    <row r="118" spans="1:12" ht="15">
      <c r="A118" s="81" t="s">
        <v>3054</v>
      </c>
      <c r="B118" s="80" t="s">
        <v>3056</v>
      </c>
      <c r="C118" s="80">
        <v>2</v>
      </c>
      <c r="D118" s="107">
        <v>0.0017342463555748103</v>
      </c>
      <c r="E118" s="107">
        <v>1.3100781246413784</v>
      </c>
      <c r="F118" s="80" t="s">
        <v>3229</v>
      </c>
      <c r="G118" s="80" t="b">
        <v>0</v>
      </c>
      <c r="H118" s="80" t="b">
        <v>0</v>
      </c>
      <c r="I118" s="80" t="b">
        <v>0</v>
      </c>
      <c r="J118" s="80" t="b">
        <v>0</v>
      </c>
      <c r="K118" s="80" t="b">
        <v>0</v>
      </c>
      <c r="L118" s="80" t="b">
        <v>0</v>
      </c>
    </row>
    <row r="119" spans="1:12" ht="15">
      <c r="A119" s="81" t="s">
        <v>520</v>
      </c>
      <c r="B119" s="80" t="s">
        <v>248</v>
      </c>
      <c r="C119" s="80">
        <v>2</v>
      </c>
      <c r="D119" s="107">
        <v>0.0017342463555748103</v>
      </c>
      <c r="E119" s="107">
        <v>2.9867717342662448</v>
      </c>
      <c r="F119" s="80" t="s">
        <v>3229</v>
      </c>
      <c r="G119" s="80" t="b">
        <v>0</v>
      </c>
      <c r="H119" s="80" t="b">
        <v>0</v>
      </c>
      <c r="I119" s="80" t="b">
        <v>0</v>
      </c>
      <c r="J119" s="80" t="b">
        <v>0</v>
      </c>
      <c r="K119" s="80" t="b">
        <v>0</v>
      </c>
      <c r="L119" s="80" t="b">
        <v>0</v>
      </c>
    </row>
    <row r="120" spans="1:12" ht="15">
      <c r="A120" s="81" t="s">
        <v>235</v>
      </c>
      <c r="B120" s="80" t="s">
        <v>470</v>
      </c>
      <c r="C120" s="80">
        <v>2</v>
      </c>
      <c r="D120" s="107">
        <v>0.0017342463555748103</v>
      </c>
      <c r="E120" s="107">
        <v>2.6857417386022635</v>
      </c>
      <c r="F120" s="80" t="s">
        <v>3229</v>
      </c>
      <c r="G120" s="80" t="b">
        <v>0</v>
      </c>
      <c r="H120" s="80" t="b">
        <v>0</v>
      </c>
      <c r="I120" s="80" t="b">
        <v>0</v>
      </c>
      <c r="J120" s="80" t="b">
        <v>0</v>
      </c>
      <c r="K120" s="80" t="b">
        <v>0</v>
      </c>
      <c r="L120" s="80" t="b">
        <v>0</v>
      </c>
    </row>
    <row r="121" spans="1:12" ht="15">
      <c r="A121" s="81" t="s">
        <v>497</v>
      </c>
      <c r="B121" s="80" t="s">
        <v>496</v>
      </c>
      <c r="C121" s="80">
        <v>2</v>
      </c>
      <c r="D121" s="107">
        <v>0.0017342463555748103</v>
      </c>
      <c r="E121" s="107">
        <v>2.1908917169221698</v>
      </c>
      <c r="F121" s="80" t="s">
        <v>3229</v>
      </c>
      <c r="G121" s="80" t="b">
        <v>0</v>
      </c>
      <c r="H121" s="80" t="b">
        <v>0</v>
      </c>
      <c r="I121" s="80" t="b">
        <v>0</v>
      </c>
      <c r="J121" s="80" t="b">
        <v>0</v>
      </c>
      <c r="K121" s="80" t="b">
        <v>0</v>
      </c>
      <c r="L121" s="80" t="b">
        <v>0</v>
      </c>
    </row>
    <row r="122" spans="1:12" ht="15">
      <c r="A122" s="81" t="s">
        <v>3058</v>
      </c>
      <c r="B122" s="80" t="s">
        <v>3058</v>
      </c>
      <c r="C122" s="80">
        <v>2</v>
      </c>
      <c r="D122" s="107">
        <v>0.0020260834817638373</v>
      </c>
      <c r="E122" s="107">
        <v>1.8406436985880068</v>
      </c>
      <c r="F122" s="80" t="s">
        <v>3229</v>
      </c>
      <c r="G122" s="80" t="b">
        <v>0</v>
      </c>
      <c r="H122" s="80" t="b">
        <v>0</v>
      </c>
      <c r="I122" s="80" t="b">
        <v>0</v>
      </c>
      <c r="J122" s="80" t="b">
        <v>0</v>
      </c>
      <c r="K122" s="80" t="b">
        <v>0</v>
      </c>
      <c r="L122" s="80" t="b">
        <v>0</v>
      </c>
    </row>
    <row r="123" spans="1:12" ht="15">
      <c r="A123" s="81" t="s">
        <v>521</v>
      </c>
      <c r="B123" s="80" t="s">
        <v>376</v>
      </c>
      <c r="C123" s="80">
        <v>2</v>
      </c>
      <c r="D123" s="107">
        <v>0.0017342463555748103</v>
      </c>
      <c r="E123" s="107">
        <v>2.3335592204909013</v>
      </c>
      <c r="F123" s="80" t="s">
        <v>3229</v>
      </c>
      <c r="G123" s="80" t="b">
        <v>0</v>
      </c>
      <c r="H123" s="80" t="b">
        <v>0</v>
      </c>
      <c r="I123" s="80" t="b">
        <v>0</v>
      </c>
      <c r="J123" s="80" t="b">
        <v>0</v>
      </c>
      <c r="K123" s="80" t="b">
        <v>0</v>
      </c>
      <c r="L123" s="80" t="b">
        <v>0</v>
      </c>
    </row>
    <row r="124" spans="1:12" ht="15">
      <c r="A124" s="81" t="s">
        <v>3145</v>
      </c>
      <c r="B124" s="80" t="s">
        <v>3070</v>
      </c>
      <c r="C124" s="80">
        <v>2</v>
      </c>
      <c r="D124" s="107">
        <v>0.0017342463555748103</v>
      </c>
      <c r="E124" s="107">
        <v>2.5888317255942073</v>
      </c>
      <c r="F124" s="80" t="s">
        <v>3229</v>
      </c>
      <c r="G124" s="80" t="b">
        <v>0</v>
      </c>
      <c r="H124" s="80" t="b">
        <v>0</v>
      </c>
      <c r="I124" s="80" t="b">
        <v>0</v>
      </c>
      <c r="J124" s="80" t="b">
        <v>0</v>
      </c>
      <c r="K124" s="80" t="b">
        <v>0</v>
      </c>
      <c r="L124" s="80" t="b">
        <v>0</v>
      </c>
    </row>
    <row r="125" spans="1:12" ht="15">
      <c r="A125" s="81" t="s">
        <v>271</v>
      </c>
      <c r="B125" s="80" t="s">
        <v>270</v>
      </c>
      <c r="C125" s="80">
        <v>2</v>
      </c>
      <c r="D125" s="107">
        <v>0.0017342463555748103</v>
      </c>
      <c r="E125" s="107">
        <v>2.9867717342662448</v>
      </c>
      <c r="F125" s="80" t="s">
        <v>3229</v>
      </c>
      <c r="G125" s="80" t="b">
        <v>0</v>
      </c>
      <c r="H125" s="80" t="b">
        <v>0</v>
      </c>
      <c r="I125" s="80" t="b">
        <v>0</v>
      </c>
      <c r="J125" s="80" t="b">
        <v>0</v>
      </c>
      <c r="K125" s="80" t="b">
        <v>0</v>
      </c>
      <c r="L125" s="80" t="b">
        <v>0</v>
      </c>
    </row>
    <row r="126" spans="1:12" ht="15">
      <c r="A126" s="81" t="s">
        <v>464</v>
      </c>
      <c r="B126" s="80" t="s">
        <v>463</v>
      </c>
      <c r="C126" s="80">
        <v>2</v>
      </c>
      <c r="D126" s="107">
        <v>0.0017342463555748103</v>
      </c>
      <c r="E126" s="107">
        <v>2.9867717342662448</v>
      </c>
      <c r="F126" s="80" t="s">
        <v>3229</v>
      </c>
      <c r="G126" s="80" t="b">
        <v>0</v>
      </c>
      <c r="H126" s="80" t="b">
        <v>0</v>
      </c>
      <c r="I126" s="80" t="b">
        <v>0</v>
      </c>
      <c r="J126" s="80" t="b">
        <v>0</v>
      </c>
      <c r="K126" s="80" t="b">
        <v>0</v>
      </c>
      <c r="L126" s="80" t="b">
        <v>0</v>
      </c>
    </row>
    <row r="127" spans="1:12" ht="15">
      <c r="A127" s="81" t="s">
        <v>3220</v>
      </c>
      <c r="B127" s="80" t="s">
        <v>3179</v>
      </c>
      <c r="C127" s="80">
        <v>2</v>
      </c>
      <c r="D127" s="107">
        <v>0.0017342463555748103</v>
      </c>
      <c r="E127" s="107">
        <v>2.9867717342662448</v>
      </c>
      <c r="F127" s="80" t="s">
        <v>3229</v>
      </c>
      <c r="G127" s="80" t="b">
        <v>0</v>
      </c>
      <c r="H127" s="80" t="b">
        <v>0</v>
      </c>
      <c r="I127" s="80" t="b">
        <v>0</v>
      </c>
      <c r="J127" s="80" t="b">
        <v>0</v>
      </c>
      <c r="K127" s="80" t="b">
        <v>0</v>
      </c>
      <c r="L127" s="80" t="b">
        <v>0</v>
      </c>
    </row>
    <row r="128" spans="1:12" ht="15">
      <c r="A128" s="81" t="s">
        <v>228</v>
      </c>
      <c r="B128" s="80" t="s">
        <v>452</v>
      </c>
      <c r="C128" s="80">
        <v>2</v>
      </c>
      <c r="D128" s="107">
        <v>0.0017342463555748103</v>
      </c>
      <c r="E128" s="107">
        <v>1.3100781246413784</v>
      </c>
      <c r="F128" s="80" t="s">
        <v>3229</v>
      </c>
      <c r="G128" s="80" t="b">
        <v>0</v>
      </c>
      <c r="H128" s="80" t="b">
        <v>0</v>
      </c>
      <c r="I128" s="80" t="b">
        <v>0</v>
      </c>
      <c r="J128" s="80" t="b">
        <v>0</v>
      </c>
      <c r="K128" s="80" t="b">
        <v>0</v>
      </c>
      <c r="L128" s="80" t="b">
        <v>0</v>
      </c>
    </row>
    <row r="129" spans="1:12" ht="15">
      <c r="A129" s="81" t="s">
        <v>376</v>
      </c>
      <c r="B129" s="80" t="s">
        <v>520</v>
      </c>
      <c r="C129" s="80">
        <v>2</v>
      </c>
      <c r="D129" s="107">
        <v>0.0017342463555748103</v>
      </c>
      <c r="E129" s="107">
        <v>2.287801729930226</v>
      </c>
      <c r="F129" s="80" t="s">
        <v>3229</v>
      </c>
      <c r="G129" s="80" t="b">
        <v>0</v>
      </c>
      <c r="H129" s="80" t="b">
        <v>0</v>
      </c>
      <c r="I129" s="80" t="b">
        <v>0</v>
      </c>
      <c r="J129" s="80" t="b">
        <v>0</v>
      </c>
      <c r="K129" s="80" t="b">
        <v>0</v>
      </c>
      <c r="L129" s="80" t="b">
        <v>0</v>
      </c>
    </row>
    <row r="130" spans="1:12" ht="15">
      <c r="A130" s="81" t="s">
        <v>285</v>
      </c>
      <c r="B130" s="80" t="s">
        <v>284</v>
      </c>
      <c r="C130" s="80">
        <v>2</v>
      </c>
      <c r="D130" s="107">
        <v>0.0017342463555748103</v>
      </c>
      <c r="E130" s="107">
        <v>2.810680475210564</v>
      </c>
      <c r="F130" s="80" t="s">
        <v>3229</v>
      </c>
      <c r="G130" s="80" t="b">
        <v>0</v>
      </c>
      <c r="H130" s="80" t="b">
        <v>0</v>
      </c>
      <c r="I130" s="80" t="b">
        <v>0</v>
      </c>
      <c r="J130" s="80" t="b">
        <v>0</v>
      </c>
      <c r="K130" s="80" t="b">
        <v>0</v>
      </c>
      <c r="L130" s="80" t="b">
        <v>0</v>
      </c>
    </row>
    <row r="131" spans="1:12" ht="15">
      <c r="A131" s="81" t="s">
        <v>3138</v>
      </c>
      <c r="B131" s="80" t="s">
        <v>3096</v>
      </c>
      <c r="C131" s="80">
        <v>2</v>
      </c>
      <c r="D131" s="107">
        <v>0.0017342463555748103</v>
      </c>
      <c r="E131" s="107">
        <v>2.810680475210564</v>
      </c>
      <c r="F131" s="80" t="s">
        <v>3229</v>
      </c>
      <c r="G131" s="80" t="b">
        <v>0</v>
      </c>
      <c r="H131" s="80" t="b">
        <v>0</v>
      </c>
      <c r="I131" s="80" t="b">
        <v>0</v>
      </c>
      <c r="J131" s="80" t="b">
        <v>0</v>
      </c>
      <c r="K131" s="80" t="b">
        <v>0</v>
      </c>
      <c r="L131" s="80" t="b">
        <v>0</v>
      </c>
    </row>
    <row r="132" spans="1:12" ht="15">
      <c r="A132" s="81" t="s">
        <v>3117</v>
      </c>
      <c r="B132" s="80" t="s">
        <v>3069</v>
      </c>
      <c r="C132" s="80">
        <v>2</v>
      </c>
      <c r="D132" s="107">
        <v>0.0017342463555748103</v>
      </c>
      <c r="E132" s="107">
        <v>2.5888317255942073</v>
      </c>
      <c r="F132" s="80" t="s">
        <v>3229</v>
      </c>
      <c r="G132" s="80" t="b">
        <v>0</v>
      </c>
      <c r="H132" s="80" t="b">
        <v>0</v>
      </c>
      <c r="I132" s="80" t="b">
        <v>0</v>
      </c>
      <c r="J132" s="80" t="b">
        <v>0</v>
      </c>
      <c r="K132" s="80" t="b">
        <v>0</v>
      </c>
      <c r="L132" s="80" t="b">
        <v>0</v>
      </c>
    </row>
    <row r="133" spans="1:12" ht="15">
      <c r="A133" s="81" t="s">
        <v>3083</v>
      </c>
      <c r="B133" s="80" t="s">
        <v>3100</v>
      </c>
      <c r="C133" s="80">
        <v>2</v>
      </c>
      <c r="D133" s="107">
        <v>0.0017342463555748103</v>
      </c>
      <c r="E133" s="107">
        <v>2.6345892161548825</v>
      </c>
      <c r="F133" s="80" t="s">
        <v>3229</v>
      </c>
      <c r="G133" s="80" t="b">
        <v>0</v>
      </c>
      <c r="H133" s="80" t="b">
        <v>0</v>
      </c>
      <c r="I133" s="80" t="b">
        <v>0</v>
      </c>
      <c r="J133" s="80" t="b">
        <v>0</v>
      </c>
      <c r="K133" s="80" t="b">
        <v>0</v>
      </c>
      <c r="L133" s="80" t="b">
        <v>0</v>
      </c>
    </row>
    <row r="134" spans="1:12" ht="15">
      <c r="A134" s="81" t="s">
        <v>284</v>
      </c>
      <c r="B134" s="80" t="s">
        <v>283</v>
      </c>
      <c r="C134" s="80">
        <v>2</v>
      </c>
      <c r="D134" s="107">
        <v>0.0017342463555748103</v>
      </c>
      <c r="E134" s="107">
        <v>2.9867717342662448</v>
      </c>
      <c r="F134" s="80" t="s">
        <v>3229</v>
      </c>
      <c r="G134" s="80" t="b">
        <v>0</v>
      </c>
      <c r="H134" s="80" t="b">
        <v>0</v>
      </c>
      <c r="I134" s="80" t="b">
        <v>0</v>
      </c>
      <c r="J134" s="80" t="b">
        <v>0</v>
      </c>
      <c r="K134" s="80" t="b">
        <v>0</v>
      </c>
      <c r="L134" s="80" t="b">
        <v>0</v>
      </c>
    </row>
    <row r="135" spans="1:12" ht="15">
      <c r="A135" s="81" t="s">
        <v>228</v>
      </c>
      <c r="B135" s="80" t="s">
        <v>3084</v>
      </c>
      <c r="C135" s="80">
        <v>2</v>
      </c>
      <c r="D135" s="107">
        <v>0.0017342463555748103</v>
      </c>
      <c r="E135" s="107">
        <v>1.133986865585697</v>
      </c>
      <c r="F135" s="80" t="s">
        <v>3229</v>
      </c>
      <c r="G135" s="80" t="b">
        <v>0</v>
      </c>
      <c r="H135" s="80" t="b">
        <v>0</v>
      </c>
      <c r="I135" s="80" t="b">
        <v>0</v>
      </c>
      <c r="J135" s="80" t="b">
        <v>0</v>
      </c>
      <c r="K135" s="80" t="b">
        <v>0</v>
      </c>
      <c r="L135" s="80" t="b">
        <v>0</v>
      </c>
    </row>
    <row r="136" spans="1:12" ht="15">
      <c r="A136" s="81" t="s">
        <v>259</v>
      </c>
      <c r="B136" s="80" t="s">
        <v>468</v>
      </c>
      <c r="C136" s="80">
        <v>2</v>
      </c>
      <c r="D136" s="107">
        <v>0.0017342463555748103</v>
      </c>
      <c r="E136" s="107">
        <v>2.5096504795465826</v>
      </c>
      <c r="F136" s="80" t="s">
        <v>3229</v>
      </c>
      <c r="G136" s="80" t="b">
        <v>0</v>
      </c>
      <c r="H136" s="80" t="b">
        <v>0</v>
      </c>
      <c r="I136" s="80" t="b">
        <v>0</v>
      </c>
      <c r="J136" s="80" t="b">
        <v>0</v>
      </c>
      <c r="K136" s="80" t="b">
        <v>0</v>
      </c>
      <c r="L136" s="80" t="b">
        <v>0</v>
      </c>
    </row>
    <row r="137" spans="1:12" ht="15">
      <c r="A137" s="81" t="s">
        <v>3134</v>
      </c>
      <c r="B137" s="80" t="s">
        <v>3163</v>
      </c>
      <c r="C137" s="80">
        <v>2</v>
      </c>
      <c r="D137" s="107">
        <v>0.0017342463555748103</v>
      </c>
      <c r="E137" s="107">
        <v>2.9867717342662448</v>
      </c>
      <c r="F137" s="80" t="s">
        <v>3229</v>
      </c>
      <c r="G137" s="80" t="b">
        <v>0</v>
      </c>
      <c r="H137" s="80" t="b">
        <v>0</v>
      </c>
      <c r="I137" s="80" t="b">
        <v>0</v>
      </c>
      <c r="J137" s="80" t="b">
        <v>0</v>
      </c>
      <c r="K137" s="80" t="b">
        <v>0</v>
      </c>
      <c r="L137" s="80" t="b">
        <v>0</v>
      </c>
    </row>
    <row r="138" spans="1:12" ht="15">
      <c r="A138" s="81" t="s">
        <v>3075</v>
      </c>
      <c r="B138" s="80" t="s">
        <v>228</v>
      </c>
      <c r="C138" s="80">
        <v>2</v>
      </c>
      <c r="D138" s="107">
        <v>0.0017342463555748103</v>
      </c>
      <c r="E138" s="107">
        <v>0.9697383949674646</v>
      </c>
      <c r="F138" s="80" t="s">
        <v>3229</v>
      </c>
      <c r="G138" s="80" t="b">
        <v>0</v>
      </c>
      <c r="H138" s="80" t="b">
        <v>0</v>
      </c>
      <c r="I138" s="80" t="b">
        <v>0</v>
      </c>
      <c r="J138" s="80" t="b">
        <v>0</v>
      </c>
      <c r="K138" s="80" t="b">
        <v>0</v>
      </c>
      <c r="L138" s="80" t="b">
        <v>0</v>
      </c>
    </row>
    <row r="139" spans="1:12" ht="15">
      <c r="A139" s="81" t="s">
        <v>465</v>
      </c>
      <c r="B139" s="80" t="s">
        <v>464</v>
      </c>
      <c r="C139" s="80">
        <v>2</v>
      </c>
      <c r="D139" s="107">
        <v>0.0017342463555748103</v>
      </c>
      <c r="E139" s="107">
        <v>2.9867717342662448</v>
      </c>
      <c r="F139" s="80" t="s">
        <v>3229</v>
      </c>
      <c r="G139" s="80" t="b">
        <v>0</v>
      </c>
      <c r="H139" s="80" t="b">
        <v>0</v>
      </c>
      <c r="I139" s="80" t="b">
        <v>0</v>
      </c>
      <c r="J139" s="80" t="b">
        <v>0</v>
      </c>
      <c r="K139" s="80" t="b">
        <v>0</v>
      </c>
      <c r="L139" s="80" t="b">
        <v>0</v>
      </c>
    </row>
    <row r="140" spans="1:12" ht="15">
      <c r="A140" s="81" t="s">
        <v>3057</v>
      </c>
      <c r="B140" s="80" t="s">
        <v>3103</v>
      </c>
      <c r="C140" s="80">
        <v>2</v>
      </c>
      <c r="D140" s="107">
        <v>0.0017342463555748103</v>
      </c>
      <c r="E140" s="107">
        <v>2.2086204838826013</v>
      </c>
      <c r="F140" s="80" t="s">
        <v>3229</v>
      </c>
      <c r="G140" s="80" t="b">
        <v>0</v>
      </c>
      <c r="H140" s="80" t="b">
        <v>0</v>
      </c>
      <c r="I140" s="80" t="b">
        <v>0</v>
      </c>
      <c r="J140" s="80" t="b">
        <v>0</v>
      </c>
      <c r="K140" s="80" t="b">
        <v>0</v>
      </c>
      <c r="L140" s="80" t="b">
        <v>0</v>
      </c>
    </row>
    <row r="141" spans="1:12" ht="15">
      <c r="A141" s="81" t="s">
        <v>3052</v>
      </c>
      <c r="B141" s="80" t="s">
        <v>3053</v>
      </c>
      <c r="C141" s="80">
        <v>12</v>
      </c>
      <c r="D141" s="107">
        <v>0.00793590280392729</v>
      </c>
      <c r="E141" s="107">
        <v>1.5807349540222255</v>
      </c>
      <c r="F141" s="80" t="s">
        <v>3013</v>
      </c>
      <c r="G141" s="80" t="b">
        <v>1</v>
      </c>
      <c r="H141" s="80" t="b">
        <v>0</v>
      </c>
      <c r="I141" s="80" t="b">
        <v>0</v>
      </c>
      <c r="J141" s="80" t="b">
        <v>0</v>
      </c>
      <c r="K141" s="80" t="b">
        <v>0</v>
      </c>
      <c r="L141" s="80" t="b">
        <v>0</v>
      </c>
    </row>
    <row r="142" spans="1:12" ht="15">
      <c r="A142" s="81" t="s">
        <v>370</v>
      </c>
      <c r="B142" s="80" t="s">
        <v>369</v>
      </c>
      <c r="C142" s="80">
        <v>4</v>
      </c>
      <c r="D142" s="107">
        <v>0.006604813421942533</v>
      </c>
      <c r="E142" s="107">
        <v>2.057856208741888</v>
      </c>
      <c r="F142" s="80" t="s">
        <v>3013</v>
      </c>
      <c r="G142" s="80" t="b">
        <v>0</v>
      </c>
      <c r="H142" s="80" t="b">
        <v>0</v>
      </c>
      <c r="I142" s="80" t="b">
        <v>0</v>
      </c>
      <c r="J142" s="80" t="b">
        <v>0</v>
      </c>
      <c r="K142" s="80" t="b">
        <v>0</v>
      </c>
      <c r="L142" s="80" t="b">
        <v>0</v>
      </c>
    </row>
    <row r="143" spans="1:12" ht="15">
      <c r="A143" s="81" t="s">
        <v>372</v>
      </c>
      <c r="B143" s="80" t="s">
        <v>228</v>
      </c>
      <c r="C143" s="80">
        <v>4</v>
      </c>
      <c r="D143" s="107">
        <v>0.006604813421942533</v>
      </c>
      <c r="E143" s="107">
        <v>1.212758168727631</v>
      </c>
      <c r="F143" s="80" t="s">
        <v>3013</v>
      </c>
      <c r="G143" s="80" t="b">
        <v>0</v>
      </c>
      <c r="H143" s="80" t="b">
        <v>0</v>
      </c>
      <c r="I143" s="80" t="b">
        <v>0</v>
      </c>
      <c r="J143" s="80" t="b">
        <v>0</v>
      </c>
      <c r="K143" s="80" t="b">
        <v>0</v>
      </c>
      <c r="L143" s="80" t="b">
        <v>0</v>
      </c>
    </row>
    <row r="144" spans="1:12" ht="15">
      <c r="A144" s="81" t="s">
        <v>371</v>
      </c>
      <c r="B144" s="80" t="s">
        <v>370</v>
      </c>
      <c r="C144" s="80">
        <v>4</v>
      </c>
      <c r="D144" s="107">
        <v>0.006604813421942533</v>
      </c>
      <c r="E144" s="107">
        <v>2.057856208741888</v>
      </c>
      <c r="F144" s="80" t="s">
        <v>3013</v>
      </c>
      <c r="G144" s="80" t="b">
        <v>0</v>
      </c>
      <c r="H144" s="80" t="b">
        <v>0</v>
      </c>
      <c r="I144" s="80" t="b">
        <v>0</v>
      </c>
      <c r="J144" s="80" t="b">
        <v>0</v>
      </c>
      <c r="K144" s="80" t="b">
        <v>0</v>
      </c>
      <c r="L144" s="80" t="b">
        <v>0</v>
      </c>
    </row>
    <row r="145" spans="1:12" ht="15">
      <c r="A145" s="81" t="s">
        <v>375</v>
      </c>
      <c r="B145" s="80" t="s">
        <v>374</v>
      </c>
      <c r="C145" s="80">
        <v>4</v>
      </c>
      <c r="D145" s="107">
        <v>0.006604813421942533</v>
      </c>
      <c r="E145" s="107">
        <v>2.057856208741888</v>
      </c>
      <c r="F145" s="80" t="s">
        <v>3013</v>
      </c>
      <c r="G145" s="80" t="b">
        <v>0</v>
      </c>
      <c r="H145" s="80" t="b">
        <v>0</v>
      </c>
      <c r="I145" s="80" t="b">
        <v>0</v>
      </c>
      <c r="J145" s="80" t="b">
        <v>0</v>
      </c>
      <c r="K145" s="80" t="b">
        <v>0</v>
      </c>
      <c r="L145" s="80" t="b">
        <v>0</v>
      </c>
    </row>
    <row r="146" spans="1:12" ht="15">
      <c r="A146" s="81" t="s">
        <v>228</v>
      </c>
      <c r="B146" s="80" t="s">
        <v>371</v>
      </c>
      <c r="C146" s="80">
        <v>4</v>
      </c>
      <c r="D146" s="107">
        <v>0.006604813421942533</v>
      </c>
      <c r="E146" s="107">
        <v>1.212758168727631</v>
      </c>
      <c r="F146" s="80" t="s">
        <v>3013</v>
      </c>
      <c r="G146" s="80" t="b">
        <v>0</v>
      </c>
      <c r="H146" s="80" t="b">
        <v>0</v>
      </c>
      <c r="I146" s="80" t="b">
        <v>0</v>
      </c>
      <c r="J146" s="80" t="b">
        <v>0</v>
      </c>
      <c r="K146" s="80" t="b">
        <v>0</v>
      </c>
      <c r="L146" s="80" t="b">
        <v>0</v>
      </c>
    </row>
    <row r="147" spans="1:12" ht="15">
      <c r="A147" s="81" t="s">
        <v>3065</v>
      </c>
      <c r="B147" s="80" t="s">
        <v>3077</v>
      </c>
      <c r="C147" s="80">
        <v>4</v>
      </c>
      <c r="D147" s="107">
        <v>0.006604813421942533</v>
      </c>
      <c r="E147" s="107">
        <v>1.8817649496862066</v>
      </c>
      <c r="F147" s="80" t="s">
        <v>3013</v>
      </c>
      <c r="G147" s="80" t="b">
        <v>0</v>
      </c>
      <c r="H147" s="80" t="b">
        <v>0</v>
      </c>
      <c r="I147" s="80" t="b">
        <v>0</v>
      </c>
      <c r="J147" s="80" t="b">
        <v>0</v>
      </c>
      <c r="K147" s="80" t="b">
        <v>0</v>
      </c>
      <c r="L147" s="80" t="b">
        <v>0</v>
      </c>
    </row>
    <row r="148" spans="1:12" ht="15">
      <c r="A148" s="81" t="s">
        <v>373</v>
      </c>
      <c r="B148" s="80" t="s">
        <v>372</v>
      </c>
      <c r="C148" s="80">
        <v>4</v>
      </c>
      <c r="D148" s="107">
        <v>0.006604813421942533</v>
      </c>
      <c r="E148" s="107">
        <v>2.057856208741888</v>
      </c>
      <c r="F148" s="80" t="s">
        <v>3013</v>
      </c>
      <c r="G148" s="80" t="b">
        <v>0</v>
      </c>
      <c r="H148" s="80" t="b">
        <v>0</v>
      </c>
      <c r="I148" s="80" t="b">
        <v>0</v>
      </c>
      <c r="J148" s="80" t="b">
        <v>0</v>
      </c>
      <c r="K148" s="80" t="b">
        <v>0</v>
      </c>
      <c r="L148" s="80" t="b">
        <v>0</v>
      </c>
    </row>
    <row r="149" spans="1:12" ht="15">
      <c r="A149" s="81" t="s">
        <v>228</v>
      </c>
      <c r="B149" s="80" t="s">
        <v>238</v>
      </c>
      <c r="C149" s="80">
        <v>4</v>
      </c>
      <c r="D149" s="107">
        <v>0.006604813421942533</v>
      </c>
      <c r="E149" s="107">
        <v>1.1158481557195745</v>
      </c>
      <c r="F149" s="80" t="s">
        <v>3013</v>
      </c>
      <c r="G149" s="80" t="b">
        <v>0</v>
      </c>
      <c r="H149" s="80" t="b">
        <v>0</v>
      </c>
      <c r="I149" s="80" t="b">
        <v>0</v>
      </c>
      <c r="J149" s="80" t="b">
        <v>0</v>
      </c>
      <c r="K149" s="80" t="b">
        <v>0</v>
      </c>
      <c r="L149" s="80" t="b">
        <v>0</v>
      </c>
    </row>
    <row r="150" spans="1:12" ht="15">
      <c r="A150" s="81" t="s">
        <v>376</v>
      </c>
      <c r="B150" s="80" t="s">
        <v>375</v>
      </c>
      <c r="C150" s="80">
        <v>4</v>
      </c>
      <c r="D150" s="107">
        <v>0.006604813421942533</v>
      </c>
      <c r="E150" s="107">
        <v>1.7568262130779067</v>
      </c>
      <c r="F150" s="80" t="s">
        <v>3013</v>
      </c>
      <c r="G150" s="80" t="b">
        <v>0</v>
      </c>
      <c r="H150" s="80" t="b">
        <v>0</v>
      </c>
      <c r="I150" s="80" t="b">
        <v>0</v>
      </c>
      <c r="J150" s="80" t="b">
        <v>0</v>
      </c>
      <c r="K150" s="80" t="b">
        <v>0</v>
      </c>
      <c r="L150" s="80" t="b">
        <v>0</v>
      </c>
    </row>
    <row r="151" spans="1:12" ht="15">
      <c r="A151" s="81" t="s">
        <v>252</v>
      </c>
      <c r="B151" s="80" t="s">
        <v>228</v>
      </c>
      <c r="C151" s="80">
        <v>3</v>
      </c>
      <c r="D151" s="107">
        <v>0.005731237057794866</v>
      </c>
      <c r="E151" s="107">
        <v>1.087819432119331</v>
      </c>
      <c r="F151" s="80" t="s">
        <v>3013</v>
      </c>
      <c r="G151" s="80" t="b">
        <v>0</v>
      </c>
      <c r="H151" s="80" t="b">
        <v>0</v>
      </c>
      <c r="I151" s="80" t="b">
        <v>0</v>
      </c>
      <c r="J151" s="80" t="b">
        <v>0</v>
      </c>
      <c r="K151" s="80" t="b">
        <v>0</v>
      </c>
      <c r="L151" s="80" t="b">
        <v>0</v>
      </c>
    </row>
    <row r="152" spans="1:12" ht="15">
      <c r="A152" s="81" t="s">
        <v>3053</v>
      </c>
      <c r="B152" s="80" t="s">
        <v>3065</v>
      </c>
      <c r="C152" s="80">
        <v>3</v>
      </c>
      <c r="D152" s="107">
        <v>0.005731237057794866</v>
      </c>
      <c r="E152" s="107">
        <v>1.2797049583582443</v>
      </c>
      <c r="F152" s="80" t="s">
        <v>3013</v>
      </c>
      <c r="G152" s="80" t="b">
        <v>0</v>
      </c>
      <c r="H152" s="80" t="b">
        <v>0</v>
      </c>
      <c r="I152" s="80" t="b">
        <v>0</v>
      </c>
      <c r="J152" s="80" t="b">
        <v>0</v>
      </c>
      <c r="K152" s="80" t="b">
        <v>0</v>
      </c>
      <c r="L152" s="80" t="b">
        <v>0</v>
      </c>
    </row>
    <row r="153" spans="1:12" ht="15">
      <c r="A153" s="81" t="s">
        <v>374</v>
      </c>
      <c r="B153" s="80" t="s">
        <v>373</v>
      </c>
      <c r="C153" s="80">
        <v>3</v>
      </c>
      <c r="D153" s="107">
        <v>0.005731237057794866</v>
      </c>
      <c r="E153" s="107">
        <v>1.932917472133588</v>
      </c>
      <c r="F153" s="80" t="s">
        <v>3013</v>
      </c>
      <c r="G153" s="80" t="b">
        <v>0</v>
      </c>
      <c r="H153" s="80" t="b">
        <v>0</v>
      </c>
      <c r="I153" s="80" t="b">
        <v>0</v>
      </c>
      <c r="J153" s="80" t="b">
        <v>0</v>
      </c>
      <c r="K153" s="80" t="b">
        <v>0</v>
      </c>
      <c r="L153" s="80" t="b">
        <v>0</v>
      </c>
    </row>
    <row r="154" spans="1:12" ht="15">
      <c r="A154" s="81" t="s">
        <v>253</v>
      </c>
      <c r="B154" s="80" t="s">
        <v>228</v>
      </c>
      <c r="C154" s="80">
        <v>3</v>
      </c>
      <c r="D154" s="107">
        <v>0.005731237057794866</v>
      </c>
      <c r="E154" s="107">
        <v>0.9909094191112746</v>
      </c>
      <c r="F154" s="80" t="s">
        <v>3013</v>
      </c>
      <c r="G154" s="80" t="b">
        <v>0</v>
      </c>
      <c r="H154" s="80" t="b">
        <v>0</v>
      </c>
      <c r="I154" s="80" t="b">
        <v>0</v>
      </c>
      <c r="J154" s="80" t="b">
        <v>0</v>
      </c>
      <c r="K154" s="80" t="b">
        <v>0</v>
      </c>
      <c r="L154" s="80" t="b">
        <v>0</v>
      </c>
    </row>
    <row r="155" spans="1:12" ht="15">
      <c r="A155" s="81" t="s">
        <v>414</v>
      </c>
      <c r="B155" s="80" t="s">
        <v>3052</v>
      </c>
      <c r="C155" s="80">
        <v>3</v>
      </c>
      <c r="D155" s="107">
        <v>0.005731237057794866</v>
      </c>
      <c r="E155" s="107">
        <v>1.2797049583582443</v>
      </c>
      <c r="F155" s="80" t="s">
        <v>3013</v>
      </c>
      <c r="G155" s="80" t="b">
        <v>0</v>
      </c>
      <c r="H155" s="80" t="b">
        <v>0</v>
      </c>
      <c r="I155" s="80" t="b">
        <v>0</v>
      </c>
      <c r="J155" s="80" t="b">
        <v>1</v>
      </c>
      <c r="K155" s="80" t="b">
        <v>0</v>
      </c>
      <c r="L155" s="80" t="b">
        <v>0</v>
      </c>
    </row>
    <row r="156" spans="1:12" ht="15">
      <c r="A156" s="81" t="s">
        <v>238</v>
      </c>
      <c r="B156" s="80" t="s">
        <v>471</v>
      </c>
      <c r="C156" s="80">
        <v>3</v>
      </c>
      <c r="D156" s="107">
        <v>0.005731237057794866</v>
      </c>
      <c r="E156" s="107">
        <v>1.739097446117475</v>
      </c>
      <c r="F156" s="80" t="s">
        <v>3013</v>
      </c>
      <c r="G156" s="80" t="b">
        <v>0</v>
      </c>
      <c r="H156" s="80" t="b">
        <v>0</v>
      </c>
      <c r="I156" s="80" t="b">
        <v>0</v>
      </c>
      <c r="J156" s="80" t="b">
        <v>0</v>
      </c>
      <c r="K156" s="80" t="b">
        <v>0</v>
      </c>
      <c r="L156" s="80" t="b">
        <v>0</v>
      </c>
    </row>
    <row r="157" spans="1:12" ht="15">
      <c r="A157" s="81" t="s">
        <v>3117</v>
      </c>
      <c r="B157" s="80" t="s">
        <v>3069</v>
      </c>
      <c r="C157" s="80">
        <v>2</v>
      </c>
      <c r="D157" s="107">
        <v>0.004551493829908948</v>
      </c>
      <c r="E157" s="107">
        <v>1.9609461957338314</v>
      </c>
      <c r="F157" s="80" t="s">
        <v>3013</v>
      </c>
      <c r="G157" s="80" t="b">
        <v>0</v>
      </c>
      <c r="H157" s="80" t="b">
        <v>0</v>
      </c>
      <c r="I157" s="80" t="b">
        <v>0</v>
      </c>
      <c r="J157" s="80" t="b">
        <v>0</v>
      </c>
      <c r="K157" s="80" t="b">
        <v>0</v>
      </c>
      <c r="L157" s="80" t="b">
        <v>0</v>
      </c>
    </row>
    <row r="158" spans="1:12" ht="15">
      <c r="A158" s="81" t="s">
        <v>229</v>
      </c>
      <c r="B158" s="80" t="s">
        <v>376</v>
      </c>
      <c r="C158" s="80">
        <v>2</v>
      </c>
      <c r="D158" s="107">
        <v>0.004551493829908948</v>
      </c>
      <c r="E158" s="107">
        <v>1.5137881643916122</v>
      </c>
      <c r="F158" s="80" t="s">
        <v>3013</v>
      </c>
      <c r="G158" s="80" t="b">
        <v>0</v>
      </c>
      <c r="H158" s="80" t="b">
        <v>0</v>
      </c>
      <c r="I158" s="80" t="b">
        <v>0</v>
      </c>
      <c r="J158" s="80" t="b">
        <v>0</v>
      </c>
      <c r="K158" s="80" t="b">
        <v>0</v>
      </c>
      <c r="L158" s="80" t="b">
        <v>0</v>
      </c>
    </row>
    <row r="159" spans="1:12" ht="15">
      <c r="A159" s="81" t="s">
        <v>3097</v>
      </c>
      <c r="B159" s="80" t="s">
        <v>3159</v>
      </c>
      <c r="C159" s="80">
        <v>2</v>
      </c>
      <c r="D159" s="107">
        <v>0.005800580948846629</v>
      </c>
      <c r="E159" s="107">
        <v>2.358886204405869</v>
      </c>
      <c r="F159" s="80" t="s">
        <v>3013</v>
      </c>
      <c r="G159" s="80" t="b">
        <v>0</v>
      </c>
      <c r="H159" s="80" t="b">
        <v>0</v>
      </c>
      <c r="I159" s="80" t="b">
        <v>0</v>
      </c>
      <c r="J159" s="80" t="b">
        <v>0</v>
      </c>
      <c r="K159" s="80" t="b">
        <v>0</v>
      </c>
      <c r="L159" s="80" t="b">
        <v>0</v>
      </c>
    </row>
    <row r="160" spans="1:12" ht="15">
      <c r="A160" s="81" t="s">
        <v>3058</v>
      </c>
      <c r="B160" s="80" t="s">
        <v>3058</v>
      </c>
      <c r="C160" s="80">
        <v>2</v>
      </c>
      <c r="D160" s="107">
        <v>0.005800580948846629</v>
      </c>
      <c r="E160" s="107">
        <v>1.212758168727631</v>
      </c>
      <c r="F160" s="80" t="s">
        <v>3013</v>
      </c>
      <c r="G160" s="80" t="b">
        <v>0</v>
      </c>
      <c r="H160" s="80" t="b">
        <v>0</v>
      </c>
      <c r="I160" s="80" t="b">
        <v>0</v>
      </c>
      <c r="J160" s="80" t="b">
        <v>0</v>
      </c>
      <c r="K160" s="80" t="b">
        <v>0</v>
      </c>
      <c r="L160" s="80" t="b">
        <v>0</v>
      </c>
    </row>
    <row r="161" spans="1:12" ht="15">
      <c r="A161" s="81" t="s">
        <v>3211</v>
      </c>
      <c r="B161" s="80" t="s">
        <v>228</v>
      </c>
      <c r="C161" s="80">
        <v>2</v>
      </c>
      <c r="D161" s="107">
        <v>0.004551493829908948</v>
      </c>
      <c r="E161" s="107">
        <v>1.212758168727631</v>
      </c>
      <c r="F161" s="80" t="s">
        <v>3013</v>
      </c>
      <c r="G161" s="80" t="b">
        <v>0</v>
      </c>
      <c r="H161" s="80" t="b">
        <v>0</v>
      </c>
      <c r="I161" s="80" t="b">
        <v>0</v>
      </c>
      <c r="J161" s="80" t="b">
        <v>0</v>
      </c>
      <c r="K161" s="80" t="b">
        <v>0</v>
      </c>
      <c r="L161" s="80" t="b">
        <v>0</v>
      </c>
    </row>
    <row r="162" spans="1:12" ht="15">
      <c r="A162" s="81" t="s">
        <v>3159</v>
      </c>
      <c r="B162" s="80" t="s">
        <v>3135</v>
      </c>
      <c r="C162" s="80">
        <v>2</v>
      </c>
      <c r="D162" s="107">
        <v>0.005800580948846629</v>
      </c>
      <c r="E162" s="107">
        <v>2.358886204405869</v>
      </c>
      <c r="F162" s="80" t="s">
        <v>3013</v>
      </c>
      <c r="G162" s="80" t="b">
        <v>0</v>
      </c>
      <c r="H162" s="80" t="b">
        <v>0</v>
      </c>
      <c r="I162" s="80" t="b">
        <v>0</v>
      </c>
      <c r="J162" s="80" t="b">
        <v>0</v>
      </c>
      <c r="K162" s="80" t="b">
        <v>0</v>
      </c>
      <c r="L162" s="80" t="b">
        <v>0</v>
      </c>
    </row>
    <row r="163" spans="1:12" ht="15">
      <c r="A163" s="81" t="s">
        <v>228</v>
      </c>
      <c r="B163" s="80" t="s">
        <v>376</v>
      </c>
      <c r="C163" s="80">
        <v>2</v>
      </c>
      <c r="D163" s="107">
        <v>0.004551493829908948</v>
      </c>
      <c r="E163" s="107">
        <v>0.6686901243773554</v>
      </c>
      <c r="F163" s="80" t="s">
        <v>3013</v>
      </c>
      <c r="G163" s="80" t="b">
        <v>0</v>
      </c>
      <c r="H163" s="80" t="b">
        <v>0</v>
      </c>
      <c r="I163" s="80" t="b">
        <v>0</v>
      </c>
      <c r="J163" s="80" t="b">
        <v>0</v>
      </c>
      <c r="K163" s="80" t="b">
        <v>0</v>
      </c>
      <c r="L163" s="80" t="b">
        <v>0</v>
      </c>
    </row>
    <row r="164" spans="1:12" ht="15">
      <c r="A164" s="81" t="s">
        <v>3052</v>
      </c>
      <c r="B164" s="80" t="s">
        <v>3053</v>
      </c>
      <c r="C164" s="80">
        <v>4</v>
      </c>
      <c r="D164" s="107">
        <v>0.010650659831361212</v>
      </c>
      <c r="E164" s="107">
        <v>1.738384123512156</v>
      </c>
      <c r="F164" s="80" t="s">
        <v>1457</v>
      </c>
      <c r="G164" s="80" t="b">
        <v>1</v>
      </c>
      <c r="H164" s="80" t="b">
        <v>0</v>
      </c>
      <c r="I164" s="80" t="b">
        <v>0</v>
      </c>
      <c r="J164" s="80" t="b">
        <v>0</v>
      </c>
      <c r="K164" s="80" t="b">
        <v>0</v>
      </c>
      <c r="L164" s="80" t="b">
        <v>0</v>
      </c>
    </row>
    <row r="165" spans="1:12" ht="15">
      <c r="A165" s="81" t="s">
        <v>229</v>
      </c>
      <c r="B165" s="80" t="s">
        <v>228</v>
      </c>
      <c r="C165" s="80">
        <v>3</v>
      </c>
      <c r="D165" s="107">
        <v>0.009576199152439978</v>
      </c>
      <c r="E165" s="107">
        <v>1.1741126930735934</v>
      </c>
      <c r="F165" s="80" t="s">
        <v>1457</v>
      </c>
      <c r="G165" s="80" t="b">
        <v>0</v>
      </c>
      <c r="H165" s="80" t="b">
        <v>0</v>
      </c>
      <c r="I165" s="80" t="b">
        <v>0</v>
      </c>
      <c r="J165" s="80" t="b">
        <v>0</v>
      </c>
      <c r="K165" s="80" t="b">
        <v>0</v>
      </c>
      <c r="L165" s="80" t="b">
        <v>0</v>
      </c>
    </row>
    <row r="166" spans="1:12" ht="15">
      <c r="A166" s="81" t="s">
        <v>234</v>
      </c>
      <c r="B166" s="80" t="s">
        <v>228</v>
      </c>
      <c r="C166" s="80">
        <v>3</v>
      </c>
      <c r="D166" s="107">
        <v>0.009576199152439978</v>
      </c>
      <c r="E166" s="107">
        <v>0.8730826974096122</v>
      </c>
      <c r="F166" s="80" t="s">
        <v>1457</v>
      </c>
      <c r="G166" s="80" t="b">
        <v>0</v>
      </c>
      <c r="H166" s="80" t="b">
        <v>0</v>
      </c>
      <c r="I166" s="80" t="b">
        <v>0</v>
      </c>
      <c r="J166" s="80" t="b">
        <v>0</v>
      </c>
      <c r="K166" s="80" t="b">
        <v>0</v>
      </c>
      <c r="L166" s="80" t="b">
        <v>0</v>
      </c>
    </row>
    <row r="167" spans="1:12" ht="15">
      <c r="A167" s="81" t="s">
        <v>228</v>
      </c>
      <c r="B167" s="80" t="s">
        <v>234</v>
      </c>
      <c r="C167" s="80">
        <v>3</v>
      </c>
      <c r="D167" s="107">
        <v>0.009576199152439978</v>
      </c>
      <c r="E167" s="107">
        <v>0.8932860834978992</v>
      </c>
      <c r="F167" s="80" t="s">
        <v>1457</v>
      </c>
      <c r="G167" s="80" t="b">
        <v>0</v>
      </c>
      <c r="H167" s="80" t="b">
        <v>0</v>
      </c>
      <c r="I167" s="80" t="b">
        <v>0</v>
      </c>
      <c r="J167" s="80" t="b">
        <v>0</v>
      </c>
      <c r="K167" s="80" t="b">
        <v>0</v>
      </c>
      <c r="L167" s="80" t="b">
        <v>0</v>
      </c>
    </row>
    <row r="168" spans="1:12" ht="15">
      <c r="A168" s="81" t="s">
        <v>3059</v>
      </c>
      <c r="B168" s="80" t="s">
        <v>3062</v>
      </c>
      <c r="C168" s="80">
        <v>3</v>
      </c>
      <c r="D168" s="107">
        <v>0.009576199152439978</v>
      </c>
      <c r="E168" s="107">
        <v>1.6414741105040995</v>
      </c>
      <c r="F168" s="80" t="s">
        <v>1457</v>
      </c>
      <c r="G168" s="80" t="b">
        <v>0</v>
      </c>
      <c r="H168" s="80" t="b">
        <v>0</v>
      </c>
      <c r="I168" s="80" t="b">
        <v>0</v>
      </c>
      <c r="J168" s="80" t="b">
        <v>0</v>
      </c>
      <c r="K168" s="80" t="b">
        <v>0</v>
      </c>
      <c r="L168" s="80" t="b">
        <v>0</v>
      </c>
    </row>
    <row r="169" spans="1:12" ht="15">
      <c r="A169" s="81" t="s">
        <v>267</v>
      </c>
      <c r="B169" s="80" t="s">
        <v>266</v>
      </c>
      <c r="C169" s="80">
        <v>3</v>
      </c>
      <c r="D169" s="107">
        <v>0.009576199152439978</v>
      </c>
      <c r="E169" s="107">
        <v>1.863322860120456</v>
      </c>
      <c r="F169" s="80" t="s">
        <v>1457</v>
      </c>
      <c r="G169" s="80" t="b">
        <v>0</v>
      </c>
      <c r="H169" s="80" t="b">
        <v>0</v>
      </c>
      <c r="I169" s="80" t="b">
        <v>0</v>
      </c>
      <c r="J169" s="80" t="b">
        <v>0</v>
      </c>
      <c r="K169" s="80" t="b">
        <v>0</v>
      </c>
      <c r="L169" s="80" t="b">
        <v>0</v>
      </c>
    </row>
    <row r="170" spans="1:12" ht="15">
      <c r="A170" s="81" t="s">
        <v>421</v>
      </c>
      <c r="B170" s="80" t="s">
        <v>228</v>
      </c>
      <c r="C170" s="80">
        <v>2</v>
      </c>
      <c r="D170" s="107">
        <v>0.007876431573849938</v>
      </c>
      <c r="E170" s="107">
        <v>1.2990514296818934</v>
      </c>
      <c r="F170" s="80" t="s">
        <v>1457</v>
      </c>
      <c r="G170" s="80" t="b">
        <v>0</v>
      </c>
      <c r="H170" s="80" t="b">
        <v>0</v>
      </c>
      <c r="I170" s="80" t="b">
        <v>0</v>
      </c>
      <c r="J170" s="80" t="b">
        <v>0</v>
      </c>
      <c r="K170" s="80" t="b">
        <v>0</v>
      </c>
      <c r="L170" s="80" t="b">
        <v>0</v>
      </c>
    </row>
    <row r="171" spans="1:12" ht="15">
      <c r="A171" s="81" t="s">
        <v>266</v>
      </c>
      <c r="B171" s="80" t="s">
        <v>265</v>
      </c>
      <c r="C171" s="80">
        <v>2</v>
      </c>
      <c r="D171" s="107">
        <v>0.007876431573849938</v>
      </c>
      <c r="E171" s="107">
        <v>1.863322860120456</v>
      </c>
      <c r="F171" s="80" t="s">
        <v>1457</v>
      </c>
      <c r="G171" s="80" t="b">
        <v>0</v>
      </c>
      <c r="H171" s="80" t="b">
        <v>0</v>
      </c>
      <c r="I171" s="80" t="b">
        <v>0</v>
      </c>
      <c r="J171" s="80" t="b">
        <v>0</v>
      </c>
      <c r="K171" s="80" t="b">
        <v>0</v>
      </c>
      <c r="L171" s="80" t="b">
        <v>0</v>
      </c>
    </row>
    <row r="172" spans="1:12" ht="15">
      <c r="A172" s="81" t="s">
        <v>273</v>
      </c>
      <c r="B172" s="80" t="s">
        <v>272</v>
      </c>
      <c r="C172" s="80">
        <v>2</v>
      </c>
      <c r="D172" s="107">
        <v>0.007876431573849938</v>
      </c>
      <c r="E172" s="107">
        <v>1.6872316010647748</v>
      </c>
      <c r="F172" s="80" t="s">
        <v>1457</v>
      </c>
      <c r="G172" s="80" t="b">
        <v>0</v>
      </c>
      <c r="H172" s="80" t="b">
        <v>0</v>
      </c>
      <c r="I172" s="80" t="b">
        <v>0</v>
      </c>
      <c r="J172" s="80" t="b">
        <v>0</v>
      </c>
      <c r="K172" s="80" t="b">
        <v>0</v>
      </c>
      <c r="L172" s="80" t="b">
        <v>0</v>
      </c>
    </row>
    <row r="173" spans="1:12" ht="15">
      <c r="A173" s="81" t="s">
        <v>234</v>
      </c>
      <c r="B173" s="80" t="s">
        <v>273</v>
      </c>
      <c r="C173" s="80">
        <v>2</v>
      </c>
      <c r="D173" s="107">
        <v>0.007876431573849938</v>
      </c>
      <c r="E173" s="107">
        <v>1.2612628687924936</v>
      </c>
      <c r="F173" s="80" t="s">
        <v>1457</v>
      </c>
      <c r="G173" s="80" t="b">
        <v>0</v>
      </c>
      <c r="H173" s="80" t="b">
        <v>0</v>
      </c>
      <c r="I173" s="80" t="b">
        <v>0</v>
      </c>
      <c r="J173" s="80" t="b">
        <v>0</v>
      </c>
      <c r="K173" s="80" t="b">
        <v>0</v>
      </c>
      <c r="L173" s="80" t="b">
        <v>0</v>
      </c>
    </row>
    <row r="174" spans="1:12" ht="15">
      <c r="A174" s="81" t="s">
        <v>271</v>
      </c>
      <c r="B174" s="80" t="s">
        <v>270</v>
      </c>
      <c r="C174" s="80">
        <v>2</v>
      </c>
      <c r="D174" s="107">
        <v>0.007876431573849938</v>
      </c>
      <c r="E174" s="107">
        <v>2.0394141191761372</v>
      </c>
      <c r="F174" s="80" t="s">
        <v>1457</v>
      </c>
      <c r="G174" s="80" t="b">
        <v>0</v>
      </c>
      <c r="H174" s="80" t="b">
        <v>0</v>
      </c>
      <c r="I174" s="80" t="b">
        <v>0</v>
      </c>
      <c r="J174" s="80" t="b">
        <v>0</v>
      </c>
      <c r="K174" s="80" t="b">
        <v>0</v>
      </c>
      <c r="L174" s="80" t="b">
        <v>0</v>
      </c>
    </row>
    <row r="175" spans="1:12" ht="15">
      <c r="A175" s="81" t="s">
        <v>270</v>
      </c>
      <c r="B175" s="80" t="s">
        <v>269</v>
      </c>
      <c r="C175" s="80">
        <v>2</v>
      </c>
      <c r="D175" s="107">
        <v>0.007876431573849938</v>
      </c>
      <c r="E175" s="107">
        <v>2.0394141191761372</v>
      </c>
      <c r="F175" s="80" t="s">
        <v>1457</v>
      </c>
      <c r="G175" s="80" t="b">
        <v>0</v>
      </c>
      <c r="H175" s="80" t="b">
        <v>0</v>
      </c>
      <c r="I175" s="80" t="b">
        <v>0</v>
      </c>
      <c r="J175" s="80" t="b">
        <v>0</v>
      </c>
      <c r="K175" s="80" t="b">
        <v>0</v>
      </c>
      <c r="L175" s="80" t="b">
        <v>0</v>
      </c>
    </row>
    <row r="176" spans="1:12" ht="15">
      <c r="A176" s="81" t="s">
        <v>268</v>
      </c>
      <c r="B176" s="80" t="s">
        <v>267</v>
      </c>
      <c r="C176" s="80">
        <v>2</v>
      </c>
      <c r="D176" s="107">
        <v>0.007876431573849938</v>
      </c>
      <c r="E176" s="107">
        <v>1.6872316010647748</v>
      </c>
      <c r="F176" s="80" t="s">
        <v>1457</v>
      </c>
      <c r="G176" s="80" t="b">
        <v>0</v>
      </c>
      <c r="H176" s="80" t="b">
        <v>0</v>
      </c>
      <c r="I176" s="80" t="b">
        <v>0</v>
      </c>
      <c r="J176" s="80" t="b">
        <v>0</v>
      </c>
      <c r="K176" s="80" t="b">
        <v>0</v>
      </c>
      <c r="L176" s="80" t="b">
        <v>0</v>
      </c>
    </row>
    <row r="177" spans="1:12" ht="15">
      <c r="A177" s="81" t="s">
        <v>422</v>
      </c>
      <c r="B177" s="80" t="s">
        <v>421</v>
      </c>
      <c r="C177" s="80">
        <v>2</v>
      </c>
      <c r="D177" s="107">
        <v>0.007876431573849938</v>
      </c>
      <c r="E177" s="107">
        <v>2.0394141191761372</v>
      </c>
      <c r="F177" s="80" t="s">
        <v>1457</v>
      </c>
      <c r="G177" s="80" t="b">
        <v>0</v>
      </c>
      <c r="H177" s="80" t="b">
        <v>0</v>
      </c>
      <c r="I177" s="80" t="b">
        <v>0</v>
      </c>
      <c r="J177" s="80" t="b">
        <v>0</v>
      </c>
      <c r="K177" s="80" t="b">
        <v>0</v>
      </c>
      <c r="L177" s="80" t="b">
        <v>0</v>
      </c>
    </row>
    <row r="178" spans="1:12" ht="15">
      <c r="A178" s="81" t="s">
        <v>269</v>
      </c>
      <c r="B178" s="80" t="s">
        <v>268</v>
      </c>
      <c r="C178" s="80">
        <v>2</v>
      </c>
      <c r="D178" s="107">
        <v>0.007876431573849938</v>
      </c>
      <c r="E178" s="107">
        <v>1.863322860120456</v>
      </c>
      <c r="F178" s="80" t="s">
        <v>1457</v>
      </c>
      <c r="G178" s="80" t="b">
        <v>0</v>
      </c>
      <c r="H178" s="80" t="b">
        <v>0</v>
      </c>
      <c r="I178" s="80" t="b">
        <v>0</v>
      </c>
      <c r="J178" s="80" t="b">
        <v>0</v>
      </c>
      <c r="K178" s="80" t="b">
        <v>0</v>
      </c>
      <c r="L178" s="80" t="b">
        <v>0</v>
      </c>
    </row>
    <row r="179" spans="1:12" ht="15">
      <c r="A179" s="81" t="s">
        <v>272</v>
      </c>
      <c r="B179" s="80" t="s">
        <v>271</v>
      </c>
      <c r="C179" s="80">
        <v>2</v>
      </c>
      <c r="D179" s="107">
        <v>0.007876431573849938</v>
      </c>
      <c r="E179" s="107">
        <v>1.863322860120456</v>
      </c>
      <c r="F179" s="80" t="s">
        <v>1457</v>
      </c>
      <c r="G179" s="80" t="b">
        <v>0</v>
      </c>
      <c r="H179" s="80" t="b">
        <v>0</v>
      </c>
      <c r="I179" s="80" t="b">
        <v>0</v>
      </c>
      <c r="J179" s="80" t="b">
        <v>0</v>
      </c>
      <c r="K179" s="80" t="b">
        <v>0</v>
      </c>
      <c r="L179" s="80" t="b">
        <v>0</v>
      </c>
    </row>
    <row r="180" spans="1:12" ht="15">
      <c r="A180" s="81" t="s">
        <v>3052</v>
      </c>
      <c r="B180" s="80" t="s">
        <v>3053</v>
      </c>
      <c r="C180" s="80">
        <v>4</v>
      </c>
      <c r="D180" s="107">
        <v>0.006838495497308009</v>
      </c>
      <c r="E180" s="107">
        <v>1.3847117429382825</v>
      </c>
      <c r="F180" s="80" t="s">
        <v>3014</v>
      </c>
      <c r="G180" s="80" t="b">
        <v>1</v>
      </c>
      <c r="H180" s="80" t="b">
        <v>0</v>
      </c>
      <c r="I180" s="80" t="b">
        <v>0</v>
      </c>
      <c r="J180" s="80" t="b">
        <v>0</v>
      </c>
      <c r="K180" s="80" t="b">
        <v>0</v>
      </c>
      <c r="L180" s="80" t="b">
        <v>0</v>
      </c>
    </row>
    <row r="181" spans="1:12" ht="15">
      <c r="A181" s="81" t="s">
        <v>235</v>
      </c>
      <c r="B181" s="80" t="s">
        <v>470</v>
      </c>
      <c r="C181" s="80">
        <v>2</v>
      </c>
      <c r="D181" s="107">
        <v>0.009264490382906066</v>
      </c>
      <c r="E181" s="107">
        <v>1.6857417386022637</v>
      </c>
      <c r="F181" s="80" t="s">
        <v>3014</v>
      </c>
      <c r="G181" s="80" t="b">
        <v>0</v>
      </c>
      <c r="H181" s="80" t="b">
        <v>0</v>
      </c>
      <c r="I181" s="80" t="b">
        <v>0</v>
      </c>
      <c r="J181" s="80" t="b">
        <v>0</v>
      </c>
      <c r="K181" s="80" t="b">
        <v>0</v>
      </c>
      <c r="L181" s="80" t="b">
        <v>0</v>
      </c>
    </row>
    <row r="182" spans="1:12" ht="15">
      <c r="A182" s="81" t="s">
        <v>466</v>
      </c>
      <c r="B182" s="80" t="s">
        <v>465</v>
      </c>
      <c r="C182" s="80">
        <v>2</v>
      </c>
      <c r="D182" s="107">
        <v>0.009264490382906066</v>
      </c>
      <c r="E182" s="107">
        <v>1.6857417386022637</v>
      </c>
      <c r="F182" s="80" t="s">
        <v>3014</v>
      </c>
      <c r="G182" s="80" t="b">
        <v>0</v>
      </c>
      <c r="H182" s="80" t="b">
        <v>0</v>
      </c>
      <c r="I182" s="80" t="b">
        <v>0</v>
      </c>
      <c r="J182" s="80" t="b">
        <v>0</v>
      </c>
      <c r="K182" s="80" t="b">
        <v>0</v>
      </c>
      <c r="L182" s="80" t="b">
        <v>0</v>
      </c>
    </row>
    <row r="183" spans="1:12" ht="15">
      <c r="A183" s="81" t="s">
        <v>3183</v>
      </c>
      <c r="B183" s="80" t="s">
        <v>228</v>
      </c>
      <c r="C183" s="80">
        <v>2</v>
      </c>
      <c r="D183" s="107">
        <v>0.009264490382906066</v>
      </c>
      <c r="E183" s="107">
        <v>1.2086204838826013</v>
      </c>
      <c r="F183" s="80" t="s">
        <v>3014</v>
      </c>
      <c r="G183" s="80" t="b">
        <v>0</v>
      </c>
      <c r="H183" s="80" t="b">
        <v>0</v>
      </c>
      <c r="I183" s="80" t="b">
        <v>0</v>
      </c>
      <c r="J183" s="80" t="b">
        <v>0</v>
      </c>
      <c r="K183" s="80" t="b">
        <v>0</v>
      </c>
      <c r="L183" s="80" t="b">
        <v>0</v>
      </c>
    </row>
    <row r="184" spans="1:12" ht="15">
      <c r="A184" s="81" t="s">
        <v>259</v>
      </c>
      <c r="B184" s="80" t="s">
        <v>468</v>
      </c>
      <c r="C184" s="80">
        <v>2</v>
      </c>
      <c r="D184" s="107">
        <v>0.009264490382906066</v>
      </c>
      <c r="E184" s="107">
        <v>1.6857417386022637</v>
      </c>
      <c r="F184" s="80" t="s">
        <v>3014</v>
      </c>
      <c r="G184" s="80" t="b">
        <v>0</v>
      </c>
      <c r="H184" s="80" t="b">
        <v>0</v>
      </c>
      <c r="I184" s="80" t="b">
        <v>0</v>
      </c>
      <c r="J184" s="80" t="b">
        <v>0</v>
      </c>
      <c r="K184" s="80" t="b">
        <v>0</v>
      </c>
      <c r="L184" s="80" t="b">
        <v>0</v>
      </c>
    </row>
    <row r="185" spans="1:12" ht="15">
      <c r="A185" s="81" t="s">
        <v>469</v>
      </c>
      <c r="B185" s="80" t="s">
        <v>259</v>
      </c>
      <c r="C185" s="80">
        <v>2</v>
      </c>
      <c r="D185" s="107">
        <v>0.009264490382906066</v>
      </c>
      <c r="E185" s="107">
        <v>1.6857417386022637</v>
      </c>
      <c r="F185" s="80" t="s">
        <v>3014</v>
      </c>
      <c r="G185" s="80" t="b">
        <v>0</v>
      </c>
      <c r="H185" s="80" t="b">
        <v>0</v>
      </c>
      <c r="I185" s="80" t="b">
        <v>0</v>
      </c>
      <c r="J185" s="80" t="b">
        <v>0</v>
      </c>
      <c r="K185" s="80" t="b">
        <v>0</v>
      </c>
      <c r="L185" s="80" t="b">
        <v>0</v>
      </c>
    </row>
    <row r="186" spans="1:12" ht="15">
      <c r="A186" s="81" t="s">
        <v>465</v>
      </c>
      <c r="B186" s="80" t="s">
        <v>464</v>
      </c>
      <c r="C186" s="80">
        <v>2</v>
      </c>
      <c r="D186" s="107">
        <v>0.009264490382906066</v>
      </c>
      <c r="E186" s="107">
        <v>1.6857417386022637</v>
      </c>
      <c r="F186" s="80" t="s">
        <v>3014</v>
      </c>
      <c r="G186" s="80" t="b">
        <v>0</v>
      </c>
      <c r="H186" s="80" t="b">
        <v>0</v>
      </c>
      <c r="I186" s="80" t="b">
        <v>0</v>
      </c>
      <c r="J186" s="80" t="b">
        <v>0</v>
      </c>
      <c r="K186" s="80" t="b">
        <v>0</v>
      </c>
      <c r="L186" s="80" t="b">
        <v>0</v>
      </c>
    </row>
    <row r="187" spans="1:12" ht="15">
      <c r="A187" s="81" t="s">
        <v>467</v>
      </c>
      <c r="B187" s="80" t="s">
        <v>466</v>
      </c>
      <c r="C187" s="80">
        <v>2</v>
      </c>
      <c r="D187" s="107">
        <v>0.009264490382906066</v>
      </c>
      <c r="E187" s="107">
        <v>1.6857417386022637</v>
      </c>
      <c r="F187" s="80" t="s">
        <v>3014</v>
      </c>
      <c r="G187" s="80" t="b">
        <v>0</v>
      </c>
      <c r="H187" s="80" t="b">
        <v>0</v>
      </c>
      <c r="I187" s="80" t="b">
        <v>0</v>
      </c>
      <c r="J187" s="80" t="b">
        <v>0</v>
      </c>
      <c r="K187" s="80" t="b">
        <v>0</v>
      </c>
      <c r="L187" s="80" t="b">
        <v>0</v>
      </c>
    </row>
    <row r="188" spans="1:12" ht="15">
      <c r="A188" s="81" t="s">
        <v>464</v>
      </c>
      <c r="B188" s="80" t="s">
        <v>463</v>
      </c>
      <c r="C188" s="80">
        <v>2</v>
      </c>
      <c r="D188" s="107">
        <v>0.009264490382906066</v>
      </c>
      <c r="E188" s="107">
        <v>1.6857417386022637</v>
      </c>
      <c r="F188" s="80" t="s">
        <v>3014</v>
      </c>
      <c r="G188" s="80" t="b">
        <v>0</v>
      </c>
      <c r="H188" s="80" t="b">
        <v>0</v>
      </c>
      <c r="I188" s="80" t="b">
        <v>0</v>
      </c>
      <c r="J188" s="80" t="b">
        <v>0</v>
      </c>
      <c r="K188" s="80" t="b">
        <v>0</v>
      </c>
      <c r="L188" s="80" t="b">
        <v>0</v>
      </c>
    </row>
    <row r="189" spans="1:12" ht="15">
      <c r="A189" s="81" t="s">
        <v>468</v>
      </c>
      <c r="B189" s="80" t="s">
        <v>467</v>
      </c>
      <c r="C189" s="80">
        <v>2</v>
      </c>
      <c r="D189" s="107">
        <v>0.009264490382906066</v>
      </c>
      <c r="E189" s="107">
        <v>1.6857417386022637</v>
      </c>
      <c r="F189" s="80" t="s">
        <v>3014</v>
      </c>
      <c r="G189" s="80" t="b">
        <v>0</v>
      </c>
      <c r="H189" s="80" t="b">
        <v>0</v>
      </c>
      <c r="I189" s="80" t="b">
        <v>0</v>
      </c>
      <c r="J189" s="80" t="b">
        <v>0</v>
      </c>
      <c r="K189" s="80" t="b">
        <v>0</v>
      </c>
      <c r="L189" s="80" t="b">
        <v>0</v>
      </c>
    </row>
    <row r="190" spans="1:12" ht="15">
      <c r="A190" s="81" t="s">
        <v>3059</v>
      </c>
      <c r="B190" s="80" t="s">
        <v>228</v>
      </c>
      <c r="C190" s="80">
        <v>2</v>
      </c>
      <c r="D190" s="107">
        <v>0.009264490382906066</v>
      </c>
      <c r="E190" s="107">
        <v>0.8106804752105636</v>
      </c>
      <c r="F190" s="80" t="s">
        <v>3014</v>
      </c>
      <c r="G190" s="80" t="b">
        <v>0</v>
      </c>
      <c r="H190" s="80" t="b">
        <v>0</v>
      </c>
      <c r="I190" s="80" t="b">
        <v>0</v>
      </c>
      <c r="J190" s="80" t="b">
        <v>0</v>
      </c>
      <c r="K190" s="80" t="b">
        <v>0</v>
      </c>
      <c r="L190" s="80" t="b">
        <v>0</v>
      </c>
    </row>
    <row r="191" spans="1:12" ht="15">
      <c r="A191" s="81" t="s">
        <v>470</v>
      </c>
      <c r="B191" s="80" t="s">
        <v>469</v>
      </c>
      <c r="C191" s="80">
        <v>2</v>
      </c>
      <c r="D191" s="107">
        <v>0.009264490382906066</v>
      </c>
      <c r="E191" s="107">
        <v>1.6857417386022637</v>
      </c>
      <c r="F191" s="80" t="s">
        <v>3014</v>
      </c>
      <c r="G191" s="80" t="b">
        <v>0</v>
      </c>
      <c r="H191" s="80" t="b">
        <v>0</v>
      </c>
      <c r="I191" s="80" t="b">
        <v>0</v>
      </c>
      <c r="J191" s="80" t="b">
        <v>0</v>
      </c>
      <c r="K191" s="80" t="b">
        <v>0</v>
      </c>
      <c r="L191" s="80" t="b">
        <v>0</v>
      </c>
    </row>
    <row r="192" spans="1:12" ht="15">
      <c r="A192" s="81" t="s">
        <v>3056</v>
      </c>
      <c r="B192" s="80" t="s">
        <v>3054</v>
      </c>
      <c r="C192" s="80">
        <v>8</v>
      </c>
      <c r="D192" s="107">
        <v>0.03669724770642202</v>
      </c>
      <c r="E192" s="107">
        <v>1.2669108125153803</v>
      </c>
      <c r="F192" s="80" t="s">
        <v>3015</v>
      </c>
      <c r="G192" s="80" t="b">
        <v>0</v>
      </c>
      <c r="H192" s="80" t="b">
        <v>0</v>
      </c>
      <c r="I192" s="80" t="b">
        <v>0</v>
      </c>
      <c r="J192" s="80" t="b">
        <v>0</v>
      </c>
      <c r="K192" s="80" t="b">
        <v>0</v>
      </c>
      <c r="L192" s="80" t="b">
        <v>0</v>
      </c>
    </row>
    <row r="193" spans="1:12" ht="15">
      <c r="A193" s="81" t="s">
        <v>302</v>
      </c>
      <c r="B193" s="80" t="s">
        <v>255</v>
      </c>
      <c r="C193" s="80">
        <v>6</v>
      </c>
      <c r="D193" s="107">
        <v>0.006105928888523571</v>
      </c>
      <c r="E193" s="107">
        <v>1.5399120845791179</v>
      </c>
      <c r="F193" s="80" t="s">
        <v>3015</v>
      </c>
      <c r="G193" s="80" t="b">
        <v>0</v>
      </c>
      <c r="H193" s="80" t="b">
        <v>0</v>
      </c>
      <c r="I193" s="80" t="b">
        <v>0</v>
      </c>
      <c r="J193" s="80" t="b">
        <v>0</v>
      </c>
      <c r="K193" s="80" t="b">
        <v>0</v>
      </c>
      <c r="L193" s="80" t="b">
        <v>0</v>
      </c>
    </row>
    <row r="194" spans="1:12" ht="15">
      <c r="A194" s="81" t="s">
        <v>255</v>
      </c>
      <c r="B194" s="80" t="s">
        <v>301</v>
      </c>
      <c r="C194" s="80">
        <v>6</v>
      </c>
      <c r="D194" s="107">
        <v>0.006105928888523571</v>
      </c>
      <c r="E194" s="107">
        <v>1.5399120845791179</v>
      </c>
      <c r="F194" s="80" t="s">
        <v>3015</v>
      </c>
      <c r="G194" s="80" t="b">
        <v>0</v>
      </c>
      <c r="H194" s="80" t="b">
        <v>0</v>
      </c>
      <c r="I194" s="80" t="b">
        <v>0</v>
      </c>
      <c r="J194" s="80" t="b">
        <v>0</v>
      </c>
      <c r="K194" s="80" t="b">
        <v>0</v>
      </c>
      <c r="L194" s="80" t="b">
        <v>0</v>
      </c>
    </row>
    <row r="195" spans="1:12" ht="15">
      <c r="A195" s="81" t="s">
        <v>300</v>
      </c>
      <c r="B195" s="80" t="s">
        <v>228</v>
      </c>
      <c r="C195" s="80">
        <v>6</v>
      </c>
      <c r="D195" s="107">
        <v>0.006105928888523571</v>
      </c>
      <c r="E195" s="107">
        <v>1.3480265583402047</v>
      </c>
      <c r="F195" s="80" t="s">
        <v>3015</v>
      </c>
      <c r="G195" s="80" t="b">
        <v>0</v>
      </c>
      <c r="H195" s="80" t="b">
        <v>0</v>
      </c>
      <c r="I195" s="80" t="b">
        <v>0</v>
      </c>
      <c r="J195" s="80" t="b">
        <v>0</v>
      </c>
      <c r="K195" s="80" t="b">
        <v>0</v>
      </c>
      <c r="L195" s="80" t="b">
        <v>0</v>
      </c>
    </row>
    <row r="196" spans="1:12" ht="15">
      <c r="A196" s="81" t="s">
        <v>301</v>
      </c>
      <c r="B196" s="80" t="s">
        <v>300</v>
      </c>
      <c r="C196" s="80">
        <v>6</v>
      </c>
      <c r="D196" s="107">
        <v>0.006105928888523571</v>
      </c>
      <c r="E196" s="107">
        <v>1.4729652949485048</v>
      </c>
      <c r="F196" s="80" t="s">
        <v>3015</v>
      </c>
      <c r="G196" s="80" t="b">
        <v>0</v>
      </c>
      <c r="H196" s="80" t="b">
        <v>0</v>
      </c>
      <c r="I196" s="80" t="b">
        <v>0</v>
      </c>
      <c r="J196" s="80" t="b">
        <v>0</v>
      </c>
      <c r="K196" s="80" t="b">
        <v>0</v>
      </c>
      <c r="L196" s="80" t="b">
        <v>0</v>
      </c>
    </row>
    <row r="197" spans="1:12" ht="15">
      <c r="A197" s="81" t="s">
        <v>294</v>
      </c>
      <c r="B197" s="80" t="s">
        <v>293</v>
      </c>
      <c r="C197" s="80">
        <v>5</v>
      </c>
      <c r="D197" s="107">
        <v>0.0069043576987151654</v>
      </c>
      <c r="E197" s="107">
        <v>1.6190933306267428</v>
      </c>
      <c r="F197" s="80" t="s">
        <v>3015</v>
      </c>
      <c r="G197" s="80" t="b">
        <v>0</v>
      </c>
      <c r="H197" s="80" t="b">
        <v>0</v>
      </c>
      <c r="I197" s="80" t="b">
        <v>0</v>
      </c>
      <c r="J197" s="80" t="b">
        <v>0</v>
      </c>
      <c r="K197" s="80" t="b">
        <v>0</v>
      </c>
      <c r="L197" s="80" t="b">
        <v>0</v>
      </c>
    </row>
    <row r="198" spans="1:12" ht="15">
      <c r="A198" s="81" t="s">
        <v>228</v>
      </c>
      <c r="B198" s="80" t="s">
        <v>299</v>
      </c>
      <c r="C198" s="80">
        <v>5</v>
      </c>
      <c r="D198" s="107">
        <v>0.0069043576987151654</v>
      </c>
      <c r="E198" s="107">
        <v>1.4729652949485048</v>
      </c>
      <c r="F198" s="80" t="s">
        <v>3015</v>
      </c>
      <c r="G198" s="80" t="b">
        <v>0</v>
      </c>
      <c r="H198" s="80" t="b">
        <v>0</v>
      </c>
      <c r="I198" s="80" t="b">
        <v>0</v>
      </c>
      <c r="J198" s="80" t="b">
        <v>0</v>
      </c>
      <c r="K198" s="80" t="b">
        <v>0</v>
      </c>
      <c r="L198" s="80" t="b">
        <v>0</v>
      </c>
    </row>
    <row r="199" spans="1:12" ht="15">
      <c r="A199" s="81" t="s">
        <v>296</v>
      </c>
      <c r="B199" s="80" t="s">
        <v>295</v>
      </c>
      <c r="C199" s="80">
        <v>5</v>
      </c>
      <c r="D199" s="107">
        <v>0.0069043576987151654</v>
      </c>
      <c r="E199" s="107">
        <v>1.6190933306267428</v>
      </c>
      <c r="F199" s="80" t="s">
        <v>3015</v>
      </c>
      <c r="G199" s="80" t="b">
        <v>0</v>
      </c>
      <c r="H199" s="80" t="b">
        <v>0</v>
      </c>
      <c r="I199" s="80" t="b">
        <v>0</v>
      </c>
      <c r="J199" s="80" t="b">
        <v>0</v>
      </c>
      <c r="K199" s="80" t="b">
        <v>0</v>
      </c>
      <c r="L199" s="80" t="b">
        <v>0</v>
      </c>
    </row>
    <row r="200" spans="1:12" ht="15">
      <c r="A200" s="81" t="s">
        <v>297</v>
      </c>
      <c r="B200" s="80" t="s">
        <v>296</v>
      </c>
      <c r="C200" s="80">
        <v>5</v>
      </c>
      <c r="D200" s="107">
        <v>0.0069043576987151654</v>
      </c>
      <c r="E200" s="107">
        <v>1.6190933306267428</v>
      </c>
      <c r="F200" s="80" t="s">
        <v>3015</v>
      </c>
      <c r="G200" s="80" t="b">
        <v>0</v>
      </c>
      <c r="H200" s="80" t="b">
        <v>0</v>
      </c>
      <c r="I200" s="80" t="b">
        <v>0</v>
      </c>
      <c r="J200" s="80" t="b">
        <v>0</v>
      </c>
      <c r="K200" s="80" t="b">
        <v>0</v>
      </c>
      <c r="L200" s="80" t="b">
        <v>0</v>
      </c>
    </row>
    <row r="201" spans="1:12" ht="15">
      <c r="A201" s="81" t="s">
        <v>295</v>
      </c>
      <c r="B201" s="80" t="s">
        <v>3067</v>
      </c>
      <c r="C201" s="80">
        <v>5</v>
      </c>
      <c r="D201" s="107">
        <v>0.0069043576987151654</v>
      </c>
      <c r="E201" s="107">
        <v>1.6190933306267428</v>
      </c>
      <c r="F201" s="80" t="s">
        <v>3015</v>
      </c>
      <c r="G201" s="80" t="b">
        <v>0</v>
      </c>
      <c r="H201" s="80" t="b">
        <v>0</v>
      </c>
      <c r="I201" s="80" t="b">
        <v>0</v>
      </c>
      <c r="J201" s="80" t="b">
        <v>0</v>
      </c>
      <c r="K201" s="80" t="b">
        <v>0</v>
      </c>
      <c r="L201" s="80" t="b">
        <v>0</v>
      </c>
    </row>
    <row r="202" spans="1:12" ht="15">
      <c r="A202" s="81" t="s">
        <v>290</v>
      </c>
      <c r="B202" s="80" t="s">
        <v>289</v>
      </c>
      <c r="C202" s="80">
        <v>5</v>
      </c>
      <c r="D202" s="107">
        <v>0.0069043576987151654</v>
      </c>
      <c r="E202" s="107">
        <v>1.5399120845791179</v>
      </c>
      <c r="F202" s="80" t="s">
        <v>3015</v>
      </c>
      <c r="G202" s="80" t="b">
        <v>0</v>
      </c>
      <c r="H202" s="80" t="b">
        <v>0</v>
      </c>
      <c r="I202" s="80" t="b">
        <v>0</v>
      </c>
      <c r="J202" s="80" t="b">
        <v>0</v>
      </c>
      <c r="K202" s="80" t="b">
        <v>0</v>
      </c>
      <c r="L202" s="80" t="b">
        <v>0</v>
      </c>
    </row>
    <row r="203" spans="1:12" ht="15">
      <c r="A203" s="81" t="s">
        <v>298</v>
      </c>
      <c r="B203" s="80" t="s">
        <v>297</v>
      </c>
      <c r="C203" s="80">
        <v>5</v>
      </c>
      <c r="D203" s="107">
        <v>0.0069043576987151654</v>
      </c>
      <c r="E203" s="107">
        <v>1.6190933306267428</v>
      </c>
      <c r="F203" s="80" t="s">
        <v>3015</v>
      </c>
      <c r="G203" s="80" t="b">
        <v>0</v>
      </c>
      <c r="H203" s="80" t="b">
        <v>0</v>
      </c>
      <c r="I203" s="80" t="b">
        <v>0</v>
      </c>
      <c r="J203" s="80" t="b">
        <v>0</v>
      </c>
      <c r="K203" s="80" t="b">
        <v>0</v>
      </c>
      <c r="L203" s="80" t="b">
        <v>0</v>
      </c>
    </row>
    <row r="204" spans="1:12" ht="15">
      <c r="A204" s="81" t="s">
        <v>287</v>
      </c>
      <c r="B204" s="80" t="s">
        <v>286</v>
      </c>
      <c r="C204" s="80">
        <v>5</v>
      </c>
      <c r="D204" s="107">
        <v>0.0069043576987151654</v>
      </c>
      <c r="E204" s="107">
        <v>1.6190933306267428</v>
      </c>
      <c r="F204" s="80" t="s">
        <v>3015</v>
      </c>
      <c r="G204" s="80" t="b">
        <v>0</v>
      </c>
      <c r="H204" s="80" t="b">
        <v>0</v>
      </c>
      <c r="I204" s="80" t="b">
        <v>0</v>
      </c>
      <c r="J204" s="80" t="b">
        <v>0</v>
      </c>
      <c r="K204" s="80" t="b">
        <v>0</v>
      </c>
      <c r="L204" s="80" t="b">
        <v>0</v>
      </c>
    </row>
    <row r="205" spans="1:12" ht="15">
      <c r="A205" s="81" t="s">
        <v>3067</v>
      </c>
      <c r="B205" s="80" t="s">
        <v>294</v>
      </c>
      <c r="C205" s="80">
        <v>5</v>
      </c>
      <c r="D205" s="107">
        <v>0.0069043576987151654</v>
      </c>
      <c r="E205" s="107">
        <v>1.6190933306267428</v>
      </c>
      <c r="F205" s="80" t="s">
        <v>3015</v>
      </c>
      <c r="G205" s="80" t="b">
        <v>0</v>
      </c>
      <c r="H205" s="80" t="b">
        <v>0</v>
      </c>
      <c r="I205" s="80" t="b">
        <v>0</v>
      </c>
      <c r="J205" s="80" t="b">
        <v>0</v>
      </c>
      <c r="K205" s="80" t="b">
        <v>0</v>
      </c>
      <c r="L205" s="80" t="b">
        <v>0</v>
      </c>
    </row>
    <row r="206" spans="1:12" ht="15">
      <c r="A206" s="81" t="s">
        <v>288</v>
      </c>
      <c r="B206" s="80" t="s">
        <v>287</v>
      </c>
      <c r="C206" s="80">
        <v>5</v>
      </c>
      <c r="D206" s="107">
        <v>0.0069043576987151654</v>
      </c>
      <c r="E206" s="107">
        <v>1.6190933306267428</v>
      </c>
      <c r="F206" s="80" t="s">
        <v>3015</v>
      </c>
      <c r="G206" s="80" t="b">
        <v>0</v>
      </c>
      <c r="H206" s="80" t="b">
        <v>0</v>
      </c>
      <c r="I206" s="80" t="b">
        <v>0</v>
      </c>
      <c r="J206" s="80" t="b">
        <v>0</v>
      </c>
      <c r="K206" s="80" t="b">
        <v>0</v>
      </c>
      <c r="L206" s="80" t="b">
        <v>0</v>
      </c>
    </row>
    <row r="207" spans="1:12" ht="15">
      <c r="A207" s="81" t="s">
        <v>292</v>
      </c>
      <c r="B207" s="80" t="s">
        <v>291</v>
      </c>
      <c r="C207" s="80">
        <v>5</v>
      </c>
      <c r="D207" s="107">
        <v>0.0069043576987151654</v>
      </c>
      <c r="E207" s="107">
        <v>1.6190933306267428</v>
      </c>
      <c r="F207" s="80" t="s">
        <v>3015</v>
      </c>
      <c r="G207" s="80" t="b">
        <v>0</v>
      </c>
      <c r="H207" s="80" t="b">
        <v>0</v>
      </c>
      <c r="I207" s="80" t="b">
        <v>0</v>
      </c>
      <c r="J207" s="80" t="b">
        <v>0</v>
      </c>
      <c r="K207" s="80" t="b">
        <v>0</v>
      </c>
      <c r="L207" s="80" t="b">
        <v>0</v>
      </c>
    </row>
    <row r="208" spans="1:12" ht="15">
      <c r="A208" s="81" t="s">
        <v>293</v>
      </c>
      <c r="B208" s="80" t="s">
        <v>292</v>
      </c>
      <c r="C208" s="80">
        <v>5</v>
      </c>
      <c r="D208" s="107">
        <v>0.0069043576987151654</v>
      </c>
      <c r="E208" s="107">
        <v>1.6190933306267428</v>
      </c>
      <c r="F208" s="80" t="s">
        <v>3015</v>
      </c>
      <c r="G208" s="80" t="b">
        <v>0</v>
      </c>
      <c r="H208" s="80" t="b">
        <v>0</v>
      </c>
      <c r="I208" s="80" t="b">
        <v>0</v>
      </c>
      <c r="J208" s="80" t="b">
        <v>0</v>
      </c>
      <c r="K208" s="80" t="b">
        <v>0</v>
      </c>
      <c r="L208" s="80" t="b">
        <v>0</v>
      </c>
    </row>
    <row r="209" spans="1:12" ht="15">
      <c r="A209" s="81" t="s">
        <v>299</v>
      </c>
      <c r="B209" s="80" t="s">
        <v>298</v>
      </c>
      <c r="C209" s="80">
        <v>4</v>
      </c>
      <c r="D209" s="107">
        <v>0.007301651535266745</v>
      </c>
      <c r="E209" s="107">
        <v>1.5221833176186863</v>
      </c>
      <c r="F209" s="80" t="s">
        <v>3015</v>
      </c>
      <c r="G209" s="80" t="b">
        <v>0</v>
      </c>
      <c r="H209" s="80" t="b">
        <v>0</v>
      </c>
      <c r="I209" s="80" t="b">
        <v>0</v>
      </c>
      <c r="J209" s="80" t="b">
        <v>0</v>
      </c>
      <c r="K209" s="80" t="b">
        <v>0</v>
      </c>
      <c r="L209" s="80" t="b">
        <v>0</v>
      </c>
    </row>
    <row r="210" spans="1:12" ht="15">
      <c r="A210" s="81" t="s">
        <v>289</v>
      </c>
      <c r="B210" s="80" t="s">
        <v>288</v>
      </c>
      <c r="C210" s="80">
        <v>4</v>
      </c>
      <c r="D210" s="107">
        <v>0.007301651535266745</v>
      </c>
      <c r="E210" s="107">
        <v>1.5221833176186863</v>
      </c>
      <c r="F210" s="80" t="s">
        <v>3015</v>
      </c>
      <c r="G210" s="80" t="b">
        <v>0</v>
      </c>
      <c r="H210" s="80" t="b">
        <v>0</v>
      </c>
      <c r="I210" s="80" t="b">
        <v>0</v>
      </c>
      <c r="J210" s="80" t="b">
        <v>0</v>
      </c>
      <c r="K210" s="80" t="b">
        <v>0</v>
      </c>
      <c r="L210" s="80" t="b">
        <v>0</v>
      </c>
    </row>
    <row r="211" spans="1:12" ht="15">
      <c r="A211" s="81" t="s">
        <v>291</v>
      </c>
      <c r="B211" s="80" t="s">
        <v>290</v>
      </c>
      <c r="C211" s="80">
        <v>4</v>
      </c>
      <c r="D211" s="107">
        <v>0.007301651535266745</v>
      </c>
      <c r="E211" s="107">
        <v>1.4430020715710614</v>
      </c>
      <c r="F211" s="80" t="s">
        <v>3015</v>
      </c>
      <c r="G211" s="80" t="b">
        <v>0</v>
      </c>
      <c r="H211" s="80" t="b">
        <v>0</v>
      </c>
      <c r="I211" s="80" t="b">
        <v>0</v>
      </c>
      <c r="J211" s="80" t="b">
        <v>0</v>
      </c>
      <c r="K211" s="80" t="b">
        <v>0</v>
      </c>
      <c r="L211" s="80" t="b">
        <v>0</v>
      </c>
    </row>
    <row r="212" spans="1:12" ht="15">
      <c r="A212" s="81" t="s">
        <v>284</v>
      </c>
      <c r="B212" s="80" t="s">
        <v>283</v>
      </c>
      <c r="C212" s="80">
        <v>2</v>
      </c>
      <c r="D212" s="107">
        <v>0.006412568847119439</v>
      </c>
      <c r="E212" s="107">
        <v>2.0170333392987803</v>
      </c>
      <c r="F212" s="80" t="s">
        <v>3015</v>
      </c>
      <c r="G212" s="80" t="b">
        <v>0</v>
      </c>
      <c r="H212" s="80" t="b">
        <v>0</v>
      </c>
      <c r="I212" s="80" t="b">
        <v>0</v>
      </c>
      <c r="J212" s="80" t="b">
        <v>0</v>
      </c>
      <c r="K212" s="80" t="b">
        <v>0</v>
      </c>
      <c r="L212" s="80" t="b">
        <v>0</v>
      </c>
    </row>
    <row r="213" spans="1:12" ht="15">
      <c r="A213" s="81" t="s">
        <v>282</v>
      </c>
      <c r="B213" s="80" t="s">
        <v>281</v>
      </c>
      <c r="C213" s="80">
        <v>2</v>
      </c>
      <c r="D213" s="107">
        <v>0.006412568847119439</v>
      </c>
      <c r="E213" s="107">
        <v>2.0170333392987803</v>
      </c>
      <c r="F213" s="80" t="s">
        <v>3015</v>
      </c>
      <c r="G213" s="80" t="b">
        <v>0</v>
      </c>
      <c r="H213" s="80" t="b">
        <v>0</v>
      </c>
      <c r="I213" s="80" t="b">
        <v>0</v>
      </c>
      <c r="J213" s="80" t="b">
        <v>0</v>
      </c>
      <c r="K213" s="80" t="b">
        <v>0</v>
      </c>
      <c r="L213" s="80" t="b">
        <v>0</v>
      </c>
    </row>
    <row r="214" spans="1:12" ht="15">
      <c r="A214" s="81" t="s">
        <v>285</v>
      </c>
      <c r="B214" s="80" t="s">
        <v>284</v>
      </c>
      <c r="C214" s="80">
        <v>2</v>
      </c>
      <c r="D214" s="107">
        <v>0.006412568847119439</v>
      </c>
      <c r="E214" s="107">
        <v>1.8409420802430991</v>
      </c>
      <c r="F214" s="80" t="s">
        <v>3015</v>
      </c>
      <c r="G214" s="80" t="b">
        <v>0</v>
      </c>
      <c r="H214" s="80" t="b">
        <v>0</v>
      </c>
      <c r="I214" s="80" t="b">
        <v>0</v>
      </c>
      <c r="J214" s="80" t="b">
        <v>0</v>
      </c>
      <c r="K214" s="80" t="b">
        <v>0</v>
      </c>
      <c r="L214" s="80" t="b">
        <v>0</v>
      </c>
    </row>
    <row r="215" spans="1:12" ht="15">
      <c r="A215" s="81" t="s">
        <v>283</v>
      </c>
      <c r="B215" s="80" t="s">
        <v>282</v>
      </c>
      <c r="C215" s="80">
        <v>2</v>
      </c>
      <c r="D215" s="107">
        <v>0.006412568847119439</v>
      </c>
      <c r="E215" s="107">
        <v>2.0170333392987803</v>
      </c>
      <c r="F215" s="80" t="s">
        <v>3015</v>
      </c>
      <c r="G215" s="80" t="b">
        <v>0</v>
      </c>
      <c r="H215" s="80" t="b">
        <v>0</v>
      </c>
      <c r="I215" s="80" t="b">
        <v>0</v>
      </c>
      <c r="J215" s="80" t="b">
        <v>0</v>
      </c>
      <c r="K215" s="80" t="b">
        <v>0</v>
      </c>
      <c r="L215" s="80" t="b">
        <v>0</v>
      </c>
    </row>
    <row r="216" spans="1:12" ht="15">
      <c r="A216" s="81" t="s">
        <v>3078</v>
      </c>
      <c r="B216" s="80" t="s">
        <v>3078</v>
      </c>
      <c r="C216" s="80">
        <v>2</v>
      </c>
      <c r="D216" s="107">
        <v>0.01674109665683026</v>
      </c>
      <c r="E216" s="107">
        <v>0.829303772831025</v>
      </c>
      <c r="F216" s="80" t="s">
        <v>3016</v>
      </c>
      <c r="G216" s="80" t="b">
        <v>0</v>
      </c>
      <c r="H216" s="80" t="b">
        <v>0</v>
      </c>
      <c r="I216" s="80" t="b">
        <v>0</v>
      </c>
      <c r="J216" s="80" t="b">
        <v>0</v>
      </c>
      <c r="K216" s="80" t="b">
        <v>0</v>
      </c>
      <c r="L216" s="80" t="b">
        <v>0</v>
      </c>
    </row>
    <row r="217" spans="1:12" ht="15">
      <c r="A217" s="81" t="s">
        <v>3052</v>
      </c>
      <c r="B217" s="80" t="s">
        <v>3053</v>
      </c>
      <c r="C217" s="80">
        <v>2</v>
      </c>
      <c r="D217" s="107">
        <v>0.006178640668620394</v>
      </c>
      <c r="E217" s="107">
        <v>1.4313637641589874</v>
      </c>
      <c r="F217" s="80" t="s">
        <v>3016</v>
      </c>
      <c r="G217" s="80" t="b">
        <v>1</v>
      </c>
      <c r="H217" s="80" t="b">
        <v>0</v>
      </c>
      <c r="I217" s="80" t="b">
        <v>0</v>
      </c>
      <c r="J217" s="80" t="b">
        <v>0</v>
      </c>
      <c r="K217" s="80" t="b">
        <v>0</v>
      </c>
      <c r="L217" s="80" t="b">
        <v>0</v>
      </c>
    </row>
    <row r="218" spans="1:12" ht="15">
      <c r="A218" s="81" t="s">
        <v>228</v>
      </c>
      <c r="B218" s="80" t="s">
        <v>3118</v>
      </c>
      <c r="C218" s="80">
        <v>2</v>
      </c>
      <c r="D218" s="107">
        <v>0.006178640668620394</v>
      </c>
      <c r="E218" s="107">
        <v>1.4313637641589874</v>
      </c>
      <c r="F218" s="80" t="s">
        <v>3016</v>
      </c>
      <c r="G218" s="80" t="b">
        <v>0</v>
      </c>
      <c r="H218" s="80" t="b">
        <v>0</v>
      </c>
      <c r="I218" s="80" t="b">
        <v>0</v>
      </c>
      <c r="J218" s="80" t="b">
        <v>0</v>
      </c>
      <c r="K218" s="80" t="b">
        <v>0</v>
      </c>
      <c r="L218" s="80" t="b">
        <v>0</v>
      </c>
    </row>
    <row r="219" spans="1:12" ht="15">
      <c r="A219" s="81" t="s">
        <v>376</v>
      </c>
      <c r="B219" s="80" t="s">
        <v>520</v>
      </c>
      <c r="C219" s="80">
        <v>2</v>
      </c>
      <c r="D219" s="107">
        <v>0.0078262781802525</v>
      </c>
      <c r="E219" s="107">
        <v>1.3222192947339193</v>
      </c>
      <c r="F219" s="80" t="s">
        <v>3017</v>
      </c>
      <c r="G219" s="80" t="b">
        <v>0</v>
      </c>
      <c r="H219" s="80" t="b">
        <v>0</v>
      </c>
      <c r="I219" s="80" t="b">
        <v>0</v>
      </c>
      <c r="J219" s="80" t="b">
        <v>0</v>
      </c>
      <c r="K219" s="80" t="b">
        <v>0</v>
      </c>
      <c r="L219" s="80" t="b">
        <v>0</v>
      </c>
    </row>
    <row r="220" spans="1:12" ht="15">
      <c r="A220" s="81" t="s">
        <v>521</v>
      </c>
      <c r="B220" s="80" t="s">
        <v>376</v>
      </c>
      <c r="C220" s="80">
        <v>2</v>
      </c>
      <c r="D220" s="107">
        <v>0.0078262781802525</v>
      </c>
      <c r="E220" s="107">
        <v>1.3222192947339193</v>
      </c>
      <c r="F220" s="80" t="s">
        <v>3017</v>
      </c>
      <c r="G220" s="80" t="b">
        <v>0</v>
      </c>
      <c r="H220" s="80" t="b">
        <v>0</v>
      </c>
      <c r="I220" s="80" t="b">
        <v>0</v>
      </c>
      <c r="J220" s="80" t="b">
        <v>0</v>
      </c>
      <c r="K220" s="80" t="b">
        <v>0</v>
      </c>
      <c r="L220" s="80" t="b">
        <v>0</v>
      </c>
    </row>
    <row r="221" spans="1:12" ht="15">
      <c r="A221" s="81" t="s">
        <v>520</v>
      </c>
      <c r="B221" s="80" t="s">
        <v>248</v>
      </c>
      <c r="C221" s="80">
        <v>2</v>
      </c>
      <c r="D221" s="107">
        <v>0.0078262781802525</v>
      </c>
      <c r="E221" s="107">
        <v>1.3222192947339193</v>
      </c>
      <c r="F221" s="80" t="s">
        <v>3017</v>
      </c>
      <c r="G221" s="80" t="b">
        <v>0</v>
      </c>
      <c r="H221" s="80" t="b">
        <v>0</v>
      </c>
      <c r="I221" s="80" t="b">
        <v>0</v>
      </c>
      <c r="J221" s="80" t="b">
        <v>0</v>
      </c>
      <c r="K221" s="80" t="b">
        <v>0</v>
      </c>
      <c r="L221" s="80" t="b">
        <v>0</v>
      </c>
    </row>
    <row r="222" spans="1:12" ht="15">
      <c r="A222" s="81" t="s">
        <v>533</v>
      </c>
      <c r="B222" s="80" t="s">
        <v>532</v>
      </c>
      <c r="C222" s="80">
        <v>14</v>
      </c>
      <c r="D222" s="107">
        <v>0.0013445036130904002</v>
      </c>
      <c r="E222" s="107">
        <v>1.266701966884088</v>
      </c>
      <c r="F222" s="80" t="s">
        <v>3018</v>
      </c>
      <c r="G222" s="80" t="b">
        <v>0</v>
      </c>
      <c r="H222" s="80" t="b">
        <v>0</v>
      </c>
      <c r="I222" s="80" t="b">
        <v>0</v>
      </c>
      <c r="J222" s="80" t="b">
        <v>0</v>
      </c>
      <c r="K222" s="80" t="b">
        <v>0</v>
      </c>
      <c r="L222" s="80" t="b">
        <v>0</v>
      </c>
    </row>
    <row r="223" spans="1:12" ht="15">
      <c r="A223" s="81" t="s">
        <v>530</v>
      </c>
      <c r="B223" s="80" t="s">
        <v>529</v>
      </c>
      <c r="C223" s="80">
        <v>12</v>
      </c>
      <c r="D223" s="107">
        <v>0.0037273081926175546</v>
      </c>
      <c r="E223" s="107">
        <v>1.2966651902615312</v>
      </c>
      <c r="F223" s="80" t="s">
        <v>3018</v>
      </c>
      <c r="G223" s="80" t="b">
        <v>0</v>
      </c>
      <c r="H223" s="80" t="b">
        <v>0</v>
      </c>
      <c r="I223" s="80" t="b">
        <v>0</v>
      </c>
      <c r="J223" s="80" t="b">
        <v>0</v>
      </c>
      <c r="K223" s="80" t="b">
        <v>0</v>
      </c>
      <c r="L223" s="80" t="b">
        <v>0</v>
      </c>
    </row>
    <row r="224" spans="1:12" ht="15">
      <c r="A224" s="81" t="s">
        <v>538</v>
      </c>
      <c r="B224" s="80" t="s">
        <v>537</v>
      </c>
      <c r="C224" s="80">
        <v>12</v>
      </c>
      <c r="D224" s="107">
        <v>0.0037273081926175546</v>
      </c>
      <c r="E224" s="107">
        <v>1.2966651902615312</v>
      </c>
      <c r="F224" s="80" t="s">
        <v>3018</v>
      </c>
      <c r="G224" s="80" t="b">
        <v>0</v>
      </c>
      <c r="H224" s="80" t="b">
        <v>0</v>
      </c>
      <c r="I224" s="80" t="b">
        <v>0</v>
      </c>
      <c r="J224" s="80" t="b">
        <v>0</v>
      </c>
      <c r="K224" s="80" t="b">
        <v>0</v>
      </c>
      <c r="L224" s="80" t="b">
        <v>0</v>
      </c>
    </row>
    <row r="225" spans="1:12" ht="15">
      <c r="A225" s="81" t="s">
        <v>532</v>
      </c>
      <c r="B225" s="80" t="s">
        <v>531</v>
      </c>
      <c r="C225" s="80">
        <v>11</v>
      </c>
      <c r="D225" s="107">
        <v>0.004748988182282109</v>
      </c>
      <c r="E225" s="107">
        <v>1.3266284136389743</v>
      </c>
      <c r="F225" s="80" t="s">
        <v>3018</v>
      </c>
      <c r="G225" s="80" t="b">
        <v>0</v>
      </c>
      <c r="H225" s="80" t="b">
        <v>0</v>
      </c>
      <c r="I225" s="80" t="b">
        <v>0</v>
      </c>
      <c r="J225" s="80" t="b">
        <v>0</v>
      </c>
      <c r="K225" s="80" t="b">
        <v>0</v>
      </c>
      <c r="L225" s="80" t="b">
        <v>0</v>
      </c>
    </row>
    <row r="226" spans="1:12" ht="15">
      <c r="A226" s="81" t="s">
        <v>531</v>
      </c>
      <c r="B226" s="80" t="s">
        <v>530</v>
      </c>
      <c r="C226" s="80">
        <v>10</v>
      </c>
      <c r="D226" s="107">
        <v>0.005643950610759014</v>
      </c>
      <c r="E226" s="107">
        <v>1.3521825181113625</v>
      </c>
      <c r="F226" s="80" t="s">
        <v>3018</v>
      </c>
      <c r="G226" s="80" t="b">
        <v>0</v>
      </c>
      <c r="H226" s="80" t="b">
        <v>0</v>
      </c>
      <c r="I226" s="80" t="b">
        <v>0</v>
      </c>
      <c r="J226" s="80" t="b">
        <v>0</v>
      </c>
      <c r="K226" s="80" t="b">
        <v>0</v>
      </c>
      <c r="L226" s="80" t="b">
        <v>0</v>
      </c>
    </row>
    <row r="227" spans="1:12" ht="15">
      <c r="A227" s="81" t="s">
        <v>529</v>
      </c>
      <c r="B227" s="80" t="s">
        <v>528</v>
      </c>
      <c r="C227" s="80">
        <v>10</v>
      </c>
      <c r="D227" s="107">
        <v>0.005643950610759014</v>
      </c>
      <c r="E227" s="107">
        <v>1.2966651902615312</v>
      </c>
      <c r="F227" s="80" t="s">
        <v>3018</v>
      </c>
      <c r="G227" s="80" t="b">
        <v>0</v>
      </c>
      <c r="H227" s="80" t="b">
        <v>0</v>
      </c>
      <c r="I227" s="80" t="b">
        <v>0</v>
      </c>
      <c r="J227" s="80" t="b">
        <v>0</v>
      </c>
      <c r="K227" s="80" t="b">
        <v>0</v>
      </c>
      <c r="L227" s="80" t="b">
        <v>0</v>
      </c>
    </row>
    <row r="228" spans="1:12" ht="15">
      <c r="A228" s="81" t="s">
        <v>528</v>
      </c>
      <c r="B228" s="80" t="s">
        <v>228</v>
      </c>
      <c r="C228" s="80">
        <v>10</v>
      </c>
      <c r="D228" s="107">
        <v>0.005643950610759014</v>
      </c>
      <c r="E228" s="107">
        <v>1.2966651902615312</v>
      </c>
      <c r="F228" s="80" t="s">
        <v>3018</v>
      </c>
      <c r="G228" s="80" t="b">
        <v>0</v>
      </c>
      <c r="H228" s="80" t="b">
        <v>0</v>
      </c>
      <c r="I228" s="80" t="b">
        <v>0</v>
      </c>
      <c r="J228" s="80" t="b">
        <v>0</v>
      </c>
      <c r="K228" s="80" t="b">
        <v>0</v>
      </c>
      <c r="L228" s="80" t="b">
        <v>0</v>
      </c>
    </row>
    <row r="229" spans="1:12" ht="15">
      <c r="A229" s="81" t="s">
        <v>534</v>
      </c>
      <c r="B229" s="80" t="s">
        <v>533</v>
      </c>
      <c r="C229" s="80">
        <v>9</v>
      </c>
      <c r="D229" s="107">
        <v>0.006399483162010281</v>
      </c>
      <c r="E229" s="107">
        <v>1.250907699700856</v>
      </c>
      <c r="F229" s="80" t="s">
        <v>3018</v>
      </c>
      <c r="G229" s="80" t="b">
        <v>0</v>
      </c>
      <c r="H229" s="80" t="b">
        <v>0</v>
      </c>
      <c r="I229" s="80" t="b">
        <v>0</v>
      </c>
      <c r="J229" s="80" t="b">
        <v>0</v>
      </c>
      <c r="K229" s="80" t="b">
        <v>0</v>
      </c>
      <c r="L229" s="80" t="b">
        <v>0</v>
      </c>
    </row>
    <row r="230" spans="1:12" ht="15">
      <c r="A230" s="81" t="s">
        <v>535</v>
      </c>
      <c r="B230" s="80" t="s">
        <v>534</v>
      </c>
      <c r="C230" s="80">
        <v>9</v>
      </c>
      <c r="D230" s="107">
        <v>0.006399483162010281</v>
      </c>
      <c r="E230" s="107">
        <v>1.250907699700856</v>
      </c>
      <c r="F230" s="80" t="s">
        <v>3018</v>
      </c>
      <c r="G230" s="80" t="b">
        <v>0</v>
      </c>
      <c r="H230" s="80" t="b">
        <v>0</v>
      </c>
      <c r="I230" s="80" t="b">
        <v>0</v>
      </c>
      <c r="J230" s="80" t="b">
        <v>0</v>
      </c>
      <c r="K230" s="80" t="b">
        <v>0</v>
      </c>
      <c r="L230" s="80" t="b">
        <v>0</v>
      </c>
    </row>
    <row r="231" spans="1:12" ht="15">
      <c r="A231" s="81" t="s">
        <v>536</v>
      </c>
      <c r="B231" s="80" t="s">
        <v>535</v>
      </c>
      <c r="C231" s="80">
        <v>7</v>
      </c>
      <c r="D231" s="107">
        <v>0.007426129914390933</v>
      </c>
      <c r="E231" s="107">
        <v>1.2966651902615312</v>
      </c>
      <c r="F231" s="80" t="s">
        <v>3018</v>
      </c>
      <c r="G231" s="80" t="b">
        <v>0</v>
      </c>
      <c r="H231" s="80" t="b">
        <v>0</v>
      </c>
      <c r="I231" s="80" t="b">
        <v>0</v>
      </c>
      <c r="J231" s="80" t="b">
        <v>0</v>
      </c>
      <c r="K231" s="80" t="b">
        <v>0</v>
      </c>
      <c r="L231" s="80" t="b">
        <v>0</v>
      </c>
    </row>
    <row r="232" spans="1:12" ht="15">
      <c r="A232" s="81" t="s">
        <v>537</v>
      </c>
      <c r="B232" s="80" t="s">
        <v>536</v>
      </c>
      <c r="C232" s="80">
        <v>7</v>
      </c>
      <c r="D232" s="107">
        <v>0.007426129914390933</v>
      </c>
      <c r="E232" s="107">
        <v>1.3935752032695876</v>
      </c>
      <c r="F232" s="80" t="s">
        <v>3018</v>
      </c>
      <c r="G232" s="80" t="b">
        <v>0</v>
      </c>
      <c r="H232" s="80" t="b">
        <v>0</v>
      </c>
      <c r="I232" s="80" t="b">
        <v>0</v>
      </c>
      <c r="J232" s="80" t="b">
        <v>0</v>
      </c>
      <c r="K232" s="80" t="b">
        <v>0</v>
      </c>
      <c r="L232" s="80" t="b">
        <v>0</v>
      </c>
    </row>
    <row r="233" spans="1:12" ht="15">
      <c r="A233" s="81" t="s">
        <v>535</v>
      </c>
      <c r="B233" s="80" t="s">
        <v>533</v>
      </c>
      <c r="C233" s="80">
        <v>6</v>
      </c>
      <c r="D233" s="107">
        <v>0.007652692474462262</v>
      </c>
      <c r="E233" s="107">
        <v>0.8987251815894935</v>
      </c>
      <c r="F233" s="80" t="s">
        <v>3018</v>
      </c>
      <c r="G233" s="80" t="b">
        <v>0</v>
      </c>
      <c r="H233" s="80" t="b">
        <v>0</v>
      </c>
      <c r="I233" s="80" t="b">
        <v>0</v>
      </c>
      <c r="J233" s="80" t="b">
        <v>0</v>
      </c>
      <c r="K233" s="80" t="b">
        <v>0</v>
      </c>
      <c r="L233" s="80" t="b">
        <v>0</v>
      </c>
    </row>
    <row r="234" spans="1:12" ht="15">
      <c r="A234" s="81" t="s">
        <v>228</v>
      </c>
      <c r="B234" s="80" t="s">
        <v>527</v>
      </c>
      <c r="C234" s="80">
        <v>6</v>
      </c>
      <c r="D234" s="107">
        <v>0.007652692474462262</v>
      </c>
      <c r="E234" s="107">
        <v>1.5696664623252687</v>
      </c>
      <c r="F234" s="80" t="s">
        <v>3018</v>
      </c>
      <c r="G234" s="80" t="b">
        <v>0</v>
      </c>
      <c r="H234" s="80" t="b">
        <v>0</v>
      </c>
      <c r="I234" s="80" t="b">
        <v>0</v>
      </c>
      <c r="J234" s="80" t="b">
        <v>0</v>
      </c>
      <c r="K234" s="80" t="b">
        <v>0</v>
      </c>
      <c r="L234" s="80" t="b">
        <v>0</v>
      </c>
    </row>
    <row r="235" spans="1:12" ht="15">
      <c r="A235" s="81" t="s">
        <v>527</v>
      </c>
      <c r="B235" s="80" t="s">
        <v>526</v>
      </c>
      <c r="C235" s="80">
        <v>6</v>
      </c>
      <c r="D235" s="107">
        <v>0.007652692474462262</v>
      </c>
      <c r="E235" s="107">
        <v>1.6276584093029556</v>
      </c>
      <c r="F235" s="80" t="s">
        <v>3018</v>
      </c>
      <c r="G235" s="80" t="b">
        <v>0</v>
      </c>
      <c r="H235" s="80" t="b">
        <v>0</v>
      </c>
      <c r="I235" s="80" t="b">
        <v>0</v>
      </c>
      <c r="J235" s="80" t="b">
        <v>0</v>
      </c>
      <c r="K235" s="80" t="b">
        <v>0</v>
      </c>
      <c r="L235" s="80" t="b">
        <v>0</v>
      </c>
    </row>
    <row r="236" spans="1:12" ht="15">
      <c r="A236" s="81" t="s">
        <v>537</v>
      </c>
      <c r="B236" s="80" t="s">
        <v>535</v>
      </c>
      <c r="C236" s="80">
        <v>5</v>
      </c>
      <c r="D236" s="107">
        <v>0.007646173953840743</v>
      </c>
      <c r="E236" s="107">
        <v>0.9164539485499251</v>
      </c>
      <c r="F236" s="80" t="s">
        <v>3018</v>
      </c>
      <c r="G236" s="80" t="b">
        <v>0</v>
      </c>
      <c r="H236" s="80" t="b">
        <v>0</v>
      </c>
      <c r="I236" s="80" t="b">
        <v>0</v>
      </c>
      <c r="J236" s="80" t="b">
        <v>0</v>
      </c>
      <c r="K236" s="80" t="b">
        <v>0</v>
      </c>
      <c r="L236" s="80" t="b">
        <v>0</v>
      </c>
    </row>
    <row r="237" spans="1:12" ht="15">
      <c r="A237" s="81" t="s">
        <v>529</v>
      </c>
      <c r="B237" s="80" t="s">
        <v>228</v>
      </c>
      <c r="C237" s="80">
        <v>5</v>
      </c>
      <c r="D237" s="107">
        <v>0.007646173953840743</v>
      </c>
      <c r="E237" s="107">
        <v>0.8195439355418687</v>
      </c>
      <c r="F237" s="80" t="s">
        <v>3018</v>
      </c>
      <c r="G237" s="80" t="b">
        <v>0</v>
      </c>
      <c r="H237" s="80" t="b">
        <v>0</v>
      </c>
      <c r="I237" s="80" t="b">
        <v>0</v>
      </c>
      <c r="J237" s="80" t="b">
        <v>0</v>
      </c>
      <c r="K237" s="80" t="b">
        <v>0</v>
      </c>
      <c r="L237" s="80" t="b">
        <v>0</v>
      </c>
    </row>
    <row r="238" spans="1:12" ht="15">
      <c r="A238" s="81" t="s">
        <v>3096</v>
      </c>
      <c r="B238" s="80" t="s">
        <v>538</v>
      </c>
      <c r="C238" s="80">
        <v>3</v>
      </c>
      <c r="D238" s="107">
        <v>0.006720865426307874</v>
      </c>
      <c r="E238" s="107">
        <v>1.2966651902615312</v>
      </c>
      <c r="F238" s="80" t="s">
        <v>3018</v>
      </c>
      <c r="G238" s="80" t="b">
        <v>0</v>
      </c>
      <c r="H238" s="80" t="b">
        <v>0</v>
      </c>
      <c r="I238" s="80" t="b">
        <v>0</v>
      </c>
      <c r="J238" s="80" t="b">
        <v>0</v>
      </c>
      <c r="K238" s="80" t="b">
        <v>0</v>
      </c>
      <c r="L238" s="80" t="b">
        <v>0</v>
      </c>
    </row>
    <row r="239" spans="1:12" ht="15">
      <c r="A239" s="81" t="s">
        <v>538</v>
      </c>
      <c r="B239" s="80" t="s">
        <v>535</v>
      </c>
      <c r="C239" s="80">
        <v>3</v>
      </c>
      <c r="D239" s="107">
        <v>0.006720865426307874</v>
      </c>
      <c r="E239" s="107">
        <v>0.5976951859255123</v>
      </c>
      <c r="F239" s="80" t="s">
        <v>3018</v>
      </c>
      <c r="G239" s="80" t="b">
        <v>0</v>
      </c>
      <c r="H239" s="80" t="b">
        <v>0</v>
      </c>
      <c r="I239" s="80" t="b">
        <v>0</v>
      </c>
      <c r="J239" s="80" t="b">
        <v>0</v>
      </c>
      <c r="K239" s="80" t="b">
        <v>0</v>
      </c>
      <c r="L239" s="80" t="b">
        <v>0</v>
      </c>
    </row>
    <row r="240" spans="1:12" ht="15">
      <c r="A240" s="81" t="s">
        <v>3057</v>
      </c>
      <c r="B240" s="80" t="s">
        <v>3103</v>
      </c>
      <c r="C240" s="80">
        <v>2</v>
      </c>
      <c r="D240" s="107">
        <v>0.005609367073023719</v>
      </c>
      <c r="E240" s="107">
        <v>1.3935752032695874</v>
      </c>
      <c r="F240" s="80" t="s">
        <v>3018</v>
      </c>
      <c r="G240" s="80" t="b">
        <v>0</v>
      </c>
      <c r="H240" s="80" t="b">
        <v>0</v>
      </c>
      <c r="I240" s="80" t="b">
        <v>0</v>
      </c>
      <c r="J240" s="80" t="b">
        <v>0</v>
      </c>
      <c r="K240" s="80" t="b">
        <v>0</v>
      </c>
      <c r="L240" s="80" t="b">
        <v>0</v>
      </c>
    </row>
    <row r="241" spans="1:12" ht="15">
      <c r="A241" s="81" t="s">
        <v>526</v>
      </c>
      <c r="B241" s="80" t="s">
        <v>258</v>
      </c>
      <c r="C241" s="80">
        <v>2</v>
      </c>
      <c r="D241" s="107">
        <v>0.005609367073023719</v>
      </c>
      <c r="E241" s="107">
        <v>1.5696664623252687</v>
      </c>
      <c r="F241" s="80" t="s">
        <v>3018</v>
      </c>
      <c r="G241" s="80" t="b">
        <v>0</v>
      </c>
      <c r="H241" s="80" t="b">
        <v>0</v>
      </c>
      <c r="I241" s="80" t="b">
        <v>0</v>
      </c>
      <c r="J241" s="80" t="b">
        <v>0</v>
      </c>
      <c r="K241" s="80" t="b">
        <v>0</v>
      </c>
      <c r="L241" s="80" t="b">
        <v>0</v>
      </c>
    </row>
    <row r="242" spans="1:12" ht="15">
      <c r="A242" s="81" t="s">
        <v>532</v>
      </c>
      <c r="B242" s="80" t="s">
        <v>530</v>
      </c>
      <c r="C242" s="80">
        <v>2</v>
      </c>
      <c r="D242" s="107">
        <v>0.005609367073023719</v>
      </c>
      <c r="E242" s="107">
        <v>0.5484771632553306</v>
      </c>
      <c r="F242" s="80" t="s">
        <v>3018</v>
      </c>
      <c r="G242" s="80" t="b">
        <v>0</v>
      </c>
      <c r="H242" s="80" t="b">
        <v>0</v>
      </c>
      <c r="I242" s="80" t="b">
        <v>0</v>
      </c>
      <c r="J242" s="80" t="b">
        <v>0</v>
      </c>
      <c r="K242" s="80" t="b">
        <v>0</v>
      </c>
      <c r="L242" s="80" t="b">
        <v>0</v>
      </c>
    </row>
    <row r="243" spans="1:12" ht="15">
      <c r="A243" s="81" t="s">
        <v>3138</v>
      </c>
      <c r="B243" s="80" t="s">
        <v>3096</v>
      </c>
      <c r="C243" s="80">
        <v>2</v>
      </c>
      <c r="D243" s="107">
        <v>0.005609367073023719</v>
      </c>
      <c r="E243" s="107">
        <v>1.99563519459755</v>
      </c>
      <c r="F243" s="80" t="s">
        <v>3018</v>
      </c>
      <c r="G243" s="80" t="b">
        <v>0</v>
      </c>
      <c r="H243" s="80" t="b">
        <v>0</v>
      </c>
      <c r="I243" s="80" t="b">
        <v>0</v>
      </c>
      <c r="J243" s="80" t="b">
        <v>0</v>
      </c>
      <c r="K243" s="80" t="b">
        <v>0</v>
      </c>
      <c r="L243" s="80" t="b">
        <v>0</v>
      </c>
    </row>
    <row r="244" spans="1:12" ht="15">
      <c r="A244" s="81" t="s">
        <v>3208</v>
      </c>
      <c r="B244" s="80" t="s">
        <v>3141</v>
      </c>
      <c r="C244" s="80">
        <v>2</v>
      </c>
      <c r="D244" s="107">
        <v>0.007539046532408214</v>
      </c>
      <c r="E244" s="107">
        <v>2.171726453653231</v>
      </c>
      <c r="F244" s="80" t="s">
        <v>3018</v>
      </c>
      <c r="G244" s="80" t="b">
        <v>0</v>
      </c>
      <c r="H244" s="80" t="b">
        <v>0</v>
      </c>
      <c r="I244" s="80" t="b">
        <v>0</v>
      </c>
      <c r="J244" s="80" t="b">
        <v>0</v>
      </c>
      <c r="K244" s="80" t="b">
        <v>0</v>
      </c>
      <c r="L244" s="80" t="b">
        <v>0</v>
      </c>
    </row>
    <row r="245" spans="1:12" ht="15">
      <c r="A245" s="81" t="s">
        <v>3145</v>
      </c>
      <c r="B245" s="80" t="s">
        <v>3070</v>
      </c>
      <c r="C245" s="80">
        <v>2</v>
      </c>
      <c r="D245" s="107">
        <v>0.005609367073023719</v>
      </c>
      <c r="E245" s="107">
        <v>1.87069645798925</v>
      </c>
      <c r="F245" s="80" t="s">
        <v>3018</v>
      </c>
      <c r="G245" s="80" t="b">
        <v>0</v>
      </c>
      <c r="H245" s="80" t="b">
        <v>0</v>
      </c>
      <c r="I245" s="80" t="b">
        <v>0</v>
      </c>
      <c r="J245" s="80" t="b">
        <v>0</v>
      </c>
      <c r="K245" s="80" t="b">
        <v>0</v>
      </c>
      <c r="L245" s="80" t="b">
        <v>0</v>
      </c>
    </row>
    <row r="246" spans="1:12" ht="15">
      <c r="A246" s="81" t="s">
        <v>526</v>
      </c>
      <c r="B246" s="80" t="s">
        <v>3057</v>
      </c>
      <c r="C246" s="80">
        <v>2</v>
      </c>
      <c r="D246" s="107">
        <v>0.005609367073023719</v>
      </c>
      <c r="E246" s="107">
        <v>1.3935752032695874</v>
      </c>
      <c r="F246" s="80" t="s">
        <v>3018</v>
      </c>
      <c r="G246" s="80" t="b">
        <v>0</v>
      </c>
      <c r="H246" s="80" t="b">
        <v>0</v>
      </c>
      <c r="I246" s="80" t="b">
        <v>0</v>
      </c>
      <c r="J246" s="80" t="b">
        <v>0</v>
      </c>
      <c r="K246" s="80" t="b">
        <v>0</v>
      </c>
      <c r="L246" s="80" t="b">
        <v>0</v>
      </c>
    </row>
    <row r="247" spans="1:12" ht="15">
      <c r="A247" s="81" t="s">
        <v>258</v>
      </c>
      <c r="B247" s="80" t="s">
        <v>538</v>
      </c>
      <c r="C247" s="80">
        <v>2</v>
      </c>
      <c r="D247" s="107">
        <v>0.005609367073023719</v>
      </c>
      <c r="E247" s="107">
        <v>1.2966651902615312</v>
      </c>
      <c r="F247" s="80" t="s">
        <v>3018</v>
      </c>
      <c r="G247" s="80" t="b">
        <v>0</v>
      </c>
      <c r="H247" s="80" t="b">
        <v>0</v>
      </c>
      <c r="I247" s="80" t="b">
        <v>0</v>
      </c>
      <c r="J247" s="80" t="b">
        <v>0</v>
      </c>
      <c r="K247" s="80" t="b">
        <v>0</v>
      </c>
      <c r="L247" s="80" t="b">
        <v>0</v>
      </c>
    </row>
    <row r="248" spans="1:12" ht="15">
      <c r="A248" s="81" t="s">
        <v>494</v>
      </c>
      <c r="B248" s="80" t="s">
        <v>493</v>
      </c>
      <c r="C248" s="80">
        <v>5</v>
      </c>
      <c r="D248" s="107">
        <v>0</v>
      </c>
      <c r="E248" s="107">
        <v>1.209515014542631</v>
      </c>
      <c r="F248" s="80" t="s">
        <v>3019</v>
      </c>
      <c r="G248" s="80" t="b">
        <v>0</v>
      </c>
      <c r="H248" s="80" t="b">
        <v>0</v>
      </c>
      <c r="I248" s="80" t="b">
        <v>0</v>
      </c>
      <c r="J248" s="80" t="b">
        <v>0</v>
      </c>
      <c r="K248" s="80" t="b">
        <v>0</v>
      </c>
      <c r="L248" s="80" t="b">
        <v>0</v>
      </c>
    </row>
    <row r="249" spans="1:12" ht="15">
      <c r="A249" s="81" t="s">
        <v>498</v>
      </c>
      <c r="B249" s="80" t="s">
        <v>497</v>
      </c>
      <c r="C249" s="80">
        <v>5</v>
      </c>
      <c r="D249" s="107">
        <v>0</v>
      </c>
      <c r="E249" s="107">
        <v>1.209515014542631</v>
      </c>
      <c r="F249" s="80" t="s">
        <v>3019</v>
      </c>
      <c r="G249" s="80" t="b">
        <v>0</v>
      </c>
      <c r="H249" s="80" t="b">
        <v>0</v>
      </c>
      <c r="I249" s="80" t="b">
        <v>0</v>
      </c>
      <c r="J249" s="80" t="b">
        <v>0</v>
      </c>
      <c r="K249" s="80" t="b">
        <v>0</v>
      </c>
      <c r="L249" s="80" t="b">
        <v>0</v>
      </c>
    </row>
    <row r="250" spans="1:12" ht="15">
      <c r="A250" s="81" t="s">
        <v>495</v>
      </c>
      <c r="B250" s="80" t="s">
        <v>228</v>
      </c>
      <c r="C250" s="80">
        <v>5</v>
      </c>
      <c r="D250" s="107">
        <v>0</v>
      </c>
      <c r="E250" s="107">
        <v>1.209515014542631</v>
      </c>
      <c r="F250" s="80" t="s">
        <v>3019</v>
      </c>
      <c r="G250" s="80" t="b">
        <v>0</v>
      </c>
      <c r="H250" s="80" t="b">
        <v>0</v>
      </c>
      <c r="I250" s="80" t="b">
        <v>0</v>
      </c>
      <c r="J250" s="80" t="b">
        <v>0</v>
      </c>
      <c r="K250" s="80" t="b">
        <v>0</v>
      </c>
      <c r="L250" s="80" t="b">
        <v>0</v>
      </c>
    </row>
    <row r="251" spans="1:12" ht="15">
      <c r="A251" s="81" t="s">
        <v>228</v>
      </c>
      <c r="B251" s="80" t="s">
        <v>494</v>
      </c>
      <c r="C251" s="80">
        <v>5</v>
      </c>
      <c r="D251" s="107">
        <v>0</v>
      </c>
      <c r="E251" s="107">
        <v>1.209515014542631</v>
      </c>
      <c r="F251" s="80" t="s">
        <v>3019</v>
      </c>
      <c r="G251" s="80" t="b">
        <v>0</v>
      </c>
      <c r="H251" s="80" t="b">
        <v>0</v>
      </c>
      <c r="I251" s="80" t="b">
        <v>0</v>
      </c>
      <c r="J251" s="80" t="b">
        <v>0</v>
      </c>
      <c r="K251" s="80" t="b">
        <v>0</v>
      </c>
      <c r="L251" s="80" t="b">
        <v>0</v>
      </c>
    </row>
    <row r="252" spans="1:12" ht="15">
      <c r="A252" s="81" t="s">
        <v>496</v>
      </c>
      <c r="B252" s="80" t="s">
        <v>495</v>
      </c>
      <c r="C252" s="80">
        <v>5</v>
      </c>
      <c r="D252" s="107">
        <v>0</v>
      </c>
      <c r="E252" s="107">
        <v>1.209515014542631</v>
      </c>
      <c r="F252" s="80" t="s">
        <v>3019</v>
      </c>
      <c r="G252" s="80" t="b">
        <v>0</v>
      </c>
      <c r="H252" s="80" t="b">
        <v>0</v>
      </c>
      <c r="I252" s="80" t="b">
        <v>0</v>
      </c>
      <c r="J252" s="80" t="b">
        <v>0</v>
      </c>
      <c r="K252" s="80" t="b">
        <v>0</v>
      </c>
      <c r="L252" s="80" t="b">
        <v>0</v>
      </c>
    </row>
    <row r="253" spans="1:12" ht="15">
      <c r="A253" s="81" t="s">
        <v>500</v>
      </c>
      <c r="B253" s="80" t="s">
        <v>499</v>
      </c>
      <c r="C253" s="80">
        <v>5</v>
      </c>
      <c r="D253" s="107">
        <v>0</v>
      </c>
      <c r="E253" s="107">
        <v>1.209515014542631</v>
      </c>
      <c r="F253" s="80" t="s">
        <v>3019</v>
      </c>
      <c r="G253" s="80" t="b">
        <v>0</v>
      </c>
      <c r="H253" s="80" t="b">
        <v>0</v>
      </c>
      <c r="I253" s="80" t="b">
        <v>0</v>
      </c>
      <c r="J253" s="80" t="b">
        <v>0</v>
      </c>
      <c r="K253" s="80" t="b">
        <v>0</v>
      </c>
      <c r="L253" s="80" t="b">
        <v>0</v>
      </c>
    </row>
    <row r="254" spans="1:12" ht="15">
      <c r="A254" s="81" t="s">
        <v>501</v>
      </c>
      <c r="B254" s="80" t="s">
        <v>500</v>
      </c>
      <c r="C254" s="80">
        <v>5</v>
      </c>
      <c r="D254" s="107">
        <v>0</v>
      </c>
      <c r="E254" s="107">
        <v>1.209515014542631</v>
      </c>
      <c r="F254" s="80" t="s">
        <v>3019</v>
      </c>
      <c r="G254" s="80" t="b">
        <v>0</v>
      </c>
      <c r="H254" s="80" t="b">
        <v>0</v>
      </c>
      <c r="I254" s="80" t="b">
        <v>0</v>
      </c>
      <c r="J254" s="80" t="b">
        <v>0</v>
      </c>
      <c r="K254" s="80" t="b">
        <v>0</v>
      </c>
      <c r="L254" s="80" t="b">
        <v>0</v>
      </c>
    </row>
    <row r="255" spans="1:12" ht="15">
      <c r="A255" s="81" t="s">
        <v>499</v>
      </c>
      <c r="B255" s="80" t="s">
        <v>498</v>
      </c>
      <c r="C255" s="80">
        <v>5</v>
      </c>
      <c r="D255" s="107">
        <v>0</v>
      </c>
      <c r="E255" s="107">
        <v>1.209515014542631</v>
      </c>
      <c r="F255" s="80" t="s">
        <v>3019</v>
      </c>
      <c r="G255" s="80" t="b">
        <v>0</v>
      </c>
      <c r="H255" s="80" t="b">
        <v>0</v>
      </c>
      <c r="I255" s="80" t="b">
        <v>0</v>
      </c>
      <c r="J255" s="80" t="b">
        <v>0</v>
      </c>
      <c r="K255" s="80" t="b">
        <v>0</v>
      </c>
      <c r="L255" s="80" t="b">
        <v>0</v>
      </c>
    </row>
    <row r="256" spans="1:12" ht="15">
      <c r="A256" s="81" t="s">
        <v>259</v>
      </c>
      <c r="B256" s="80" t="s">
        <v>501</v>
      </c>
      <c r="C256" s="80">
        <v>4</v>
      </c>
      <c r="D256" s="107">
        <v>0.004507442465490996</v>
      </c>
      <c r="E256" s="107">
        <v>1.209515014542631</v>
      </c>
      <c r="F256" s="80" t="s">
        <v>3019</v>
      </c>
      <c r="G256" s="80" t="b">
        <v>0</v>
      </c>
      <c r="H256" s="80" t="b">
        <v>0</v>
      </c>
      <c r="I256" s="80" t="b">
        <v>0</v>
      </c>
      <c r="J256" s="80" t="b">
        <v>0</v>
      </c>
      <c r="K256" s="80" t="b">
        <v>0</v>
      </c>
      <c r="L256" s="80" t="b">
        <v>0</v>
      </c>
    </row>
    <row r="257" spans="1:12" ht="15">
      <c r="A257" s="81" t="s">
        <v>261</v>
      </c>
      <c r="B257" s="80" t="s">
        <v>492</v>
      </c>
      <c r="C257" s="80">
        <v>4</v>
      </c>
      <c r="D257" s="107">
        <v>0.004507442465490996</v>
      </c>
      <c r="E257" s="107">
        <v>1.209515014542631</v>
      </c>
      <c r="F257" s="80" t="s">
        <v>3019</v>
      </c>
      <c r="G257" s="80" t="b">
        <v>0</v>
      </c>
      <c r="H257" s="80" t="b">
        <v>0</v>
      </c>
      <c r="I257" s="80" t="b">
        <v>0</v>
      </c>
      <c r="J257" s="80" t="b">
        <v>0</v>
      </c>
      <c r="K257" s="80" t="b">
        <v>0</v>
      </c>
      <c r="L257" s="80" t="b">
        <v>0</v>
      </c>
    </row>
    <row r="258" spans="1:12" ht="15">
      <c r="A258" s="81" t="s">
        <v>497</v>
      </c>
      <c r="B258" s="80" t="s">
        <v>260</v>
      </c>
      <c r="C258" s="80">
        <v>3</v>
      </c>
      <c r="D258" s="107">
        <v>0.007738909870338014</v>
      </c>
      <c r="E258" s="107">
        <v>1.209515014542631</v>
      </c>
      <c r="F258" s="80" t="s">
        <v>3019</v>
      </c>
      <c r="G258" s="80" t="b">
        <v>0</v>
      </c>
      <c r="H258" s="80" t="b">
        <v>0</v>
      </c>
      <c r="I258" s="80" t="b">
        <v>0</v>
      </c>
      <c r="J258" s="80" t="b">
        <v>0</v>
      </c>
      <c r="K258" s="80" t="b">
        <v>0</v>
      </c>
      <c r="L258" s="80" t="b">
        <v>0</v>
      </c>
    </row>
    <row r="259" spans="1:12" ht="15">
      <c r="A259" s="81" t="s">
        <v>260</v>
      </c>
      <c r="B259" s="80" t="s">
        <v>496</v>
      </c>
      <c r="C259" s="80">
        <v>3</v>
      </c>
      <c r="D259" s="107">
        <v>0.007738909870338014</v>
      </c>
      <c r="E259" s="107">
        <v>1.084576277934331</v>
      </c>
      <c r="F259" s="80" t="s">
        <v>3019</v>
      </c>
      <c r="G259" s="80" t="b">
        <v>0</v>
      </c>
      <c r="H259" s="80" t="b">
        <v>0</v>
      </c>
      <c r="I259" s="80" t="b">
        <v>0</v>
      </c>
      <c r="J259" s="80" t="b">
        <v>0</v>
      </c>
      <c r="K259" s="80" t="b">
        <v>0</v>
      </c>
      <c r="L259" s="80" t="b">
        <v>0</v>
      </c>
    </row>
    <row r="260" spans="1:12" ht="15">
      <c r="A260" s="81" t="s">
        <v>492</v>
      </c>
      <c r="B260" s="80" t="s">
        <v>3060</v>
      </c>
      <c r="C260" s="80">
        <v>3</v>
      </c>
      <c r="D260" s="107">
        <v>0.007738909870338014</v>
      </c>
      <c r="E260" s="107">
        <v>1.3064250275506875</v>
      </c>
      <c r="F260" s="80" t="s">
        <v>3019</v>
      </c>
      <c r="G260" s="80" t="b">
        <v>0</v>
      </c>
      <c r="H260" s="80" t="b">
        <v>0</v>
      </c>
      <c r="I260" s="80" t="b">
        <v>0</v>
      </c>
      <c r="J260" s="80" t="b">
        <v>1</v>
      </c>
      <c r="K260" s="80" t="b">
        <v>0</v>
      </c>
      <c r="L260" s="80" t="b">
        <v>0</v>
      </c>
    </row>
    <row r="261" spans="1:12" ht="15">
      <c r="A261" s="81" t="s">
        <v>262</v>
      </c>
      <c r="B261" s="80" t="s">
        <v>261</v>
      </c>
      <c r="C261" s="80">
        <v>3</v>
      </c>
      <c r="D261" s="107">
        <v>0.007738909870338014</v>
      </c>
      <c r="E261" s="107">
        <v>1.1814862909423876</v>
      </c>
      <c r="F261" s="80" t="s">
        <v>3019</v>
      </c>
      <c r="G261" s="80" t="b">
        <v>0</v>
      </c>
      <c r="H261" s="80" t="b">
        <v>0</v>
      </c>
      <c r="I261" s="80" t="b">
        <v>0</v>
      </c>
      <c r="J261" s="80" t="b">
        <v>0</v>
      </c>
      <c r="K261" s="80" t="b">
        <v>0</v>
      </c>
      <c r="L261" s="80" t="b">
        <v>0</v>
      </c>
    </row>
    <row r="262" spans="1:12" ht="15">
      <c r="A262" s="81" t="s">
        <v>493</v>
      </c>
      <c r="B262" s="80" t="s">
        <v>262</v>
      </c>
      <c r="C262" s="80">
        <v>3</v>
      </c>
      <c r="D262" s="107">
        <v>0.007738909870338014</v>
      </c>
      <c r="E262" s="107">
        <v>1.084576277934331</v>
      </c>
      <c r="F262" s="80" t="s">
        <v>3019</v>
      </c>
      <c r="G262" s="80" t="b">
        <v>0</v>
      </c>
      <c r="H262" s="80" t="b">
        <v>0</v>
      </c>
      <c r="I262" s="80" t="b">
        <v>0</v>
      </c>
      <c r="J262" s="80" t="b">
        <v>0</v>
      </c>
      <c r="K262" s="80" t="b">
        <v>0</v>
      </c>
      <c r="L262" s="80" t="b">
        <v>0</v>
      </c>
    </row>
    <row r="263" spans="1:12" ht="15">
      <c r="A263" s="81" t="s">
        <v>497</v>
      </c>
      <c r="B263" s="80" t="s">
        <v>496</v>
      </c>
      <c r="C263" s="80">
        <v>2</v>
      </c>
      <c r="D263" s="107">
        <v>0.009254418806326456</v>
      </c>
      <c r="E263" s="107">
        <v>0.8115750058705934</v>
      </c>
      <c r="F263" s="80" t="s">
        <v>3019</v>
      </c>
      <c r="G263" s="80" t="b">
        <v>0</v>
      </c>
      <c r="H263" s="80" t="b">
        <v>0</v>
      </c>
      <c r="I263" s="80" t="b">
        <v>0</v>
      </c>
      <c r="J263" s="80" t="b">
        <v>0</v>
      </c>
      <c r="K263" s="80" t="b">
        <v>0</v>
      </c>
      <c r="L263" s="80" t="b">
        <v>0</v>
      </c>
    </row>
    <row r="264" spans="1:12" ht="15">
      <c r="A264" s="81" t="s">
        <v>3080</v>
      </c>
      <c r="B264" s="80" t="s">
        <v>3112</v>
      </c>
      <c r="C264" s="80">
        <v>2</v>
      </c>
      <c r="D264" s="107">
        <v>0.0080052667196499</v>
      </c>
      <c r="E264" s="107">
        <v>1.7817553746524688</v>
      </c>
      <c r="F264" s="80" t="s">
        <v>3020</v>
      </c>
      <c r="G264" s="80" t="b">
        <v>0</v>
      </c>
      <c r="H264" s="80" t="b">
        <v>0</v>
      </c>
      <c r="I264" s="80" t="b">
        <v>0</v>
      </c>
      <c r="J264" s="80" t="b">
        <v>0</v>
      </c>
      <c r="K264" s="80" t="b">
        <v>0</v>
      </c>
      <c r="L264" s="80" t="b">
        <v>0</v>
      </c>
    </row>
    <row r="265" spans="1:12" ht="15">
      <c r="A265" s="81" t="s">
        <v>228</v>
      </c>
      <c r="B265" s="80" t="s">
        <v>3084</v>
      </c>
      <c r="C265" s="80">
        <v>2</v>
      </c>
      <c r="D265" s="107">
        <v>0.0080052667196499</v>
      </c>
      <c r="E265" s="107">
        <v>1.0937807546179132</v>
      </c>
      <c r="F265" s="80" t="s">
        <v>3020</v>
      </c>
      <c r="G265" s="80" t="b">
        <v>0</v>
      </c>
      <c r="H265" s="80" t="b">
        <v>0</v>
      </c>
      <c r="I265" s="80" t="b">
        <v>0</v>
      </c>
      <c r="J265" s="80" t="b">
        <v>0</v>
      </c>
      <c r="K265" s="80" t="b">
        <v>0</v>
      </c>
      <c r="L265" s="80" t="b">
        <v>0</v>
      </c>
    </row>
    <row r="266" spans="1:12" ht="15">
      <c r="A266" s="81" t="s">
        <v>471</v>
      </c>
      <c r="B266" s="80" t="s">
        <v>228</v>
      </c>
      <c r="C266" s="80">
        <v>2</v>
      </c>
      <c r="D266" s="107">
        <v>0.0080052667196499</v>
      </c>
      <c r="E266" s="107">
        <v>0.8523364489381762</v>
      </c>
      <c r="F266" s="80" t="s">
        <v>3020</v>
      </c>
      <c r="G266" s="80" t="b">
        <v>0</v>
      </c>
      <c r="H266" s="80" t="b">
        <v>0</v>
      </c>
      <c r="I266" s="80" t="b">
        <v>0</v>
      </c>
      <c r="J266" s="80" t="b">
        <v>0</v>
      </c>
      <c r="K266" s="80" t="b">
        <v>0</v>
      </c>
      <c r="L266" s="80" t="b">
        <v>0</v>
      </c>
    </row>
    <row r="267" spans="1:12" ht="15">
      <c r="A267" s="81" t="s">
        <v>3083</v>
      </c>
      <c r="B267" s="80" t="s">
        <v>3100</v>
      </c>
      <c r="C267" s="80">
        <v>2</v>
      </c>
      <c r="D267" s="107">
        <v>0.0080052667196499</v>
      </c>
      <c r="E267" s="107">
        <v>1.906694111260769</v>
      </c>
      <c r="F267" s="80" t="s">
        <v>3020</v>
      </c>
      <c r="G267" s="80" t="b">
        <v>0</v>
      </c>
      <c r="H267" s="80" t="b">
        <v>0</v>
      </c>
      <c r="I267" s="80" t="b">
        <v>0</v>
      </c>
      <c r="J267" s="80" t="b">
        <v>0</v>
      </c>
      <c r="K267" s="80" t="b">
        <v>0</v>
      </c>
      <c r="L267" s="80" t="b">
        <v>0</v>
      </c>
    </row>
    <row r="268" spans="1:12" ht="15">
      <c r="A268" s="81" t="s">
        <v>3073</v>
      </c>
      <c r="B268" s="80" t="s">
        <v>3104</v>
      </c>
      <c r="C268" s="80">
        <v>2</v>
      </c>
      <c r="D268" s="107">
        <v>0.009640965577048535</v>
      </c>
      <c r="E268" s="107">
        <v>1.6532125137753437</v>
      </c>
      <c r="F268" s="80" t="s">
        <v>3022</v>
      </c>
      <c r="G268" s="80" t="b">
        <v>0</v>
      </c>
      <c r="H268" s="80" t="b">
        <v>0</v>
      </c>
      <c r="I268" s="80" t="b">
        <v>0</v>
      </c>
      <c r="J268" s="80" t="b">
        <v>0</v>
      </c>
      <c r="K268" s="80" t="b">
        <v>0</v>
      </c>
      <c r="L268" s="80" t="b">
        <v>0</v>
      </c>
    </row>
    <row r="269" spans="1:12" ht="15">
      <c r="A269" s="81" t="s">
        <v>228</v>
      </c>
      <c r="B269" s="80" t="s">
        <v>3073</v>
      </c>
      <c r="C269" s="80">
        <v>2</v>
      </c>
      <c r="D269" s="107">
        <v>0.009640965577048535</v>
      </c>
      <c r="E269" s="107">
        <v>1.3521825181113625</v>
      </c>
      <c r="F269" s="80" t="s">
        <v>3022</v>
      </c>
      <c r="G269" s="80" t="b">
        <v>0</v>
      </c>
      <c r="H269" s="80" t="b">
        <v>0</v>
      </c>
      <c r="I269" s="80" t="b">
        <v>0</v>
      </c>
      <c r="J269" s="80" t="b">
        <v>0</v>
      </c>
      <c r="K269" s="80" t="b">
        <v>0</v>
      </c>
      <c r="L269" s="80" t="b">
        <v>0</v>
      </c>
    </row>
    <row r="270" spans="1:12" ht="15">
      <c r="A270" s="81" t="s">
        <v>3075</v>
      </c>
      <c r="B270" s="80" t="s">
        <v>228</v>
      </c>
      <c r="C270" s="80">
        <v>2</v>
      </c>
      <c r="D270" s="107">
        <v>0.009640965577048535</v>
      </c>
      <c r="E270" s="107">
        <v>1.1760912590556813</v>
      </c>
      <c r="F270" s="80" t="s">
        <v>3022</v>
      </c>
      <c r="G270" s="80" t="b">
        <v>0</v>
      </c>
      <c r="H270" s="80" t="b">
        <v>0</v>
      </c>
      <c r="I270" s="80" t="b">
        <v>0</v>
      </c>
      <c r="J270" s="80" t="b">
        <v>0</v>
      </c>
      <c r="K270" s="80" t="b">
        <v>0</v>
      </c>
      <c r="L270" s="80" t="b">
        <v>0</v>
      </c>
    </row>
    <row r="271" spans="1:12" ht="15">
      <c r="A271" s="81" t="s">
        <v>3155</v>
      </c>
      <c r="B271" s="80" t="s">
        <v>3064</v>
      </c>
      <c r="C271" s="80">
        <v>2</v>
      </c>
      <c r="D271" s="107">
        <v>0.009640965577048535</v>
      </c>
      <c r="E271" s="107">
        <v>1.5282737771670438</v>
      </c>
      <c r="F271" s="80" t="s">
        <v>3022</v>
      </c>
      <c r="G271" s="80" t="b">
        <v>0</v>
      </c>
      <c r="H271" s="80" t="b">
        <v>0</v>
      </c>
      <c r="I271" s="80" t="b">
        <v>0</v>
      </c>
      <c r="J271" s="80" t="b">
        <v>0</v>
      </c>
      <c r="K271" s="80" t="b">
        <v>0</v>
      </c>
      <c r="L271"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366E86E-A80D-438E-B6FF-8B178F937E7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 Meier</dc:creator>
  <cp:keywords/>
  <dc:description/>
  <cp:lastModifiedBy>Harald Meier</cp:lastModifiedBy>
  <dcterms:created xsi:type="dcterms:W3CDTF">2008-01-30T00:41:58Z</dcterms:created>
  <dcterms:modified xsi:type="dcterms:W3CDTF">2023-09-11T13:31:30Z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